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Бахарев\Desktop\,штат\2024\Февраль\"/>
    </mc:Choice>
  </mc:AlternateContent>
  <bookViews>
    <workbookView xWindow="0" yWindow="0" windowWidth="19440" windowHeight="8790" tabRatio="606"/>
  </bookViews>
  <sheets>
    <sheet name="ШТАТ" sheetId="1" r:id="rId1"/>
    <sheet name="Развернутая строевая" sheetId="8" r:id="rId2"/>
    <sheet name="БЧС" sheetId="9" state="hidden" r:id="rId3"/>
    <sheet name="СТРОЕВКА(расширенная)" sheetId="2" state="hidden" r:id="rId4"/>
    <sheet name="Лист1" sheetId="15" state="hidden" r:id="rId5"/>
    <sheet name="Отпуск пищи" sheetId="12" state="hidden" r:id="rId6"/>
    <sheet name="Отпуск" sheetId="11" state="hidden" r:id="rId7"/>
    <sheet name="БЧС для Корпуска" sheetId="13" r:id="rId8"/>
    <sheet name="БЧС Дерябин" sheetId="14" r:id="rId9"/>
    <sheet name="Суточная1" sheetId="16" state="hidden" r:id="rId10"/>
    <sheet name="Суточная2" sheetId="17" state="hidden" r:id="rId11"/>
  </sheets>
  <externalReferences>
    <externalReference r:id="rId12"/>
  </externalReferences>
  <definedNames>
    <definedName name="_xlnm._FilterDatabase" localSheetId="0" hidden="1">ШТАТ!$A$1:$AU$2389</definedName>
    <definedName name="_xlnm.Print_Area" localSheetId="9">Суточная1!$A$1:$K$34</definedName>
    <definedName name="_xlnm.Print_Area" localSheetId="10">Суточная2!$A$1:$J$37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8" l="1"/>
  <c r="J11" i="8" l="1"/>
  <c r="J10" i="8" l="1"/>
  <c r="I11" i="8"/>
  <c r="AO9" i="8" l="1"/>
  <c r="X13" i="8" l="1"/>
  <c r="I9" i="13" l="1"/>
  <c r="M23" i="8" l="1"/>
  <c r="AV35" i="14" l="1"/>
  <c r="AV36" i="14"/>
  <c r="AV37" i="14"/>
  <c r="AV38" i="14"/>
  <c r="AV39" i="14"/>
  <c r="AV40" i="14"/>
  <c r="AV41" i="14"/>
  <c r="AV42" i="14"/>
  <c r="AV43" i="14"/>
  <c r="AF1327" i="1" l="1"/>
  <c r="AF1431" i="1"/>
  <c r="AO1559" i="1"/>
  <c r="AO1560" i="1"/>
  <c r="AO1561" i="1"/>
  <c r="AO1562" i="1"/>
  <c r="AO1563" i="1"/>
  <c r="AO1566" i="1"/>
  <c r="AO1569" i="1"/>
  <c r="AO1572" i="1"/>
  <c r="AO1576" i="1"/>
  <c r="AO1579" i="1"/>
  <c r="AO1582" i="1"/>
  <c r="AO1586" i="1"/>
  <c r="AO1589" i="1"/>
  <c r="AO1592" i="1"/>
  <c r="AO1596" i="1"/>
  <c r="AO1597" i="1"/>
  <c r="AO1598" i="1"/>
  <c r="AO1599" i="1"/>
  <c r="AO1600" i="1"/>
  <c r="AO1603" i="1"/>
  <c r="AO1606" i="1"/>
  <c r="AO1609" i="1"/>
  <c r="AO1613" i="1"/>
  <c r="AO1616" i="1"/>
  <c r="AO1619" i="1"/>
  <c r="AO1623" i="1"/>
  <c r="AO1626" i="1"/>
  <c r="AO1629" i="1"/>
  <c r="AO1633" i="1"/>
  <c r="AO1634" i="1"/>
  <c r="AO1635" i="1"/>
  <c r="AO1636" i="1"/>
  <c r="AO1637" i="1"/>
  <c r="AO1640" i="1"/>
  <c r="AO1643" i="1"/>
  <c r="AO1646" i="1"/>
  <c r="AO1650" i="1"/>
  <c r="AO1653" i="1"/>
  <c r="AO1656" i="1"/>
  <c r="AO1660" i="1"/>
  <c r="AO1663" i="1"/>
  <c r="AO1666" i="1"/>
  <c r="AF2314" i="1"/>
  <c r="M11" i="8"/>
  <c r="FR94" i="14" l="1"/>
  <c r="FQ94" i="14"/>
  <c r="FP94" i="14"/>
  <c r="FO94" i="14"/>
  <c r="FN94" i="14"/>
  <c r="FM94" i="14"/>
  <c r="FL94" i="14"/>
  <c r="FK94" i="14"/>
  <c r="FJ94" i="14"/>
  <c r="FI94" i="14"/>
  <c r="FH94" i="14"/>
  <c r="FG94" i="14"/>
  <c r="FF94" i="14"/>
  <c r="FE94" i="14"/>
  <c r="FD94" i="14"/>
  <c r="FC94" i="14"/>
  <c r="FB94" i="14"/>
  <c r="FA94" i="14"/>
  <c r="EZ94" i="14"/>
  <c r="EY94" i="14"/>
  <c r="EX94" i="14"/>
  <c r="EW94" i="14"/>
  <c r="EV94" i="14"/>
  <c r="EU94" i="14"/>
  <c r="ET94" i="14"/>
  <c r="ES94" i="14"/>
  <c r="ER94" i="14"/>
  <c r="EQ94" i="14"/>
  <c r="EP94" i="14"/>
  <c r="EO94" i="14"/>
  <c r="EN94" i="14"/>
  <c r="EM94" i="14"/>
  <c r="EL94" i="14"/>
  <c r="EK94" i="14"/>
  <c r="EJ94" i="14"/>
  <c r="EI94" i="14"/>
  <c r="EH94" i="14"/>
  <c r="EG94" i="14"/>
  <c r="EF94" i="14"/>
  <c r="EE94" i="14"/>
  <c r="ED94" i="14"/>
  <c r="EC94" i="14"/>
  <c r="EB94" i="14"/>
  <c r="EA94" i="14"/>
  <c r="DZ94" i="14"/>
  <c r="DY94" i="14"/>
  <c r="DX94" i="14"/>
  <c r="DW94" i="14"/>
  <c r="DU94" i="14"/>
  <c r="DT94" i="14"/>
  <c r="DS94" i="14"/>
  <c r="DR94" i="14"/>
  <c r="DQ94" i="14"/>
  <c r="DP94" i="14"/>
  <c r="DO94" i="14"/>
  <c r="DN94" i="14"/>
  <c r="DM94" i="14"/>
  <c r="DL94" i="14"/>
  <c r="DK94" i="14"/>
  <c r="DJ94" i="14"/>
  <c r="DI94" i="14"/>
  <c r="DH94" i="14"/>
  <c r="DG94" i="14"/>
  <c r="DF94" i="14"/>
  <c r="DE94" i="14"/>
  <c r="DD94" i="14"/>
  <c r="DC94" i="14"/>
  <c r="FR80" i="14"/>
  <c r="FQ80" i="14"/>
  <c r="FP80" i="14"/>
  <c r="FO80" i="14"/>
  <c r="FN80" i="14"/>
  <c r="FM80" i="14"/>
  <c r="FL80" i="14"/>
  <c r="FK80" i="14"/>
  <c r="FJ80" i="14"/>
  <c r="FI80" i="14"/>
  <c r="FH80" i="14"/>
  <c r="FG80" i="14"/>
  <c r="FF80" i="14"/>
  <c r="FE80" i="14"/>
  <c r="FD80" i="14"/>
  <c r="FC80" i="14"/>
  <c r="FB80" i="14"/>
  <c r="FA80" i="14"/>
  <c r="EZ80" i="14"/>
  <c r="EY80" i="14"/>
  <c r="EX80" i="14"/>
  <c r="EW80" i="14"/>
  <c r="EV80" i="14"/>
  <c r="EU80" i="14"/>
  <c r="ET80" i="14"/>
  <c r="ES80" i="14"/>
  <c r="ER80" i="14"/>
  <c r="EQ80" i="14"/>
  <c r="EP80" i="14"/>
  <c r="EO80" i="14"/>
  <c r="EN80" i="14"/>
  <c r="EM80" i="14"/>
  <c r="EL80" i="14"/>
  <c r="EK80" i="14"/>
  <c r="EJ80" i="14"/>
  <c r="EI80" i="14"/>
  <c r="EH80" i="14"/>
  <c r="EG80" i="14"/>
  <c r="EF80" i="14"/>
  <c r="EE80" i="14"/>
  <c r="ED80" i="14"/>
  <c r="EC80" i="14"/>
  <c r="EB80" i="14"/>
  <c r="EA80" i="14"/>
  <c r="DZ80" i="14"/>
  <c r="DY80" i="14"/>
  <c r="DX80" i="14"/>
  <c r="DW80" i="14"/>
  <c r="DU80" i="14"/>
  <c r="DT80" i="14"/>
  <c r="DS80" i="14"/>
  <c r="DR80" i="14"/>
  <c r="DQ80" i="14"/>
  <c r="DP80" i="14"/>
  <c r="DO80" i="14"/>
  <c r="DN80" i="14"/>
  <c r="DM80" i="14"/>
  <c r="DL80" i="14"/>
  <c r="DK80" i="14"/>
  <c r="DJ80" i="14"/>
  <c r="DI80" i="14"/>
  <c r="DH80" i="14"/>
  <c r="DG80" i="14"/>
  <c r="DF80" i="14"/>
  <c r="DE80" i="14"/>
  <c r="DD80" i="14"/>
  <c r="DC80" i="14"/>
  <c r="FR73" i="14"/>
  <c r="FQ73" i="14"/>
  <c r="FP73" i="14"/>
  <c r="FO73" i="14"/>
  <c r="FN73" i="14"/>
  <c r="FM73" i="14"/>
  <c r="FL73" i="14"/>
  <c r="FK73" i="14"/>
  <c r="FJ73" i="14"/>
  <c r="FI73" i="14"/>
  <c r="FH73" i="14"/>
  <c r="FG73" i="14"/>
  <c r="FF73" i="14"/>
  <c r="FE73" i="14"/>
  <c r="FD73" i="14"/>
  <c r="FC73" i="14"/>
  <c r="FB73" i="14"/>
  <c r="FA73" i="14"/>
  <c r="EZ73" i="14"/>
  <c r="EY73" i="14"/>
  <c r="EX73" i="14"/>
  <c r="EW73" i="14"/>
  <c r="EV73" i="14"/>
  <c r="EU73" i="14"/>
  <c r="ET73" i="14"/>
  <c r="ES73" i="14"/>
  <c r="ER73" i="14"/>
  <c r="EQ73" i="14"/>
  <c r="EP73" i="14"/>
  <c r="EO73" i="14"/>
  <c r="EN73" i="14"/>
  <c r="EM73" i="14"/>
  <c r="EL73" i="14"/>
  <c r="EK73" i="14"/>
  <c r="EJ73" i="14"/>
  <c r="EI73" i="14"/>
  <c r="EH73" i="14"/>
  <c r="EG73" i="14"/>
  <c r="EF73" i="14"/>
  <c r="EE73" i="14"/>
  <c r="ED73" i="14"/>
  <c r="EC73" i="14"/>
  <c r="EB73" i="14"/>
  <c r="EA73" i="14"/>
  <c r="DZ73" i="14"/>
  <c r="DY73" i="14"/>
  <c r="DX73" i="14"/>
  <c r="DW73" i="14"/>
  <c r="DU73" i="14"/>
  <c r="DT73" i="14"/>
  <c r="DS73" i="14"/>
  <c r="DR73" i="14"/>
  <c r="DQ73" i="14"/>
  <c r="DP73" i="14"/>
  <c r="DO73" i="14"/>
  <c r="DN73" i="14"/>
  <c r="DM73" i="14"/>
  <c r="DL73" i="14"/>
  <c r="DK73" i="14"/>
  <c r="DJ73" i="14"/>
  <c r="DI73" i="14"/>
  <c r="DH73" i="14"/>
  <c r="DG73" i="14"/>
  <c r="DF73" i="14"/>
  <c r="DE73" i="14"/>
  <c r="DD73" i="14"/>
  <c r="DC73" i="14"/>
  <c r="DC63" i="14"/>
  <c r="FR67" i="14"/>
  <c r="FQ67" i="14"/>
  <c r="FP67" i="14"/>
  <c r="FO67" i="14"/>
  <c r="FN67" i="14"/>
  <c r="FM67" i="14"/>
  <c r="FL67" i="14"/>
  <c r="FK67" i="14"/>
  <c r="FJ67" i="14"/>
  <c r="FI67" i="14"/>
  <c r="FH67" i="14"/>
  <c r="FG67" i="14"/>
  <c r="FF67" i="14"/>
  <c r="FE67" i="14"/>
  <c r="FD67" i="14"/>
  <c r="FC67" i="14"/>
  <c r="FB67" i="14"/>
  <c r="FA67" i="14"/>
  <c r="EZ67" i="14"/>
  <c r="EY67" i="14"/>
  <c r="EX67" i="14"/>
  <c r="EW67" i="14"/>
  <c r="EV67" i="14"/>
  <c r="EU67" i="14"/>
  <c r="ET67" i="14"/>
  <c r="ES67" i="14"/>
  <c r="ER67" i="14"/>
  <c r="EQ67" i="14"/>
  <c r="EP67" i="14"/>
  <c r="EO67" i="14"/>
  <c r="EN67" i="14"/>
  <c r="EM67" i="14"/>
  <c r="EL67" i="14"/>
  <c r="EK67" i="14"/>
  <c r="EJ67" i="14"/>
  <c r="EI67" i="14"/>
  <c r="EH67" i="14"/>
  <c r="EG67" i="14"/>
  <c r="EF67" i="14"/>
  <c r="EE67" i="14"/>
  <c r="ED67" i="14"/>
  <c r="EC67" i="14"/>
  <c r="EB67" i="14"/>
  <c r="EA67" i="14"/>
  <c r="DZ67" i="14"/>
  <c r="DY67" i="14"/>
  <c r="DX67" i="14"/>
  <c r="DW67" i="14"/>
  <c r="DU67" i="14"/>
  <c r="DT67" i="14"/>
  <c r="DS67" i="14"/>
  <c r="DR67" i="14"/>
  <c r="DQ67" i="14"/>
  <c r="DP67" i="14"/>
  <c r="DO67" i="14"/>
  <c r="DN67" i="14"/>
  <c r="DM67" i="14"/>
  <c r="DL67" i="14"/>
  <c r="DK67" i="14"/>
  <c r="DJ67" i="14"/>
  <c r="DI67" i="14"/>
  <c r="DH67" i="14"/>
  <c r="DG67" i="14"/>
  <c r="DF67" i="14"/>
  <c r="DE67" i="14"/>
  <c r="DD67" i="14"/>
  <c r="DC67" i="14"/>
  <c r="FR63" i="14"/>
  <c r="FQ63" i="14"/>
  <c r="FP63" i="14"/>
  <c r="FO63" i="14"/>
  <c r="FN63" i="14"/>
  <c r="FM63" i="14"/>
  <c r="FL63" i="14"/>
  <c r="FK63" i="14"/>
  <c r="FJ63" i="14"/>
  <c r="FI63" i="14"/>
  <c r="FH63" i="14"/>
  <c r="FG63" i="14"/>
  <c r="FF63" i="14"/>
  <c r="FE63" i="14"/>
  <c r="FD63" i="14"/>
  <c r="FC63" i="14"/>
  <c r="FB63" i="14"/>
  <c r="FA63" i="14"/>
  <c r="EZ63" i="14"/>
  <c r="EY63" i="14"/>
  <c r="EX63" i="14"/>
  <c r="EW63" i="14"/>
  <c r="EV63" i="14"/>
  <c r="EU63" i="14"/>
  <c r="ET63" i="14"/>
  <c r="ES63" i="14"/>
  <c r="ER63" i="14"/>
  <c r="EQ63" i="14"/>
  <c r="EP63" i="14"/>
  <c r="EO63" i="14"/>
  <c r="EN63" i="14"/>
  <c r="EM63" i="14"/>
  <c r="EL63" i="14"/>
  <c r="EK63" i="14"/>
  <c r="EJ63" i="14"/>
  <c r="EI63" i="14"/>
  <c r="EH63" i="14"/>
  <c r="EG63" i="14"/>
  <c r="EF63" i="14"/>
  <c r="EE63" i="14"/>
  <c r="ED63" i="14"/>
  <c r="EC63" i="14"/>
  <c r="EB63" i="14"/>
  <c r="EA63" i="14"/>
  <c r="DZ63" i="14"/>
  <c r="DY63" i="14"/>
  <c r="DX63" i="14"/>
  <c r="DW63" i="14"/>
  <c r="DU63" i="14"/>
  <c r="DT63" i="14"/>
  <c r="DS63" i="14"/>
  <c r="DR63" i="14"/>
  <c r="DQ63" i="14"/>
  <c r="DP63" i="14"/>
  <c r="DO63" i="14"/>
  <c r="DN63" i="14"/>
  <c r="DM63" i="14"/>
  <c r="DL63" i="14"/>
  <c r="DK63" i="14"/>
  <c r="DJ63" i="14"/>
  <c r="DI63" i="14"/>
  <c r="DH63" i="14"/>
  <c r="DG63" i="14"/>
  <c r="DF63" i="14"/>
  <c r="DE63" i="14"/>
  <c r="DD63" i="14"/>
  <c r="FR57" i="14"/>
  <c r="FQ57" i="14"/>
  <c r="FP57" i="14"/>
  <c r="FO57" i="14"/>
  <c r="FN57" i="14"/>
  <c r="FM57" i="14"/>
  <c r="FL57" i="14"/>
  <c r="FK57" i="14"/>
  <c r="FJ57" i="14"/>
  <c r="FI57" i="14"/>
  <c r="FH57" i="14"/>
  <c r="FG57" i="14"/>
  <c r="FF57" i="14"/>
  <c r="FE57" i="14"/>
  <c r="FD57" i="14"/>
  <c r="FC57" i="14"/>
  <c r="FB57" i="14"/>
  <c r="FA57" i="14"/>
  <c r="EZ57" i="14"/>
  <c r="EY57" i="14"/>
  <c r="EX57" i="14"/>
  <c r="EW57" i="14"/>
  <c r="EV57" i="14"/>
  <c r="EU57" i="14"/>
  <c r="ET57" i="14"/>
  <c r="ES57" i="14"/>
  <c r="ER57" i="14"/>
  <c r="EQ57" i="14"/>
  <c r="EP57" i="14"/>
  <c r="EO57" i="14"/>
  <c r="EN57" i="14"/>
  <c r="EM57" i="14"/>
  <c r="EL57" i="14"/>
  <c r="EK57" i="14"/>
  <c r="EJ57" i="14"/>
  <c r="EI57" i="14"/>
  <c r="EH57" i="14"/>
  <c r="EG57" i="14"/>
  <c r="EF57" i="14"/>
  <c r="EE57" i="14"/>
  <c r="ED57" i="14"/>
  <c r="EC57" i="14"/>
  <c r="EB57" i="14"/>
  <c r="EA57" i="14"/>
  <c r="DZ57" i="14"/>
  <c r="DY57" i="14"/>
  <c r="DX57" i="14"/>
  <c r="DW57" i="14"/>
  <c r="DU57" i="14"/>
  <c r="DT57" i="14"/>
  <c r="DS57" i="14"/>
  <c r="DR57" i="14"/>
  <c r="DQ57" i="14"/>
  <c r="DP57" i="14"/>
  <c r="DO57" i="14"/>
  <c r="DN57" i="14"/>
  <c r="DM57" i="14"/>
  <c r="DL57" i="14"/>
  <c r="DK57" i="14"/>
  <c r="DJ57" i="14"/>
  <c r="DI57" i="14"/>
  <c r="DH57" i="14"/>
  <c r="DG57" i="14"/>
  <c r="DF57" i="14"/>
  <c r="DE57" i="14"/>
  <c r="DD57" i="14"/>
  <c r="DC57" i="14"/>
  <c r="FR52" i="14"/>
  <c r="FQ52" i="14"/>
  <c r="FP52" i="14"/>
  <c r="FO52" i="14"/>
  <c r="FN52" i="14"/>
  <c r="FM52" i="14"/>
  <c r="FL52" i="14"/>
  <c r="FK52" i="14"/>
  <c r="FJ52" i="14"/>
  <c r="FI52" i="14"/>
  <c r="FH52" i="14"/>
  <c r="FG52" i="14"/>
  <c r="FF52" i="14"/>
  <c r="FE52" i="14"/>
  <c r="FD52" i="14"/>
  <c r="FC52" i="14"/>
  <c r="FB52" i="14"/>
  <c r="FA52" i="14"/>
  <c r="EZ52" i="14"/>
  <c r="EY52" i="14"/>
  <c r="EX52" i="14"/>
  <c r="EW52" i="14"/>
  <c r="EV52" i="14"/>
  <c r="EU52" i="14"/>
  <c r="ET52" i="14"/>
  <c r="ES52" i="14"/>
  <c r="ER52" i="14"/>
  <c r="EQ52" i="14"/>
  <c r="EP52" i="14"/>
  <c r="EO52" i="14"/>
  <c r="EN52" i="14"/>
  <c r="EM52" i="14"/>
  <c r="EL52" i="14"/>
  <c r="EK52" i="14"/>
  <c r="EJ52" i="14"/>
  <c r="EI52" i="14"/>
  <c r="EH52" i="14"/>
  <c r="EG52" i="14"/>
  <c r="EF52" i="14"/>
  <c r="EE52" i="14"/>
  <c r="ED52" i="14"/>
  <c r="EC52" i="14"/>
  <c r="EB52" i="14"/>
  <c r="EA52" i="14"/>
  <c r="DZ52" i="14"/>
  <c r="DY52" i="14"/>
  <c r="DX52" i="14"/>
  <c r="DW52" i="14"/>
  <c r="DU52" i="14"/>
  <c r="DT52" i="14"/>
  <c r="DS52" i="14"/>
  <c r="DR52" i="14"/>
  <c r="DQ52" i="14"/>
  <c r="DP52" i="14"/>
  <c r="DO52" i="14"/>
  <c r="DN52" i="14"/>
  <c r="DM52" i="14"/>
  <c r="DL52" i="14"/>
  <c r="DK52" i="14"/>
  <c r="DJ52" i="14"/>
  <c r="DI52" i="14"/>
  <c r="DH52" i="14"/>
  <c r="DG52" i="14"/>
  <c r="DF52" i="14"/>
  <c r="DE52" i="14"/>
  <c r="DD52" i="14"/>
  <c r="DC52" i="14"/>
  <c r="FR44" i="14"/>
  <c r="FQ44" i="14"/>
  <c r="FP44" i="14"/>
  <c r="FO44" i="14"/>
  <c r="FN44" i="14"/>
  <c r="FM44" i="14"/>
  <c r="FL44" i="14"/>
  <c r="FK44" i="14"/>
  <c r="FJ44" i="14"/>
  <c r="FI44" i="14"/>
  <c r="FH44" i="14"/>
  <c r="FG44" i="14"/>
  <c r="FF44" i="14"/>
  <c r="FE44" i="14"/>
  <c r="FD44" i="14"/>
  <c r="FC44" i="14"/>
  <c r="FB44" i="14"/>
  <c r="FA44" i="14"/>
  <c r="EZ44" i="14"/>
  <c r="EY44" i="14"/>
  <c r="EX44" i="14"/>
  <c r="EW44" i="14"/>
  <c r="EV44" i="14"/>
  <c r="EU44" i="14"/>
  <c r="ET44" i="14"/>
  <c r="ES44" i="14"/>
  <c r="ER44" i="14"/>
  <c r="EQ44" i="14"/>
  <c r="EP44" i="14"/>
  <c r="EO44" i="14"/>
  <c r="EN44" i="14"/>
  <c r="EM44" i="14"/>
  <c r="EL44" i="14"/>
  <c r="EK44" i="14"/>
  <c r="EJ44" i="14"/>
  <c r="EI44" i="14"/>
  <c r="EH44" i="14"/>
  <c r="EG44" i="14"/>
  <c r="EF44" i="14"/>
  <c r="EE44" i="14"/>
  <c r="ED44" i="14"/>
  <c r="EC44" i="14"/>
  <c r="EB44" i="14"/>
  <c r="EA44" i="14"/>
  <c r="DZ44" i="14"/>
  <c r="DY44" i="14"/>
  <c r="DX44" i="14"/>
  <c r="DW44" i="14"/>
  <c r="DU44" i="14"/>
  <c r="DT44" i="14"/>
  <c r="DS44" i="14"/>
  <c r="DR44" i="14"/>
  <c r="DQ44" i="14"/>
  <c r="DP44" i="14"/>
  <c r="DO44" i="14"/>
  <c r="DN44" i="14"/>
  <c r="DM44" i="14"/>
  <c r="DL44" i="14"/>
  <c r="DK44" i="14"/>
  <c r="DJ44" i="14"/>
  <c r="DI44" i="14"/>
  <c r="DH44" i="14"/>
  <c r="DG44" i="14"/>
  <c r="DF44" i="14"/>
  <c r="DE44" i="14"/>
  <c r="DD44" i="14"/>
  <c r="DC44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W33" i="14"/>
  <c r="DX33" i="14"/>
  <c r="DY33" i="14"/>
  <c r="DZ33" i="14"/>
  <c r="EA33" i="14"/>
  <c r="EB33" i="14"/>
  <c r="EC33" i="14"/>
  <c r="ED33" i="14"/>
  <c r="EE33" i="14"/>
  <c r="EF33" i="14"/>
  <c r="EG33" i="14"/>
  <c r="EH33" i="14"/>
  <c r="EI33" i="14"/>
  <c r="EJ33" i="14"/>
  <c r="EK33" i="14"/>
  <c r="EL33" i="14"/>
  <c r="EM33" i="14"/>
  <c r="EN33" i="14"/>
  <c r="EO33" i="14"/>
  <c r="EP33" i="14"/>
  <c r="EQ33" i="14"/>
  <c r="ER33" i="14"/>
  <c r="ES33" i="14"/>
  <c r="ET33" i="14"/>
  <c r="EU33" i="14"/>
  <c r="EV33" i="14"/>
  <c r="EW33" i="14"/>
  <c r="EX33" i="14"/>
  <c r="EY33" i="14"/>
  <c r="EZ33" i="14"/>
  <c r="FA33" i="14"/>
  <c r="FB33" i="14"/>
  <c r="FC33" i="14"/>
  <c r="FD33" i="14"/>
  <c r="FE33" i="14"/>
  <c r="FF33" i="14"/>
  <c r="FG33" i="14"/>
  <c r="FH33" i="14"/>
  <c r="FI33" i="14"/>
  <c r="FJ33" i="14"/>
  <c r="FK33" i="14"/>
  <c r="FL33" i="14"/>
  <c r="FM33" i="14"/>
  <c r="FN33" i="14"/>
  <c r="FO33" i="14"/>
  <c r="FP33" i="14"/>
  <c r="FQ33" i="14"/>
  <c r="FR33" i="14"/>
  <c r="DC33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EP22" i="14"/>
  <c r="EQ22" i="14"/>
  <c r="ER22" i="14"/>
  <c r="ES22" i="14"/>
  <c r="ET22" i="14"/>
  <c r="EU22" i="14"/>
  <c r="EV22" i="14"/>
  <c r="EW22" i="14"/>
  <c r="EX22" i="14"/>
  <c r="EY22" i="14"/>
  <c r="EZ22" i="14"/>
  <c r="FA22" i="14"/>
  <c r="FB22" i="14"/>
  <c r="FC22" i="14"/>
  <c r="FD22" i="14"/>
  <c r="FE22" i="14"/>
  <c r="FF22" i="14"/>
  <c r="FG22" i="14"/>
  <c r="FH22" i="14"/>
  <c r="FI22" i="14"/>
  <c r="FJ22" i="14"/>
  <c r="FK22" i="14"/>
  <c r="FL22" i="14"/>
  <c r="FM22" i="14"/>
  <c r="FN22" i="14"/>
  <c r="FO22" i="14"/>
  <c r="FP22" i="14"/>
  <c r="FQ22" i="14"/>
  <c r="FR22" i="14"/>
  <c r="DC22" i="14"/>
  <c r="BC10" i="14" l="1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DC10" i="14"/>
  <c r="DD10" i="14"/>
  <c r="DE10" i="14"/>
  <c r="DF10" i="14"/>
  <c r="DG10" i="14"/>
  <c r="DH10" i="14"/>
  <c r="DI10" i="14"/>
  <c r="DJ10" i="14"/>
  <c r="DK10" i="14"/>
  <c r="DL10" i="14"/>
  <c r="DM10" i="14"/>
  <c r="DN10" i="14"/>
  <c r="DO10" i="14"/>
  <c r="DP10" i="14"/>
  <c r="DQ10" i="14"/>
  <c r="DR10" i="14"/>
  <c r="DS10" i="14"/>
  <c r="DT10" i="14"/>
  <c r="DU10" i="14"/>
  <c r="DW10" i="14"/>
  <c r="DX10" i="14"/>
  <c r="DY10" i="14"/>
  <c r="DZ10" i="14"/>
  <c r="EA10" i="14"/>
  <c r="EB10" i="14"/>
  <c r="EC10" i="14"/>
  <c r="ED10" i="14"/>
  <c r="EE10" i="14"/>
  <c r="EF10" i="14"/>
  <c r="EG10" i="14"/>
  <c r="EH10" i="14"/>
  <c r="EI10" i="14"/>
  <c r="EJ10" i="14"/>
  <c r="EK10" i="14"/>
  <c r="EL10" i="14"/>
  <c r="EM10" i="14"/>
  <c r="EN10" i="14"/>
  <c r="EO10" i="14"/>
  <c r="EP10" i="14"/>
  <c r="EQ10" i="14"/>
  <c r="ER10" i="14"/>
  <c r="ES10" i="14"/>
  <c r="ET10" i="14"/>
  <c r="EU10" i="14"/>
  <c r="EV10" i="14"/>
  <c r="EW10" i="14"/>
  <c r="EX10" i="14"/>
  <c r="EY10" i="14"/>
  <c r="EZ10" i="14"/>
  <c r="FA10" i="14"/>
  <c r="FB10" i="14"/>
  <c r="FC10" i="14"/>
  <c r="FD10" i="14"/>
  <c r="FE10" i="14"/>
  <c r="FF10" i="14"/>
  <c r="FG10" i="14"/>
  <c r="FH10" i="14"/>
  <c r="FI10" i="14"/>
  <c r="FJ10" i="14"/>
  <c r="FK10" i="14"/>
  <c r="FL10" i="14"/>
  <c r="FM10" i="14"/>
  <c r="FN10" i="14"/>
  <c r="FO10" i="14"/>
  <c r="FP10" i="14"/>
  <c r="FQ10" i="14"/>
  <c r="FR10" i="14"/>
  <c r="BB10" i="14"/>
  <c r="G10" i="8" l="1"/>
  <c r="G9" i="8"/>
  <c r="DV24" i="14"/>
  <c r="DV25" i="14"/>
  <c r="DV26" i="14"/>
  <c r="DV27" i="14"/>
  <c r="DV28" i="14"/>
  <c r="DV29" i="14"/>
  <c r="DV30" i="14"/>
  <c r="DV31" i="14"/>
  <c r="DV32" i="14"/>
  <c r="DV34" i="14"/>
  <c r="DV35" i="14"/>
  <c r="DV36" i="14"/>
  <c r="DV37" i="14"/>
  <c r="DV38" i="14"/>
  <c r="DV39" i="14"/>
  <c r="DV40" i="14"/>
  <c r="DV41" i="14"/>
  <c r="DV42" i="14"/>
  <c r="DV43" i="14"/>
  <c r="DV45" i="14"/>
  <c r="DV46" i="14"/>
  <c r="DV47" i="14"/>
  <c r="DV48" i="14"/>
  <c r="DV49" i="14"/>
  <c r="DV50" i="14"/>
  <c r="DV51" i="14"/>
  <c r="DV53" i="14"/>
  <c r="DV54" i="14"/>
  <c r="DV55" i="14"/>
  <c r="DV56" i="14"/>
  <c r="DV58" i="14"/>
  <c r="DV59" i="14"/>
  <c r="DV60" i="14"/>
  <c r="DV61" i="14"/>
  <c r="DV62" i="14"/>
  <c r="DV64" i="14"/>
  <c r="DV65" i="14"/>
  <c r="DV66" i="14"/>
  <c r="DV68" i="14"/>
  <c r="DV69" i="14"/>
  <c r="DV70" i="14"/>
  <c r="DV71" i="14"/>
  <c r="DV72" i="14"/>
  <c r="DV74" i="14"/>
  <c r="DV75" i="14"/>
  <c r="DV76" i="14"/>
  <c r="DV77" i="14"/>
  <c r="DV78" i="14"/>
  <c r="DV79" i="14"/>
  <c r="DV81" i="14"/>
  <c r="DV82" i="14"/>
  <c r="DV83" i="14"/>
  <c r="DV84" i="14"/>
  <c r="DV85" i="14"/>
  <c r="DV86" i="14"/>
  <c r="DV87" i="14"/>
  <c r="DV88" i="14"/>
  <c r="DV89" i="14"/>
  <c r="DV90" i="14"/>
  <c r="DV91" i="14"/>
  <c r="DV92" i="14"/>
  <c r="DV93" i="14"/>
  <c r="DV44" i="14" l="1"/>
  <c r="DV80" i="14"/>
  <c r="DV33" i="14"/>
  <c r="DV94" i="14"/>
  <c r="DV73" i="14"/>
  <c r="DV67" i="14"/>
  <c r="DV52" i="14"/>
  <c r="DV63" i="14"/>
  <c r="DV57" i="14"/>
  <c r="I10" i="13"/>
  <c r="DV10" i="14" l="1"/>
  <c r="W82" i="14" l="1"/>
  <c r="M35" i="14" l="1"/>
  <c r="K15" i="14"/>
  <c r="K18" i="14"/>
  <c r="AP16" i="14" l="1"/>
  <c r="AE14" i="14"/>
  <c r="M14" i="14"/>
  <c r="E11" i="14"/>
  <c r="G31" i="14"/>
  <c r="K16" i="14"/>
  <c r="G28" i="14"/>
  <c r="H18" i="14"/>
  <c r="L16" i="14"/>
  <c r="L27" i="14"/>
  <c r="K25" i="14"/>
  <c r="H26" i="14"/>
  <c r="P25" i="14"/>
  <c r="P84" i="14"/>
  <c r="P11" i="8" l="1"/>
  <c r="S10" i="8"/>
  <c r="AC10" i="8"/>
  <c r="G5" i="9" l="1"/>
  <c r="M84" i="14" l="1"/>
  <c r="M83" i="14"/>
  <c r="E83" i="14"/>
  <c r="E84" i="14"/>
  <c r="L84" i="14"/>
  <c r="C24" i="2" l="1"/>
  <c r="AA8" i="8"/>
  <c r="F77" i="14"/>
  <c r="G8" i="8"/>
  <c r="AF23" i="8" l="1"/>
  <c r="L23" i="8"/>
  <c r="W23" i="8"/>
  <c r="J13" i="16" l="1"/>
  <c r="I13" i="16"/>
  <c r="G13" i="16"/>
  <c r="F13" i="16"/>
  <c r="D13" i="16"/>
  <c r="C13" i="16"/>
  <c r="I13" i="13" l="1"/>
  <c r="H93" i="14" l="1"/>
  <c r="G93" i="14"/>
  <c r="F93" i="14"/>
  <c r="E93" i="14"/>
  <c r="H92" i="14"/>
  <c r="G92" i="14"/>
  <c r="F92" i="14"/>
  <c r="E92" i="14"/>
  <c r="H91" i="14"/>
  <c r="G91" i="14"/>
  <c r="F91" i="14"/>
  <c r="E91" i="14"/>
  <c r="H90" i="14"/>
  <c r="G90" i="14"/>
  <c r="F90" i="14"/>
  <c r="E90" i="14"/>
  <c r="H89" i="14"/>
  <c r="G89" i="14"/>
  <c r="F89" i="14"/>
  <c r="E89" i="14"/>
  <c r="H88" i="14"/>
  <c r="G88" i="14"/>
  <c r="F88" i="14"/>
  <c r="E88" i="14"/>
  <c r="H87" i="14"/>
  <c r="G87" i="14"/>
  <c r="F87" i="14"/>
  <c r="E87" i="14"/>
  <c r="H86" i="14"/>
  <c r="G86" i="14"/>
  <c r="F86" i="14"/>
  <c r="E86" i="14"/>
  <c r="H85" i="14"/>
  <c r="G85" i="14"/>
  <c r="F85" i="14"/>
  <c r="E85" i="14"/>
  <c r="H84" i="14"/>
  <c r="G84" i="14"/>
  <c r="F84" i="14"/>
  <c r="H83" i="14"/>
  <c r="G83" i="14"/>
  <c r="F83" i="14"/>
  <c r="H79" i="14"/>
  <c r="G79" i="14"/>
  <c r="F79" i="14"/>
  <c r="E79" i="14"/>
  <c r="H78" i="14"/>
  <c r="G78" i="14"/>
  <c r="F78" i="14"/>
  <c r="E78" i="14"/>
  <c r="H77" i="14"/>
  <c r="G77" i="14"/>
  <c r="E77" i="14"/>
  <c r="H76" i="14"/>
  <c r="G76" i="14"/>
  <c r="F76" i="14"/>
  <c r="E76" i="14"/>
  <c r="H75" i="14"/>
  <c r="G75" i="14"/>
  <c r="F75" i="14"/>
  <c r="E75" i="14"/>
  <c r="H72" i="14"/>
  <c r="G72" i="14"/>
  <c r="F72" i="14"/>
  <c r="E72" i="14"/>
  <c r="H71" i="14"/>
  <c r="G71" i="14"/>
  <c r="F71" i="14"/>
  <c r="E71" i="14"/>
  <c r="H70" i="14"/>
  <c r="G70" i="14"/>
  <c r="F70" i="14"/>
  <c r="E70" i="14"/>
  <c r="H69" i="14"/>
  <c r="G69" i="14"/>
  <c r="F69" i="14"/>
  <c r="E69" i="14"/>
  <c r="H66" i="14"/>
  <c r="G66" i="14"/>
  <c r="F66" i="14"/>
  <c r="E66" i="14"/>
  <c r="H65" i="14"/>
  <c r="G65" i="14"/>
  <c r="F65" i="14"/>
  <c r="E65" i="14"/>
  <c r="H64" i="14"/>
  <c r="G64" i="14"/>
  <c r="F64" i="14"/>
  <c r="E64" i="14"/>
  <c r="H62" i="14"/>
  <c r="G62" i="14"/>
  <c r="F62" i="14"/>
  <c r="E62" i="14"/>
  <c r="H61" i="14"/>
  <c r="G61" i="14"/>
  <c r="F61" i="14"/>
  <c r="E61" i="14"/>
  <c r="H60" i="14"/>
  <c r="G60" i="14"/>
  <c r="F60" i="14"/>
  <c r="E60" i="14"/>
  <c r="H59" i="14"/>
  <c r="G59" i="14"/>
  <c r="F59" i="14"/>
  <c r="E59" i="14"/>
  <c r="H58" i="14"/>
  <c r="G58" i="14"/>
  <c r="F58" i="14"/>
  <c r="E58" i="14"/>
  <c r="H56" i="14"/>
  <c r="G56" i="14"/>
  <c r="F56" i="14"/>
  <c r="E56" i="14"/>
  <c r="H55" i="14"/>
  <c r="G55" i="14"/>
  <c r="F55" i="14"/>
  <c r="E55" i="14"/>
  <c r="H54" i="14"/>
  <c r="G54" i="14"/>
  <c r="F54" i="14"/>
  <c r="E54" i="14"/>
  <c r="H53" i="14"/>
  <c r="G53" i="14"/>
  <c r="F53" i="14"/>
  <c r="E53" i="14"/>
  <c r="H51" i="14"/>
  <c r="G51" i="14"/>
  <c r="F51" i="14"/>
  <c r="E51" i="14"/>
  <c r="H50" i="14"/>
  <c r="G50" i="14"/>
  <c r="F50" i="14"/>
  <c r="E50" i="14"/>
  <c r="H49" i="14"/>
  <c r="G49" i="14"/>
  <c r="F49" i="14"/>
  <c r="E49" i="14"/>
  <c r="H48" i="14"/>
  <c r="G48" i="14"/>
  <c r="F48" i="14"/>
  <c r="E48" i="14"/>
  <c r="H47" i="14"/>
  <c r="G47" i="14"/>
  <c r="F47" i="14"/>
  <c r="E47" i="14"/>
  <c r="H46" i="14"/>
  <c r="G46" i="14"/>
  <c r="F46" i="14"/>
  <c r="E46" i="14"/>
  <c r="H45" i="14"/>
  <c r="G45" i="14"/>
  <c r="F45" i="14"/>
  <c r="E45" i="14"/>
  <c r="H43" i="14"/>
  <c r="G43" i="14"/>
  <c r="F43" i="14"/>
  <c r="E43" i="14"/>
  <c r="H42" i="14"/>
  <c r="G42" i="14"/>
  <c r="F42" i="14"/>
  <c r="E42" i="14"/>
  <c r="H41" i="14"/>
  <c r="G41" i="14"/>
  <c r="F41" i="14"/>
  <c r="E41" i="14"/>
  <c r="H40" i="14"/>
  <c r="G40" i="14"/>
  <c r="F40" i="14"/>
  <c r="E40" i="14"/>
  <c r="H39" i="14"/>
  <c r="G39" i="14"/>
  <c r="F39" i="14"/>
  <c r="E39" i="14"/>
  <c r="H38" i="14"/>
  <c r="G38" i="14"/>
  <c r="F38" i="14"/>
  <c r="E38" i="14"/>
  <c r="H37" i="14"/>
  <c r="G37" i="14"/>
  <c r="F37" i="14"/>
  <c r="E37" i="14"/>
  <c r="H36" i="14"/>
  <c r="G36" i="14"/>
  <c r="F36" i="14"/>
  <c r="E36" i="14"/>
  <c r="H35" i="14"/>
  <c r="G35" i="14"/>
  <c r="F35" i="14"/>
  <c r="E35" i="14"/>
  <c r="H34" i="14"/>
  <c r="G34" i="14"/>
  <c r="F34" i="14"/>
  <c r="E34" i="14"/>
  <c r="H32" i="14"/>
  <c r="G32" i="14"/>
  <c r="F32" i="14"/>
  <c r="E32" i="14"/>
  <c r="H31" i="14"/>
  <c r="F31" i="14"/>
  <c r="E31" i="14"/>
  <c r="H30" i="14"/>
  <c r="G30" i="14"/>
  <c r="F30" i="14"/>
  <c r="E30" i="14"/>
  <c r="H29" i="14"/>
  <c r="G29" i="14"/>
  <c r="F29" i="14"/>
  <c r="E29" i="14"/>
  <c r="H28" i="14"/>
  <c r="F28" i="14"/>
  <c r="E28" i="14"/>
  <c r="H27" i="14"/>
  <c r="G27" i="14"/>
  <c r="F27" i="14"/>
  <c r="E27" i="14"/>
  <c r="G26" i="14"/>
  <c r="F26" i="14"/>
  <c r="E26" i="14"/>
  <c r="H25" i="14"/>
  <c r="G25" i="14"/>
  <c r="F25" i="14"/>
  <c r="E25" i="14"/>
  <c r="H24" i="14"/>
  <c r="G24" i="14"/>
  <c r="F24" i="14"/>
  <c r="E24" i="14"/>
  <c r="H23" i="14"/>
  <c r="G23" i="14"/>
  <c r="F23" i="14"/>
  <c r="E23" i="14"/>
  <c r="K19" i="14"/>
  <c r="H12" i="14"/>
  <c r="H13" i="14"/>
  <c r="H14" i="14"/>
  <c r="H15" i="14"/>
  <c r="H16" i="14"/>
  <c r="H17" i="14"/>
  <c r="H19" i="14"/>
  <c r="H20" i="14"/>
  <c r="H21" i="14"/>
  <c r="G12" i="14"/>
  <c r="G13" i="14"/>
  <c r="G14" i="14"/>
  <c r="G15" i="14"/>
  <c r="G16" i="14"/>
  <c r="G17" i="14"/>
  <c r="G18" i="14"/>
  <c r="G19" i="14"/>
  <c r="G20" i="14"/>
  <c r="G21" i="14"/>
  <c r="F12" i="14"/>
  <c r="F13" i="14"/>
  <c r="F14" i="14"/>
  <c r="F15" i="14"/>
  <c r="F16" i="14"/>
  <c r="F17" i="14"/>
  <c r="F18" i="14"/>
  <c r="F19" i="14"/>
  <c r="F20" i="14"/>
  <c r="F21" i="14"/>
  <c r="H11" i="14"/>
  <c r="G11" i="14"/>
  <c r="F11" i="14"/>
  <c r="E12" i="14"/>
  <c r="E13" i="14"/>
  <c r="E14" i="14"/>
  <c r="E15" i="14"/>
  <c r="E16" i="14"/>
  <c r="E17" i="14"/>
  <c r="E18" i="14"/>
  <c r="E19" i="14"/>
  <c r="E20" i="14"/>
  <c r="E21" i="14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7" i="17"/>
  <c r="P14" i="8"/>
  <c r="G22" i="14" l="1"/>
  <c r="F33" i="14"/>
  <c r="D21" i="17"/>
  <c r="C21" i="17"/>
  <c r="E22" i="14"/>
  <c r="F22" i="14"/>
  <c r="F21" i="17"/>
  <c r="E21" i="17"/>
  <c r="J11" i="14"/>
  <c r="Q10" i="8" l="1"/>
  <c r="J17" i="16" l="1"/>
  <c r="I17" i="16"/>
  <c r="G17" i="16"/>
  <c r="F17" i="16"/>
  <c r="D17" i="16"/>
  <c r="C17" i="16"/>
  <c r="J33" i="16"/>
  <c r="I33" i="16"/>
  <c r="G33" i="16"/>
  <c r="F33" i="16"/>
  <c r="J28" i="16"/>
  <c r="I28" i="16"/>
  <c r="G28" i="16"/>
  <c r="F28" i="16"/>
  <c r="D28" i="16"/>
  <c r="C28" i="16"/>
  <c r="J27" i="16"/>
  <c r="I27" i="16"/>
  <c r="G27" i="16"/>
  <c r="F27" i="16"/>
  <c r="D27" i="16"/>
  <c r="C27" i="16"/>
  <c r="J20" i="16"/>
  <c r="I20" i="16"/>
  <c r="G20" i="16"/>
  <c r="F20" i="16"/>
  <c r="D20" i="16"/>
  <c r="C20" i="16"/>
  <c r="J18" i="16"/>
  <c r="I18" i="16"/>
  <c r="G18" i="16"/>
  <c r="F18" i="16"/>
  <c r="D18" i="16"/>
  <c r="C18" i="16"/>
  <c r="J15" i="16"/>
  <c r="I15" i="16"/>
  <c r="G15" i="16"/>
  <c r="F15" i="16"/>
  <c r="D15" i="16"/>
  <c r="C15" i="16"/>
  <c r="J14" i="16"/>
  <c r="I14" i="16"/>
  <c r="F14" i="16"/>
  <c r="G14" i="16"/>
  <c r="D14" i="16"/>
  <c r="H16" i="16"/>
  <c r="K21" i="16"/>
  <c r="H26" i="16"/>
  <c r="K29" i="16"/>
  <c r="E16" i="16"/>
  <c r="K19" i="16"/>
  <c r="E26" i="16"/>
  <c r="K31" i="16"/>
  <c r="K16" i="16"/>
  <c r="K22" i="16"/>
  <c r="K26" i="16"/>
  <c r="K30" i="16"/>
  <c r="K32" i="16"/>
  <c r="C14" i="16"/>
  <c r="E27" i="16" l="1"/>
  <c r="C23" i="16"/>
  <c r="G23" i="16"/>
  <c r="I23" i="16"/>
  <c r="D23" i="16"/>
  <c r="H17" i="16"/>
  <c r="E17" i="16"/>
  <c r="J23" i="16"/>
  <c r="F23" i="16"/>
  <c r="H33" i="16"/>
  <c r="E33" i="16"/>
  <c r="H28" i="16"/>
  <c r="E28" i="16"/>
  <c r="H27" i="16"/>
  <c r="H20" i="16"/>
  <c r="E20" i="16"/>
  <c r="H18" i="16"/>
  <c r="E18" i="16"/>
  <c r="H15" i="16"/>
  <c r="E15" i="16"/>
  <c r="H14" i="16"/>
  <c r="E14" i="16"/>
  <c r="H23" i="16" l="1"/>
  <c r="K14" i="16"/>
  <c r="K17" i="16"/>
  <c r="E23" i="16"/>
  <c r="K20" i="16"/>
  <c r="K28" i="16"/>
  <c r="K27" i="16"/>
  <c r="K18" i="16"/>
  <c r="K15" i="16"/>
  <c r="K23" i="16" l="1"/>
  <c r="O20" i="8"/>
  <c r="O53" i="14" l="1"/>
  <c r="AD16" i="14"/>
  <c r="P14" i="14"/>
  <c r="G9" i="13" l="1"/>
  <c r="E9" i="13"/>
  <c r="G8" i="13"/>
  <c r="G7" i="13"/>
  <c r="E8" i="13"/>
  <c r="E7" i="13"/>
  <c r="E6" i="13" l="1"/>
  <c r="AZ94" i="14" l="1"/>
  <c r="H94" i="14"/>
  <c r="G94" i="14"/>
  <c r="F94" i="14"/>
  <c r="E94" i="14"/>
  <c r="BA93" i="14"/>
  <c r="AY93" i="14"/>
  <c r="AX93" i="14"/>
  <c r="AV93" i="14"/>
  <c r="AS93" i="14"/>
  <c r="AR93" i="14"/>
  <c r="AP93" i="14"/>
  <c r="AO93" i="14"/>
  <c r="AN93" i="14"/>
  <c r="AM93" i="14"/>
  <c r="AJ93" i="14"/>
  <c r="AI93" i="14"/>
  <c r="AG93" i="14"/>
  <c r="AF93" i="14"/>
  <c r="AE93" i="14"/>
  <c r="AD93" i="14"/>
  <c r="Z93" i="14"/>
  <c r="Y93" i="14"/>
  <c r="W93" i="14"/>
  <c r="V93" i="14"/>
  <c r="U93" i="14"/>
  <c r="T93" i="14"/>
  <c r="P93" i="14"/>
  <c r="O93" i="14"/>
  <c r="M93" i="14"/>
  <c r="L93" i="14"/>
  <c r="K93" i="14"/>
  <c r="J93" i="14"/>
  <c r="I93" i="14"/>
  <c r="BA92" i="14"/>
  <c r="AY92" i="14"/>
  <c r="AX92" i="14"/>
  <c r="AV92" i="14"/>
  <c r="AS92" i="14"/>
  <c r="AR92" i="14"/>
  <c r="AP92" i="14"/>
  <c r="AO92" i="14"/>
  <c r="AN92" i="14"/>
  <c r="AM92" i="14"/>
  <c r="AJ92" i="14"/>
  <c r="AI92" i="14"/>
  <c r="AG92" i="14"/>
  <c r="AF92" i="14"/>
  <c r="AE92" i="14"/>
  <c r="AD92" i="14"/>
  <c r="Z92" i="14"/>
  <c r="Y92" i="14"/>
  <c r="W92" i="14"/>
  <c r="V92" i="14"/>
  <c r="U92" i="14"/>
  <c r="T92" i="14"/>
  <c r="P92" i="14"/>
  <c r="O92" i="14"/>
  <c r="M92" i="14"/>
  <c r="L92" i="14"/>
  <c r="K92" i="14"/>
  <c r="J92" i="14"/>
  <c r="I92" i="14"/>
  <c r="BA91" i="14"/>
  <c r="AY91" i="14"/>
  <c r="AX91" i="14"/>
  <c r="AV91" i="14"/>
  <c r="AS91" i="14"/>
  <c r="AR91" i="14"/>
  <c r="AP91" i="14"/>
  <c r="AO91" i="14"/>
  <c r="AN91" i="14"/>
  <c r="AM91" i="14"/>
  <c r="AJ91" i="14"/>
  <c r="AI91" i="14"/>
  <c r="AG91" i="14"/>
  <c r="AF91" i="14"/>
  <c r="AE91" i="14"/>
  <c r="AD91" i="14"/>
  <c r="Z91" i="14"/>
  <c r="Y91" i="14"/>
  <c r="W91" i="14"/>
  <c r="V91" i="14"/>
  <c r="U91" i="14"/>
  <c r="T91" i="14"/>
  <c r="P91" i="14"/>
  <c r="O91" i="14"/>
  <c r="M91" i="14"/>
  <c r="L91" i="14"/>
  <c r="K91" i="14"/>
  <c r="J91" i="14"/>
  <c r="I91" i="14"/>
  <c r="BA90" i="14"/>
  <c r="AY90" i="14"/>
  <c r="AX90" i="14"/>
  <c r="AV90" i="14"/>
  <c r="AS90" i="14"/>
  <c r="AR90" i="14"/>
  <c r="AP90" i="14"/>
  <c r="AO90" i="14"/>
  <c r="AN90" i="14"/>
  <c r="AM90" i="14"/>
  <c r="AJ90" i="14"/>
  <c r="AI90" i="14"/>
  <c r="AG90" i="14"/>
  <c r="AF90" i="14"/>
  <c r="AE90" i="14"/>
  <c r="AD90" i="14"/>
  <c r="Z90" i="14"/>
  <c r="Y90" i="14"/>
  <c r="W90" i="14"/>
  <c r="V90" i="14"/>
  <c r="U90" i="14"/>
  <c r="T90" i="14"/>
  <c r="P90" i="14"/>
  <c r="O90" i="14"/>
  <c r="M90" i="14"/>
  <c r="L90" i="14"/>
  <c r="K90" i="14"/>
  <c r="J90" i="14"/>
  <c r="I90" i="14"/>
  <c r="BA89" i="14"/>
  <c r="AY89" i="14"/>
  <c r="AX89" i="14"/>
  <c r="AV89" i="14"/>
  <c r="AS89" i="14"/>
  <c r="AR89" i="14"/>
  <c r="AP89" i="14"/>
  <c r="AO89" i="14"/>
  <c r="AN89" i="14"/>
  <c r="AM89" i="14"/>
  <c r="AJ89" i="14"/>
  <c r="AI89" i="14"/>
  <c r="AG89" i="14"/>
  <c r="AF89" i="14"/>
  <c r="AE89" i="14"/>
  <c r="AD89" i="14"/>
  <c r="Z89" i="14"/>
  <c r="Y89" i="14"/>
  <c r="W89" i="14"/>
  <c r="V89" i="14"/>
  <c r="U89" i="14"/>
  <c r="T89" i="14"/>
  <c r="P89" i="14"/>
  <c r="O89" i="14"/>
  <c r="M89" i="14"/>
  <c r="L89" i="14"/>
  <c r="K89" i="14"/>
  <c r="J89" i="14"/>
  <c r="I89" i="14"/>
  <c r="BA88" i="14"/>
  <c r="AY88" i="14"/>
  <c r="AX88" i="14"/>
  <c r="AV88" i="14"/>
  <c r="AS88" i="14"/>
  <c r="AR88" i="14"/>
  <c r="AP88" i="14"/>
  <c r="AO88" i="14"/>
  <c r="AN88" i="14"/>
  <c r="AM88" i="14"/>
  <c r="AJ88" i="14"/>
  <c r="AI88" i="14"/>
  <c r="AG88" i="14"/>
  <c r="AF88" i="14"/>
  <c r="AE88" i="14"/>
  <c r="AD88" i="14"/>
  <c r="Z88" i="14"/>
  <c r="Y88" i="14"/>
  <c r="W88" i="14"/>
  <c r="V88" i="14"/>
  <c r="U88" i="14"/>
  <c r="T88" i="14"/>
  <c r="P88" i="14"/>
  <c r="O88" i="14"/>
  <c r="M88" i="14"/>
  <c r="L88" i="14"/>
  <c r="K88" i="14"/>
  <c r="J88" i="14"/>
  <c r="I88" i="14"/>
  <c r="BA87" i="14"/>
  <c r="AY87" i="14"/>
  <c r="AX87" i="14"/>
  <c r="AV87" i="14"/>
  <c r="AS87" i="14"/>
  <c r="AR87" i="14"/>
  <c r="AP87" i="14"/>
  <c r="AO87" i="14"/>
  <c r="AN87" i="14"/>
  <c r="AM87" i="14"/>
  <c r="AJ87" i="14"/>
  <c r="AI87" i="14"/>
  <c r="AG87" i="14"/>
  <c r="AF87" i="14"/>
  <c r="AE87" i="14"/>
  <c r="AD87" i="14"/>
  <c r="Z87" i="14"/>
  <c r="Y87" i="14"/>
  <c r="W87" i="14"/>
  <c r="V87" i="14"/>
  <c r="U87" i="14"/>
  <c r="T87" i="14"/>
  <c r="P87" i="14"/>
  <c r="O87" i="14"/>
  <c r="M87" i="14"/>
  <c r="L87" i="14"/>
  <c r="K87" i="14"/>
  <c r="J87" i="14"/>
  <c r="I87" i="14"/>
  <c r="BA86" i="14"/>
  <c r="AY86" i="14"/>
  <c r="AX86" i="14"/>
  <c r="AV86" i="14"/>
  <c r="AS86" i="14"/>
  <c r="AR86" i="14"/>
  <c r="AP86" i="14"/>
  <c r="AO86" i="14"/>
  <c r="AN86" i="14"/>
  <c r="AM86" i="14"/>
  <c r="AJ86" i="14"/>
  <c r="AI86" i="14"/>
  <c r="AG86" i="14"/>
  <c r="AF86" i="14"/>
  <c r="AE86" i="14"/>
  <c r="AD86" i="14"/>
  <c r="Z86" i="14"/>
  <c r="Y86" i="14"/>
  <c r="W86" i="14"/>
  <c r="V86" i="14"/>
  <c r="U86" i="14"/>
  <c r="T86" i="14"/>
  <c r="P86" i="14"/>
  <c r="O86" i="14"/>
  <c r="M86" i="14"/>
  <c r="L86" i="14"/>
  <c r="K86" i="14"/>
  <c r="J86" i="14"/>
  <c r="I86" i="14"/>
  <c r="BA85" i="14"/>
  <c r="AY85" i="14"/>
  <c r="AX85" i="14"/>
  <c r="AV85" i="14"/>
  <c r="AS85" i="14"/>
  <c r="AR85" i="14"/>
  <c r="AP85" i="14"/>
  <c r="AO85" i="14"/>
  <c r="AN85" i="14"/>
  <c r="AM85" i="14"/>
  <c r="AJ85" i="14"/>
  <c r="AI85" i="14"/>
  <c r="AG85" i="14"/>
  <c r="AF85" i="14"/>
  <c r="AE85" i="14"/>
  <c r="AD85" i="14"/>
  <c r="Z85" i="14"/>
  <c r="Y85" i="14"/>
  <c r="W85" i="14"/>
  <c r="V85" i="14"/>
  <c r="U85" i="14"/>
  <c r="T85" i="14"/>
  <c r="P85" i="14"/>
  <c r="O85" i="14"/>
  <c r="M85" i="14"/>
  <c r="L85" i="14"/>
  <c r="K85" i="14"/>
  <c r="J85" i="14"/>
  <c r="I85" i="14"/>
  <c r="BA84" i="14"/>
  <c r="AY84" i="14"/>
  <c r="AX84" i="14"/>
  <c r="AV84" i="14"/>
  <c r="AS84" i="14"/>
  <c r="AR84" i="14"/>
  <c r="AP84" i="14"/>
  <c r="AO84" i="14"/>
  <c r="AN84" i="14"/>
  <c r="AM84" i="14"/>
  <c r="AJ84" i="14"/>
  <c r="AI84" i="14"/>
  <c r="AG84" i="14"/>
  <c r="AF84" i="14"/>
  <c r="AE84" i="14"/>
  <c r="AD84" i="14"/>
  <c r="Z84" i="14"/>
  <c r="Y84" i="14"/>
  <c r="W84" i="14"/>
  <c r="V84" i="14"/>
  <c r="U84" i="14"/>
  <c r="T84" i="14"/>
  <c r="O84" i="14"/>
  <c r="K84" i="14"/>
  <c r="J84" i="14"/>
  <c r="I84" i="14"/>
  <c r="BA83" i="14"/>
  <c r="AY83" i="14"/>
  <c r="AX83" i="14"/>
  <c r="AV83" i="14"/>
  <c r="AS83" i="14"/>
  <c r="AR83" i="14"/>
  <c r="AP83" i="14"/>
  <c r="AO83" i="14"/>
  <c r="AN83" i="14"/>
  <c r="AM83" i="14"/>
  <c r="AJ83" i="14"/>
  <c r="AI83" i="14"/>
  <c r="AG83" i="14"/>
  <c r="AF83" i="14"/>
  <c r="AE83" i="14"/>
  <c r="AD83" i="14"/>
  <c r="Z83" i="14"/>
  <c r="Y83" i="14"/>
  <c r="W83" i="14"/>
  <c r="V83" i="14"/>
  <c r="U83" i="14"/>
  <c r="T83" i="14"/>
  <c r="P83" i="14"/>
  <c r="O83" i="14"/>
  <c r="L83" i="14"/>
  <c r="K83" i="14"/>
  <c r="J83" i="14"/>
  <c r="I83" i="14"/>
  <c r="BA82" i="14"/>
  <c r="AY82" i="14"/>
  <c r="AX82" i="14"/>
  <c r="AV82" i="14"/>
  <c r="AS82" i="14"/>
  <c r="AR82" i="14"/>
  <c r="AP82" i="14"/>
  <c r="AO82" i="14"/>
  <c r="AN82" i="14"/>
  <c r="AM82" i="14"/>
  <c r="AJ82" i="14"/>
  <c r="AI82" i="14"/>
  <c r="AG82" i="14"/>
  <c r="AF82" i="14"/>
  <c r="AE82" i="14"/>
  <c r="AD82" i="14"/>
  <c r="Z82" i="14"/>
  <c r="Y82" i="14"/>
  <c r="V82" i="14"/>
  <c r="U82" i="14"/>
  <c r="T82" i="14"/>
  <c r="P82" i="14"/>
  <c r="O82" i="14"/>
  <c r="M82" i="14"/>
  <c r="L82" i="14"/>
  <c r="K82" i="14"/>
  <c r="J82" i="14"/>
  <c r="I82" i="14"/>
  <c r="BA81" i="14"/>
  <c r="AY81" i="14"/>
  <c r="AX81" i="14"/>
  <c r="AV81" i="14"/>
  <c r="AS81" i="14"/>
  <c r="AR81" i="14"/>
  <c r="AP81" i="14"/>
  <c r="AO81" i="14"/>
  <c r="AN81" i="14"/>
  <c r="AM81" i="14"/>
  <c r="AJ81" i="14"/>
  <c r="AI81" i="14"/>
  <c r="AG81" i="14"/>
  <c r="AF81" i="14"/>
  <c r="AE81" i="14"/>
  <c r="AD81" i="14"/>
  <c r="Z81" i="14"/>
  <c r="Y81" i="14"/>
  <c r="W81" i="14"/>
  <c r="V81" i="14"/>
  <c r="U81" i="14"/>
  <c r="T81" i="14"/>
  <c r="P81" i="14"/>
  <c r="O81" i="14"/>
  <c r="M81" i="14"/>
  <c r="L81" i="14"/>
  <c r="K81" i="14"/>
  <c r="J81" i="14"/>
  <c r="I81" i="14"/>
  <c r="AZ80" i="14"/>
  <c r="H80" i="14"/>
  <c r="G80" i="14"/>
  <c r="F80" i="14"/>
  <c r="E80" i="14"/>
  <c r="BA79" i="14"/>
  <c r="AY79" i="14"/>
  <c r="AX79" i="14"/>
  <c r="AV79" i="14"/>
  <c r="AS79" i="14"/>
  <c r="AR79" i="14"/>
  <c r="AP79" i="14"/>
  <c r="AO79" i="14"/>
  <c r="AN79" i="14"/>
  <c r="AM79" i="14"/>
  <c r="AJ79" i="14"/>
  <c r="AI79" i="14"/>
  <c r="AG79" i="14"/>
  <c r="AF79" i="14"/>
  <c r="AE79" i="14"/>
  <c r="AD79" i="14"/>
  <c r="Z79" i="14"/>
  <c r="Y79" i="14"/>
  <c r="W79" i="14"/>
  <c r="V79" i="14"/>
  <c r="U79" i="14"/>
  <c r="T79" i="14"/>
  <c r="P79" i="14"/>
  <c r="O79" i="14"/>
  <c r="M79" i="14"/>
  <c r="L79" i="14"/>
  <c r="K79" i="14"/>
  <c r="J79" i="14"/>
  <c r="I79" i="14"/>
  <c r="BA78" i="14"/>
  <c r="AY78" i="14"/>
  <c r="AX78" i="14"/>
  <c r="AV78" i="14"/>
  <c r="AS78" i="14"/>
  <c r="AR78" i="14"/>
  <c r="AP78" i="14"/>
  <c r="AO78" i="14"/>
  <c r="AN78" i="14"/>
  <c r="AM78" i="14"/>
  <c r="AJ78" i="14"/>
  <c r="AI78" i="14"/>
  <c r="AG78" i="14"/>
  <c r="AF78" i="14"/>
  <c r="AE78" i="14"/>
  <c r="AD78" i="14"/>
  <c r="Z78" i="14"/>
  <c r="Y78" i="14"/>
  <c r="W78" i="14"/>
  <c r="V78" i="14"/>
  <c r="U78" i="14"/>
  <c r="T78" i="14"/>
  <c r="P78" i="14"/>
  <c r="O78" i="14"/>
  <c r="M78" i="14"/>
  <c r="L78" i="14"/>
  <c r="K78" i="14"/>
  <c r="J78" i="14"/>
  <c r="I78" i="14"/>
  <c r="BA77" i="14"/>
  <c r="AY77" i="14"/>
  <c r="AX77" i="14"/>
  <c r="AV77" i="14"/>
  <c r="AS77" i="14"/>
  <c r="AR77" i="14"/>
  <c r="AP77" i="14"/>
  <c r="AO77" i="14"/>
  <c r="AN77" i="14"/>
  <c r="AM77" i="14"/>
  <c r="AJ77" i="14"/>
  <c r="AI77" i="14"/>
  <c r="AG77" i="14"/>
  <c r="AF77" i="14"/>
  <c r="AE77" i="14"/>
  <c r="AD77" i="14"/>
  <c r="Z77" i="14"/>
  <c r="Y77" i="14"/>
  <c r="W77" i="14"/>
  <c r="V77" i="14"/>
  <c r="U77" i="14"/>
  <c r="T77" i="14"/>
  <c r="P77" i="14"/>
  <c r="O77" i="14"/>
  <c r="M77" i="14"/>
  <c r="L77" i="14"/>
  <c r="K77" i="14"/>
  <c r="J77" i="14"/>
  <c r="I77" i="14"/>
  <c r="BA76" i="14"/>
  <c r="AY76" i="14"/>
  <c r="AX76" i="14"/>
  <c r="AV76" i="14"/>
  <c r="AS76" i="14"/>
  <c r="AR76" i="14"/>
  <c r="AP76" i="14"/>
  <c r="AO76" i="14"/>
  <c r="AN76" i="14"/>
  <c r="AM76" i="14"/>
  <c r="AJ76" i="14"/>
  <c r="AI76" i="14"/>
  <c r="AG76" i="14"/>
  <c r="AF76" i="14"/>
  <c r="AE76" i="14"/>
  <c r="AD76" i="14"/>
  <c r="Z76" i="14"/>
  <c r="Y76" i="14"/>
  <c r="W76" i="14"/>
  <c r="V76" i="14"/>
  <c r="U76" i="14"/>
  <c r="T76" i="14"/>
  <c r="P76" i="14"/>
  <c r="O76" i="14"/>
  <c r="M76" i="14"/>
  <c r="L76" i="14"/>
  <c r="K76" i="14"/>
  <c r="J76" i="14"/>
  <c r="I76" i="14"/>
  <c r="BA75" i="14"/>
  <c r="AY75" i="14"/>
  <c r="AX75" i="14"/>
  <c r="AV75" i="14"/>
  <c r="AS75" i="14"/>
  <c r="AR75" i="14"/>
  <c r="AP75" i="14"/>
  <c r="AO75" i="14"/>
  <c r="AN75" i="14"/>
  <c r="AM75" i="14"/>
  <c r="AJ75" i="14"/>
  <c r="AI75" i="14"/>
  <c r="AG75" i="14"/>
  <c r="AF75" i="14"/>
  <c r="AE75" i="14"/>
  <c r="AD75" i="14"/>
  <c r="Z75" i="14"/>
  <c r="Y75" i="14"/>
  <c r="W75" i="14"/>
  <c r="V75" i="14"/>
  <c r="U75" i="14"/>
  <c r="T75" i="14"/>
  <c r="P75" i="14"/>
  <c r="O75" i="14"/>
  <c r="M75" i="14"/>
  <c r="L75" i="14"/>
  <c r="K75" i="14"/>
  <c r="J75" i="14"/>
  <c r="I75" i="14"/>
  <c r="BA74" i="14"/>
  <c r="AY74" i="14"/>
  <c r="AX74" i="14"/>
  <c r="AV74" i="14"/>
  <c r="AS74" i="14"/>
  <c r="AR74" i="14"/>
  <c r="AP74" i="14"/>
  <c r="AO74" i="14"/>
  <c r="AN74" i="14"/>
  <c r="AM74" i="14"/>
  <c r="AJ74" i="14"/>
  <c r="AI74" i="14"/>
  <c r="AG74" i="14"/>
  <c r="AF74" i="14"/>
  <c r="AE74" i="14"/>
  <c r="AD74" i="14"/>
  <c r="Z74" i="14"/>
  <c r="Y74" i="14"/>
  <c r="W74" i="14"/>
  <c r="V74" i="14"/>
  <c r="U74" i="14"/>
  <c r="T74" i="14"/>
  <c r="P74" i="14"/>
  <c r="O74" i="14"/>
  <c r="M74" i="14"/>
  <c r="L74" i="14"/>
  <c r="K74" i="14"/>
  <c r="J74" i="14"/>
  <c r="I74" i="14"/>
  <c r="AZ73" i="14"/>
  <c r="H73" i="14"/>
  <c r="G73" i="14"/>
  <c r="F73" i="14"/>
  <c r="E73" i="14"/>
  <c r="BA72" i="14"/>
  <c r="AY72" i="14"/>
  <c r="AX72" i="14"/>
  <c r="AV72" i="14"/>
  <c r="AS72" i="14"/>
  <c r="AR72" i="14"/>
  <c r="AP72" i="14"/>
  <c r="AO72" i="14"/>
  <c r="AN72" i="14"/>
  <c r="AM72" i="14"/>
  <c r="AJ72" i="14"/>
  <c r="AI72" i="14"/>
  <c r="AG72" i="14"/>
  <c r="AF72" i="14"/>
  <c r="AE72" i="14"/>
  <c r="AD72" i="14"/>
  <c r="Z72" i="14"/>
  <c r="Y72" i="14"/>
  <c r="W72" i="14"/>
  <c r="V72" i="14"/>
  <c r="U72" i="14"/>
  <c r="T72" i="14"/>
  <c r="P72" i="14"/>
  <c r="O72" i="14"/>
  <c r="M72" i="14"/>
  <c r="L72" i="14"/>
  <c r="K72" i="14"/>
  <c r="J72" i="14"/>
  <c r="I72" i="14"/>
  <c r="BA71" i="14"/>
  <c r="AY71" i="14"/>
  <c r="AX71" i="14"/>
  <c r="AV71" i="14"/>
  <c r="AS71" i="14"/>
  <c r="AR71" i="14"/>
  <c r="AP71" i="14"/>
  <c r="AO71" i="14"/>
  <c r="AN71" i="14"/>
  <c r="AM71" i="14"/>
  <c r="AJ71" i="14"/>
  <c r="AI71" i="14"/>
  <c r="AG71" i="14"/>
  <c r="AF71" i="14"/>
  <c r="AE71" i="14"/>
  <c r="AD71" i="14"/>
  <c r="Z71" i="14"/>
  <c r="Y71" i="14"/>
  <c r="W71" i="14"/>
  <c r="V71" i="14"/>
  <c r="U71" i="14"/>
  <c r="T71" i="14"/>
  <c r="P71" i="14"/>
  <c r="O71" i="14"/>
  <c r="M71" i="14"/>
  <c r="L71" i="14"/>
  <c r="K71" i="14"/>
  <c r="J71" i="14"/>
  <c r="I71" i="14"/>
  <c r="BA70" i="14"/>
  <c r="AY70" i="14"/>
  <c r="AX70" i="14"/>
  <c r="AV70" i="14"/>
  <c r="AS70" i="14"/>
  <c r="AR70" i="14"/>
  <c r="AP70" i="14"/>
  <c r="AO70" i="14"/>
  <c r="AN70" i="14"/>
  <c r="AM70" i="14"/>
  <c r="AJ70" i="14"/>
  <c r="AI70" i="14"/>
  <c r="AG70" i="14"/>
  <c r="AF70" i="14"/>
  <c r="AE70" i="14"/>
  <c r="AD70" i="14"/>
  <c r="Z70" i="14"/>
  <c r="Y70" i="14"/>
  <c r="W70" i="14"/>
  <c r="V70" i="14"/>
  <c r="U70" i="14"/>
  <c r="T70" i="14"/>
  <c r="P70" i="14"/>
  <c r="O70" i="14"/>
  <c r="M70" i="14"/>
  <c r="L70" i="14"/>
  <c r="K70" i="14"/>
  <c r="J70" i="14"/>
  <c r="I70" i="14"/>
  <c r="BA69" i="14"/>
  <c r="AY69" i="14"/>
  <c r="AX69" i="14"/>
  <c r="AV69" i="14"/>
  <c r="AS69" i="14"/>
  <c r="AR69" i="14"/>
  <c r="AP69" i="14"/>
  <c r="AO69" i="14"/>
  <c r="AN69" i="14"/>
  <c r="AM69" i="14"/>
  <c r="AJ69" i="14"/>
  <c r="AI69" i="14"/>
  <c r="AG69" i="14"/>
  <c r="AF69" i="14"/>
  <c r="AE69" i="14"/>
  <c r="AD69" i="14"/>
  <c r="Z69" i="14"/>
  <c r="Y69" i="14"/>
  <c r="W69" i="14"/>
  <c r="V69" i="14"/>
  <c r="U69" i="14"/>
  <c r="T69" i="14"/>
  <c r="P69" i="14"/>
  <c r="O69" i="14"/>
  <c r="M69" i="14"/>
  <c r="L69" i="14"/>
  <c r="K69" i="14"/>
  <c r="J69" i="14"/>
  <c r="I69" i="14"/>
  <c r="BA68" i="14"/>
  <c r="AY68" i="14"/>
  <c r="AX68" i="14"/>
  <c r="AV68" i="14"/>
  <c r="AS68" i="14"/>
  <c r="AR68" i="14"/>
  <c r="AP68" i="14"/>
  <c r="AO68" i="14"/>
  <c r="AN68" i="14"/>
  <c r="AM68" i="14"/>
  <c r="AJ68" i="14"/>
  <c r="AI68" i="14"/>
  <c r="AG68" i="14"/>
  <c r="AF68" i="14"/>
  <c r="AE68" i="14"/>
  <c r="AD68" i="14"/>
  <c r="Z68" i="14"/>
  <c r="Y68" i="14"/>
  <c r="W68" i="14"/>
  <c r="V68" i="14"/>
  <c r="U68" i="14"/>
  <c r="T68" i="14"/>
  <c r="P68" i="14"/>
  <c r="O68" i="14"/>
  <c r="M68" i="14"/>
  <c r="L68" i="14"/>
  <c r="K68" i="14"/>
  <c r="J68" i="14"/>
  <c r="I68" i="14"/>
  <c r="AZ67" i="14"/>
  <c r="H67" i="14"/>
  <c r="G67" i="14"/>
  <c r="F67" i="14"/>
  <c r="E67" i="14"/>
  <c r="BA66" i="14"/>
  <c r="AY66" i="14"/>
  <c r="AX66" i="14"/>
  <c r="AV66" i="14"/>
  <c r="AS66" i="14"/>
  <c r="AR66" i="14"/>
  <c r="AP66" i="14"/>
  <c r="AO66" i="14"/>
  <c r="AN66" i="14"/>
  <c r="AM66" i="14"/>
  <c r="AJ66" i="14"/>
  <c r="AI66" i="14"/>
  <c r="AG66" i="14"/>
  <c r="AF66" i="14"/>
  <c r="AE66" i="14"/>
  <c r="AD66" i="14"/>
  <c r="Z66" i="14"/>
  <c r="Y66" i="14"/>
  <c r="W66" i="14"/>
  <c r="V66" i="14"/>
  <c r="U66" i="14"/>
  <c r="T66" i="14"/>
  <c r="P66" i="14"/>
  <c r="O66" i="14"/>
  <c r="M66" i="14"/>
  <c r="L66" i="14"/>
  <c r="K66" i="14"/>
  <c r="J66" i="14"/>
  <c r="I66" i="14"/>
  <c r="BA65" i="14"/>
  <c r="AY65" i="14"/>
  <c r="AX65" i="14"/>
  <c r="AV65" i="14"/>
  <c r="AS65" i="14"/>
  <c r="AR65" i="14"/>
  <c r="AP65" i="14"/>
  <c r="AO65" i="14"/>
  <c r="AN65" i="14"/>
  <c r="AM65" i="14"/>
  <c r="AJ65" i="14"/>
  <c r="AI65" i="14"/>
  <c r="AG65" i="14"/>
  <c r="AF65" i="14"/>
  <c r="AE65" i="14"/>
  <c r="AD65" i="14"/>
  <c r="Z65" i="14"/>
  <c r="Y65" i="14"/>
  <c r="W65" i="14"/>
  <c r="V65" i="14"/>
  <c r="U65" i="14"/>
  <c r="T65" i="14"/>
  <c r="P65" i="14"/>
  <c r="O65" i="14"/>
  <c r="M65" i="14"/>
  <c r="L65" i="14"/>
  <c r="K65" i="14"/>
  <c r="J65" i="14"/>
  <c r="I65" i="14"/>
  <c r="BA64" i="14"/>
  <c r="AY64" i="14"/>
  <c r="AX64" i="14"/>
  <c r="AV64" i="14"/>
  <c r="AS64" i="14"/>
  <c r="AR64" i="14"/>
  <c r="AP64" i="14"/>
  <c r="AO64" i="14"/>
  <c r="AN64" i="14"/>
  <c r="AM64" i="14"/>
  <c r="AJ64" i="14"/>
  <c r="AI64" i="14"/>
  <c r="AG64" i="14"/>
  <c r="AF64" i="14"/>
  <c r="AE64" i="14"/>
  <c r="AD64" i="14"/>
  <c r="Z64" i="14"/>
  <c r="Y64" i="14"/>
  <c r="W64" i="14"/>
  <c r="V64" i="14"/>
  <c r="U64" i="14"/>
  <c r="T64" i="14"/>
  <c r="P64" i="14"/>
  <c r="O64" i="14"/>
  <c r="M64" i="14"/>
  <c r="L64" i="14"/>
  <c r="K64" i="14"/>
  <c r="J64" i="14"/>
  <c r="I64" i="14"/>
  <c r="AZ63" i="14"/>
  <c r="H63" i="14"/>
  <c r="G63" i="14"/>
  <c r="F63" i="14"/>
  <c r="E63" i="14"/>
  <c r="BA62" i="14"/>
  <c r="AY62" i="14"/>
  <c r="AX62" i="14"/>
  <c r="AV62" i="14"/>
  <c r="AS62" i="14"/>
  <c r="AR62" i="14"/>
  <c r="AP62" i="14"/>
  <c r="AO62" i="14"/>
  <c r="AN62" i="14"/>
  <c r="AM62" i="14"/>
  <c r="AJ62" i="14"/>
  <c r="AI62" i="14"/>
  <c r="AG62" i="14"/>
  <c r="AF62" i="14"/>
  <c r="AE62" i="14"/>
  <c r="AD62" i="14"/>
  <c r="Z62" i="14"/>
  <c r="Y62" i="14"/>
  <c r="W62" i="14"/>
  <c r="V62" i="14"/>
  <c r="U62" i="14"/>
  <c r="T62" i="14"/>
  <c r="P62" i="14"/>
  <c r="O62" i="14"/>
  <c r="M62" i="14"/>
  <c r="L62" i="14"/>
  <c r="K62" i="14"/>
  <c r="J62" i="14"/>
  <c r="I62" i="14"/>
  <c r="BA61" i="14"/>
  <c r="AY61" i="14"/>
  <c r="AX61" i="14"/>
  <c r="AV61" i="14"/>
  <c r="AS61" i="14"/>
  <c r="AR61" i="14"/>
  <c r="AP61" i="14"/>
  <c r="AO61" i="14"/>
  <c r="AN61" i="14"/>
  <c r="AM61" i="14"/>
  <c r="AJ61" i="14"/>
  <c r="AI61" i="14"/>
  <c r="AG61" i="14"/>
  <c r="AF61" i="14"/>
  <c r="AE61" i="14"/>
  <c r="AD61" i="14"/>
  <c r="Z61" i="14"/>
  <c r="Y61" i="14"/>
  <c r="W61" i="14"/>
  <c r="V61" i="14"/>
  <c r="U61" i="14"/>
  <c r="T61" i="14"/>
  <c r="P61" i="14"/>
  <c r="O61" i="14"/>
  <c r="M61" i="14"/>
  <c r="L61" i="14"/>
  <c r="K61" i="14"/>
  <c r="J61" i="14"/>
  <c r="I61" i="14"/>
  <c r="BA60" i="14"/>
  <c r="AY60" i="14"/>
  <c r="AX60" i="14"/>
  <c r="AV60" i="14"/>
  <c r="AS60" i="14"/>
  <c r="AR60" i="14"/>
  <c r="AP60" i="14"/>
  <c r="AO60" i="14"/>
  <c r="AN60" i="14"/>
  <c r="AM60" i="14"/>
  <c r="AJ60" i="14"/>
  <c r="AI60" i="14"/>
  <c r="AG60" i="14"/>
  <c r="AF60" i="14"/>
  <c r="AE60" i="14"/>
  <c r="AD60" i="14"/>
  <c r="Z60" i="14"/>
  <c r="Y60" i="14"/>
  <c r="W60" i="14"/>
  <c r="V60" i="14"/>
  <c r="U60" i="14"/>
  <c r="T60" i="14"/>
  <c r="P60" i="14"/>
  <c r="O60" i="14"/>
  <c r="M60" i="14"/>
  <c r="L60" i="14"/>
  <c r="K60" i="14"/>
  <c r="J60" i="14"/>
  <c r="I60" i="14"/>
  <c r="BA59" i="14"/>
  <c r="AY59" i="14"/>
  <c r="AX59" i="14"/>
  <c r="AV59" i="14"/>
  <c r="AS59" i="14"/>
  <c r="AR59" i="14"/>
  <c r="AP59" i="14"/>
  <c r="AO59" i="14"/>
  <c r="AN59" i="14"/>
  <c r="AM59" i="14"/>
  <c r="AJ59" i="14"/>
  <c r="AI59" i="14"/>
  <c r="AG59" i="14"/>
  <c r="AF59" i="14"/>
  <c r="AE59" i="14"/>
  <c r="AD59" i="14"/>
  <c r="Z59" i="14"/>
  <c r="Y59" i="14"/>
  <c r="W59" i="14"/>
  <c r="V59" i="14"/>
  <c r="U59" i="14"/>
  <c r="T59" i="14"/>
  <c r="P59" i="14"/>
  <c r="O59" i="14"/>
  <c r="M59" i="14"/>
  <c r="L59" i="14"/>
  <c r="K59" i="14"/>
  <c r="J59" i="14"/>
  <c r="I59" i="14"/>
  <c r="BA58" i="14"/>
  <c r="AY58" i="14"/>
  <c r="AX58" i="14"/>
  <c r="AV58" i="14"/>
  <c r="AS58" i="14"/>
  <c r="AR58" i="14"/>
  <c r="AP58" i="14"/>
  <c r="AO58" i="14"/>
  <c r="AN58" i="14"/>
  <c r="AM58" i="14"/>
  <c r="AJ58" i="14"/>
  <c r="AI58" i="14"/>
  <c r="AG58" i="14"/>
  <c r="AF58" i="14"/>
  <c r="AE58" i="14"/>
  <c r="AD58" i="14"/>
  <c r="Z58" i="14"/>
  <c r="Y58" i="14"/>
  <c r="W58" i="14"/>
  <c r="V58" i="14"/>
  <c r="U58" i="14"/>
  <c r="T58" i="14"/>
  <c r="P58" i="14"/>
  <c r="O58" i="14"/>
  <c r="M58" i="14"/>
  <c r="L58" i="14"/>
  <c r="K58" i="14"/>
  <c r="J58" i="14"/>
  <c r="I58" i="14"/>
  <c r="AZ57" i="14"/>
  <c r="H57" i="14"/>
  <c r="G57" i="14"/>
  <c r="F57" i="14"/>
  <c r="E57" i="14"/>
  <c r="BA56" i="14"/>
  <c r="AY56" i="14"/>
  <c r="AX56" i="14"/>
  <c r="AV56" i="14"/>
  <c r="AS56" i="14"/>
  <c r="AR56" i="14"/>
  <c r="AP56" i="14"/>
  <c r="AO56" i="14"/>
  <c r="AN56" i="14"/>
  <c r="AM56" i="14"/>
  <c r="AJ56" i="14"/>
  <c r="AI56" i="14"/>
  <c r="AG56" i="14"/>
  <c r="AF56" i="14"/>
  <c r="AE56" i="14"/>
  <c r="AD56" i="14"/>
  <c r="Z56" i="14"/>
  <c r="Y56" i="14"/>
  <c r="W56" i="14"/>
  <c r="V56" i="14"/>
  <c r="U56" i="14"/>
  <c r="T56" i="14"/>
  <c r="P56" i="14"/>
  <c r="O56" i="14"/>
  <c r="M56" i="14"/>
  <c r="L56" i="14"/>
  <c r="K56" i="14"/>
  <c r="J56" i="14"/>
  <c r="I56" i="14"/>
  <c r="BA55" i="14"/>
  <c r="AY55" i="14"/>
  <c r="AX55" i="14"/>
  <c r="AV55" i="14"/>
  <c r="AS55" i="14"/>
  <c r="AR55" i="14"/>
  <c r="AP55" i="14"/>
  <c r="AO55" i="14"/>
  <c r="AN55" i="14"/>
  <c r="AM55" i="14"/>
  <c r="AJ55" i="14"/>
  <c r="AI55" i="14"/>
  <c r="AG55" i="14"/>
  <c r="AF55" i="14"/>
  <c r="AE55" i="14"/>
  <c r="AD55" i="14"/>
  <c r="Z55" i="14"/>
  <c r="Y55" i="14"/>
  <c r="W55" i="14"/>
  <c r="V55" i="14"/>
  <c r="U55" i="14"/>
  <c r="T55" i="14"/>
  <c r="P55" i="14"/>
  <c r="O55" i="14"/>
  <c r="M55" i="14"/>
  <c r="L55" i="14"/>
  <c r="K55" i="14"/>
  <c r="J55" i="14"/>
  <c r="I55" i="14"/>
  <c r="BA54" i="14"/>
  <c r="AY54" i="14"/>
  <c r="AX54" i="14"/>
  <c r="AV54" i="14"/>
  <c r="AS54" i="14"/>
  <c r="AR54" i="14"/>
  <c r="AP54" i="14"/>
  <c r="AO54" i="14"/>
  <c r="AN54" i="14"/>
  <c r="AM54" i="14"/>
  <c r="AJ54" i="14"/>
  <c r="AI54" i="14"/>
  <c r="AG54" i="14"/>
  <c r="AF54" i="14"/>
  <c r="AE54" i="14"/>
  <c r="AD54" i="14"/>
  <c r="Z54" i="14"/>
  <c r="Y54" i="14"/>
  <c r="W54" i="14"/>
  <c r="V54" i="14"/>
  <c r="U54" i="14"/>
  <c r="T54" i="14"/>
  <c r="P54" i="14"/>
  <c r="O54" i="14"/>
  <c r="M54" i="14"/>
  <c r="L54" i="14"/>
  <c r="K54" i="14"/>
  <c r="J54" i="14"/>
  <c r="I54" i="14"/>
  <c r="BA53" i="14"/>
  <c r="AY53" i="14"/>
  <c r="AX53" i="14"/>
  <c r="AV53" i="14"/>
  <c r="AS53" i="14"/>
  <c r="AR53" i="14"/>
  <c r="AP53" i="14"/>
  <c r="AO53" i="14"/>
  <c r="AN53" i="14"/>
  <c r="AM53" i="14"/>
  <c r="AJ53" i="14"/>
  <c r="AI53" i="14"/>
  <c r="AG53" i="14"/>
  <c r="AF53" i="14"/>
  <c r="AE53" i="14"/>
  <c r="AD53" i="14"/>
  <c r="Z53" i="14"/>
  <c r="Y53" i="14"/>
  <c r="W53" i="14"/>
  <c r="V53" i="14"/>
  <c r="U53" i="14"/>
  <c r="T53" i="14"/>
  <c r="P53" i="14"/>
  <c r="Q53" i="14" s="1"/>
  <c r="M53" i="14"/>
  <c r="L53" i="14"/>
  <c r="K53" i="14"/>
  <c r="J53" i="14"/>
  <c r="I53" i="14"/>
  <c r="AZ52" i="14"/>
  <c r="H52" i="14"/>
  <c r="G52" i="14"/>
  <c r="F52" i="14"/>
  <c r="E52" i="14"/>
  <c r="BA51" i="14"/>
  <c r="AY51" i="14"/>
  <c r="AX51" i="14"/>
  <c r="AV51" i="14"/>
  <c r="AS51" i="14"/>
  <c r="AR51" i="14"/>
  <c r="AP51" i="14"/>
  <c r="AO51" i="14"/>
  <c r="AN51" i="14"/>
  <c r="AM51" i="14"/>
  <c r="AJ51" i="14"/>
  <c r="AI51" i="14"/>
  <c r="AG51" i="14"/>
  <c r="AF51" i="14"/>
  <c r="AE51" i="14"/>
  <c r="AD51" i="14"/>
  <c r="Z51" i="14"/>
  <c r="Y51" i="14"/>
  <c r="W51" i="14"/>
  <c r="V51" i="14"/>
  <c r="U51" i="14"/>
  <c r="T51" i="14"/>
  <c r="P51" i="14"/>
  <c r="O51" i="14"/>
  <c r="M51" i="14"/>
  <c r="L51" i="14"/>
  <c r="K51" i="14"/>
  <c r="J51" i="14"/>
  <c r="I51" i="14"/>
  <c r="BA50" i="14"/>
  <c r="AY50" i="14"/>
  <c r="AX50" i="14"/>
  <c r="AV50" i="14"/>
  <c r="AS50" i="14"/>
  <c r="AR50" i="14"/>
  <c r="AP50" i="14"/>
  <c r="AO50" i="14"/>
  <c r="AN50" i="14"/>
  <c r="AM50" i="14"/>
  <c r="AJ50" i="14"/>
  <c r="AI50" i="14"/>
  <c r="AG50" i="14"/>
  <c r="AF50" i="14"/>
  <c r="AE50" i="14"/>
  <c r="AD50" i="14"/>
  <c r="Z50" i="14"/>
  <c r="Y50" i="14"/>
  <c r="W50" i="14"/>
  <c r="V50" i="14"/>
  <c r="U50" i="14"/>
  <c r="T50" i="14"/>
  <c r="P50" i="14"/>
  <c r="O50" i="14"/>
  <c r="M50" i="14"/>
  <c r="L50" i="14"/>
  <c r="K50" i="14"/>
  <c r="J50" i="14"/>
  <c r="I50" i="14"/>
  <c r="BA49" i="14"/>
  <c r="AY49" i="14"/>
  <c r="AX49" i="14"/>
  <c r="AV49" i="14"/>
  <c r="AS49" i="14"/>
  <c r="AR49" i="14"/>
  <c r="AP49" i="14"/>
  <c r="AO49" i="14"/>
  <c r="AN49" i="14"/>
  <c r="AM49" i="14"/>
  <c r="AJ49" i="14"/>
  <c r="AI49" i="14"/>
  <c r="AG49" i="14"/>
  <c r="AF49" i="14"/>
  <c r="AE49" i="14"/>
  <c r="AD49" i="14"/>
  <c r="Z49" i="14"/>
  <c r="Y49" i="14"/>
  <c r="W49" i="14"/>
  <c r="V49" i="14"/>
  <c r="U49" i="14"/>
  <c r="T49" i="14"/>
  <c r="P49" i="14"/>
  <c r="O49" i="14"/>
  <c r="M49" i="14"/>
  <c r="L49" i="14"/>
  <c r="K49" i="14"/>
  <c r="J49" i="14"/>
  <c r="I49" i="14"/>
  <c r="BA48" i="14"/>
  <c r="AY48" i="14"/>
  <c r="AX48" i="14"/>
  <c r="AV48" i="14"/>
  <c r="AS48" i="14"/>
  <c r="AR48" i="14"/>
  <c r="AP48" i="14"/>
  <c r="AO48" i="14"/>
  <c r="AN48" i="14"/>
  <c r="AM48" i="14"/>
  <c r="AJ48" i="14"/>
  <c r="AI48" i="14"/>
  <c r="AG48" i="14"/>
  <c r="AF48" i="14"/>
  <c r="AE48" i="14"/>
  <c r="AD48" i="14"/>
  <c r="Z48" i="14"/>
  <c r="Y48" i="14"/>
  <c r="W48" i="14"/>
  <c r="V48" i="14"/>
  <c r="U48" i="14"/>
  <c r="T48" i="14"/>
  <c r="P48" i="14"/>
  <c r="O48" i="14"/>
  <c r="M48" i="14"/>
  <c r="L48" i="14"/>
  <c r="K48" i="14"/>
  <c r="J48" i="14"/>
  <c r="I48" i="14"/>
  <c r="BA47" i="14"/>
  <c r="AY47" i="14"/>
  <c r="AX47" i="14"/>
  <c r="AV47" i="14"/>
  <c r="AS47" i="14"/>
  <c r="AR47" i="14"/>
  <c r="AP47" i="14"/>
  <c r="AO47" i="14"/>
  <c r="AN47" i="14"/>
  <c r="AM47" i="14"/>
  <c r="AJ47" i="14"/>
  <c r="AI47" i="14"/>
  <c r="AG47" i="14"/>
  <c r="AF47" i="14"/>
  <c r="AE47" i="14"/>
  <c r="AD47" i="14"/>
  <c r="Z47" i="14"/>
  <c r="Y47" i="14"/>
  <c r="W47" i="14"/>
  <c r="V47" i="14"/>
  <c r="U47" i="14"/>
  <c r="T47" i="14"/>
  <c r="P47" i="14"/>
  <c r="O47" i="14"/>
  <c r="M47" i="14"/>
  <c r="L47" i="14"/>
  <c r="K47" i="14"/>
  <c r="J47" i="14"/>
  <c r="I47" i="14"/>
  <c r="BA46" i="14"/>
  <c r="AY46" i="14"/>
  <c r="AX46" i="14"/>
  <c r="AV46" i="14"/>
  <c r="AS46" i="14"/>
  <c r="AR46" i="14"/>
  <c r="AP46" i="14"/>
  <c r="AO46" i="14"/>
  <c r="AN46" i="14"/>
  <c r="AM46" i="14"/>
  <c r="AJ46" i="14"/>
  <c r="AI46" i="14"/>
  <c r="AG46" i="14"/>
  <c r="AF46" i="14"/>
  <c r="AE46" i="14"/>
  <c r="AD46" i="14"/>
  <c r="Z46" i="14"/>
  <c r="Y46" i="14"/>
  <c r="W46" i="14"/>
  <c r="V46" i="14"/>
  <c r="U46" i="14"/>
  <c r="T46" i="14"/>
  <c r="P46" i="14"/>
  <c r="O46" i="14"/>
  <c r="M46" i="14"/>
  <c r="L46" i="14"/>
  <c r="K46" i="14"/>
  <c r="J46" i="14"/>
  <c r="I46" i="14"/>
  <c r="BA45" i="14"/>
  <c r="AY45" i="14"/>
  <c r="AX45" i="14"/>
  <c r="AV45" i="14"/>
  <c r="AS45" i="14"/>
  <c r="AR45" i="14"/>
  <c r="AP45" i="14"/>
  <c r="AO45" i="14"/>
  <c r="AN45" i="14"/>
  <c r="AM45" i="14"/>
  <c r="AJ45" i="14"/>
  <c r="AI45" i="14"/>
  <c r="AG45" i="14"/>
  <c r="AF45" i="14"/>
  <c r="AE45" i="14"/>
  <c r="AD45" i="14"/>
  <c r="Z45" i="14"/>
  <c r="Y45" i="14"/>
  <c r="W45" i="14"/>
  <c r="V45" i="14"/>
  <c r="U45" i="14"/>
  <c r="T45" i="14"/>
  <c r="P45" i="14"/>
  <c r="O45" i="14"/>
  <c r="M45" i="14"/>
  <c r="L45" i="14"/>
  <c r="K45" i="14"/>
  <c r="J45" i="14"/>
  <c r="I45" i="14"/>
  <c r="AZ44" i="14"/>
  <c r="H44" i="14"/>
  <c r="G44" i="14"/>
  <c r="F44" i="14"/>
  <c r="E44" i="14"/>
  <c r="BA43" i="14"/>
  <c r="AY43" i="14"/>
  <c r="AX43" i="14"/>
  <c r="AS43" i="14"/>
  <c r="AR43" i="14"/>
  <c r="AP43" i="14"/>
  <c r="AO43" i="14"/>
  <c r="AN43" i="14"/>
  <c r="AM43" i="14"/>
  <c r="AJ43" i="14"/>
  <c r="AI43" i="14"/>
  <c r="AG43" i="14"/>
  <c r="AF43" i="14"/>
  <c r="AE43" i="14"/>
  <c r="AD43" i="14"/>
  <c r="Z43" i="14"/>
  <c r="Y43" i="14"/>
  <c r="W43" i="14"/>
  <c r="V43" i="14"/>
  <c r="U43" i="14"/>
  <c r="T43" i="14"/>
  <c r="P43" i="14"/>
  <c r="O43" i="14"/>
  <c r="M43" i="14"/>
  <c r="L43" i="14"/>
  <c r="K43" i="14"/>
  <c r="J43" i="14"/>
  <c r="I43" i="14"/>
  <c r="BA42" i="14"/>
  <c r="AY42" i="14"/>
  <c r="AX42" i="14"/>
  <c r="AS42" i="14"/>
  <c r="AR42" i="14"/>
  <c r="AP42" i="14"/>
  <c r="AO42" i="14"/>
  <c r="AN42" i="14"/>
  <c r="AM42" i="14"/>
  <c r="AJ42" i="14"/>
  <c r="AI42" i="14"/>
  <c r="AG42" i="14"/>
  <c r="AF42" i="14"/>
  <c r="AE42" i="14"/>
  <c r="AD42" i="14"/>
  <c r="Z42" i="14"/>
  <c r="Y42" i="14"/>
  <c r="W42" i="14"/>
  <c r="V42" i="14"/>
  <c r="U42" i="14"/>
  <c r="T42" i="14"/>
  <c r="P42" i="14"/>
  <c r="O42" i="14"/>
  <c r="M42" i="14"/>
  <c r="L42" i="14"/>
  <c r="K42" i="14"/>
  <c r="J42" i="14"/>
  <c r="I42" i="14"/>
  <c r="BA41" i="14"/>
  <c r="AY41" i="14"/>
  <c r="AX41" i="14"/>
  <c r="AS41" i="14"/>
  <c r="AR41" i="14"/>
  <c r="AP41" i="14"/>
  <c r="AO41" i="14"/>
  <c r="AN41" i="14"/>
  <c r="AM41" i="14"/>
  <c r="AJ41" i="14"/>
  <c r="AI41" i="14"/>
  <c r="AG41" i="14"/>
  <c r="AF41" i="14"/>
  <c r="AE41" i="14"/>
  <c r="AD41" i="14"/>
  <c r="Z41" i="14"/>
  <c r="Y41" i="14"/>
  <c r="W41" i="14"/>
  <c r="V41" i="14"/>
  <c r="U41" i="14"/>
  <c r="T41" i="14"/>
  <c r="P41" i="14"/>
  <c r="O41" i="14"/>
  <c r="M41" i="14"/>
  <c r="L41" i="14"/>
  <c r="K41" i="14"/>
  <c r="J41" i="14"/>
  <c r="I41" i="14"/>
  <c r="BA40" i="14"/>
  <c r="AY40" i="14"/>
  <c r="AX40" i="14"/>
  <c r="AS40" i="14"/>
  <c r="AR40" i="14"/>
  <c r="AP40" i="14"/>
  <c r="AO40" i="14"/>
  <c r="AN40" i="14"/>
  <c r="AM40" i="14"/>
  <c r="AJ40" i="14"/>
  <c r="AI40" i="14"/>
  <c r="AG40" i="14"/>
  <c r="AF40" i="14"/>
  <c r="AE40" i="14"/>
  <c r="AD40" i="14"/>
  <c r="Z40" i="14"/>
  <c r="Y40" i="14"/>
  <c r="W40" i="14"/>
  <c r="V40" i="14"/>
  <c r="U40" i="14"/>
  <c r="T40" i="14"/>
  <c r="P40" i="14"/>
  <c r="O40" i="14"/>
  <c r="M40" i="14"/>
  <c r="L40" i="14"/>
  <c r="K40" i="14"/>
  <c r="J40" i="14"/>
  <c r="I40" i="14"/>
  <c r="BA39" i="14"/>
  <c r="AY39" i="14"/>
  <c r="AX39" i="14"/>
  <c r="AS39" i="14"/>
  <c r="AR39" i="14"/>
  <c r="AP39" i="14"/>
  <c r="AO39" i="14"/>
  <c r="AN39" i="14"/>
  <c r="AM39" i="14"/>
  <c r="AJ39" i="14"/>
  <c r="AI39" i="14"/>
  <c r="AG39" i="14"/>
  <c r="AF39" i="14"/>
  <c r="AE39" i="14"/>
  <c r="AD39" i="14"/>
  <c r="Z39" i="14"/>
  <c r="Y39" i="14"/>
  <c r="W39" i="14"/>
  <c r="V39" i="14"/>
  <c r="U39" i="14"/>
  <c r="T39" i="14"/>
  <c r="P39" i="14"/>
  <c r="O39" i="14"/>
  <c r="M39" i="14"/>
  <c r="L39" i="14"/>
  <c r="K39" i="14"/>
  <c r="J39" i="14"/>
  <c r="I39" i="14"/>
  <c r="BA38" i="14"/>
  <c r="AY38" i="14"/>
  <c r="AX38" i="14"/>
  <c r="AS38" i="14"/>
  <c r="AR38" i="14"/>
  <c r="AP38" i="14"/>
  <c r="AO38" i="14"/>
  <c r="AN38" i="14"/>
  <c r="AM38" i="14"/>
  <c r="AJ38" i="14"/>
  <c r="AI38" i="14"/>
  <c r="AG38" i="14"/>
  <c r="AF38" i="14"/>
  <c r="AE38" i="14"/>
  <c r="AD38" i="14"/>
  <c r="Z38" i="14"/>
  <c r="Y38" i="14"/>
  <c r="W38" i="14"/>
  <c r="V38" i="14"/>
  <c r="U38" i="14"/>
  <c r="T38" i="14"/>
  <c r="P38" i="14"/>
  <c r="O38" i="14"/>
  <c r="M38" i="14"/>
  <c r="L38" i="14"/>
  <c r="K38" i="14"/>
  <c r="J38" i="14"/>
  <c r="I38" i="14"/>
  <c r="BA37" i="14"/>
  <c r="AY37" i="14"/>
  <c r="AX37" i="14"/>
  <c r="AS37" i="14"/>
  <c r="AR37" i="14"/>
  <c r="AP37" i="14"/>
  <c r="AO37" i="14"/>
  <c r="AN37" i="14"/>
  <c r="AM37" i="14"/>
  <c r="AJ37" i="14"/>
  <c r="AI37" i="14"/>
  <c r="AG37" i="14"/>
  <c r="AF37" i="14"/>
  <c r="AE37" i="14"/>
  <c r="AD37" i="14"/>
  <c r="Z37" i="14"/>
  <c r="Y37" i="14"/>
  <c r="W37" i="14"/>
  <c r="V37" i="14"/>
  <c r="U37" i="14"/>
  <c r="T37" i="14"/>
  <c r="P37" i="14"/>
  <c r="O37" i="14"/>
  <c r="M37" i="14"/>
  <c r="L37" i="14"/>
  <c r="K37" i="14"/>
  <c r="J37" i="14"/>
  <c r="I37" i="14"/>
  <c r="BA36" i="14"/>
  <c r="AY36" i="14"/>
  <c r="AX36" i="14"/>
  <c r="AS36" i="14"/>
  <c r="AR36" i="14"/>
  <c r="AP36" i="14"/>
  <c r="AO36" i="14"/>
  <c r="AN36" i="14"/>
  <c r="AM36" i="14"/>
  <c r="AJ36" i="14"/>
  <c r="AI36" i="14"/>
  <c r="AG36" i="14"/>
  <c r="AF36" i="14"/>
  <c r="AE36" i="14"/>
  <c r="AD36" i="14"/>
  <c r="Z36" i="14"/>
  <c r="Y36" i="14"/>
  <c r="W36" i="14"/>
  <c r="V36" i="14"/>
  <c r="U36" i="14"/>
  <c r="T36" i="14"/>
  <c r="P36" i="14"/>
  <c r="O36" i="14"/>
  <c r="M36" i="14"/>
  <c r="L36" i="14"/>
  <c r="K36" i="14"/>
  <c r="J36" i="14"/>
  <c r="I36" i="14"/>
  <c r="BA35" i="14"/>
  <c r="AY35" i="14"/>
  <c r="AX35" i="14"/>
  <c r="AS35" i="14"/>
  <c r="AR35" i="14"/>
  <c r="AP35" i="14"/>
  <c r="AO35" i="14"/>
  <c r="AN35" i="14"/>
  <c r="AM35" i="14"/>
  <c r="AJ35" i="14"/>
  <c r="AI35" i="14"/>
  <c r="AG35" i="14"/>
  <c r="AF35" i="14"/>
  <c r="AE35" i="14"/>
  <c r="AD35" i="14"/>
  <c r="Z35" i="14"/>
  <c r="Y35" i="14"/>
  <c r="W35" i="14"/>
  <c r="V35" i="14"/>
  <c r="U35" i="14"/>
  <c r="T35" i="14"/>
  <c r="P35" i="14"/>
  <c r="O35" i="14"/>
  <c r="L35" i="14"/>
  <c r="K35" i="14"/>
  <c r="J35" i="14"/>
  <c r="I35" i="14"/>
  <c r="BA34" i="14"/>
  <c r="AY34" i="14"/>
  <c r="AX34" i="14"/>
  <c r="AV34" i="14"/>
  <c r="AS34" i="14"/>
  <c r="AR34" i="14"/>
  <c r="AP34" i="14"/>
  <c r="AO34" i="14"/>
  <c r="AN34" i="14"/>
  <c r="AM34" i="14"/>
  <c r="AJ34" i="14"/>
  <c r="AI34" i="14"/>
  <c r="AG34" i="14"/>
  <c r="AF34" i="14"/>
  <c r="AE34" i="14"/>
  <c r="AD34" i="14"/>
  <c r="Z34" i="14"/>
  <c r="Y34" i="14"/>
  <c r="W34" i="14"/>
  <c r="V34" i="14"/>
  <c r="U34" i="14"/>
  <c r="T34" i="14"/>
  <c r="P34" i="14"/>
  <c r="O34" i="14"/>
  <c r="M34" i="14"/>
  <c r="L34" i="14"/>
  <c r="K34" i="14"/>
  <c r="J34" i="14"/>
  <c r="I34" i="14"/>
  <c r="AZ33" i="14"/>
  <c r="H33" i="14"/>
  <c r="G33" i="14"/>
  <c r="BA32" i="14"/>
  <c r="AY32" i="14"/>
  <c r="AX32" i="14"/>
  <c r="AV32" i="14"/>
  <c r="AS32" i="14"/>
  <c r="AR32" i="14"/>
  <c r="AP32" i="14"/>
  <c r="AO32" i="14"/>
  <c r="AN32" i="14"/>
  <c r="AM32" i="14"/>
  <c r="AJ32" i="14"/>
  <c r="AI32" i="14"/>
  <c r="AG32" i="14"/>
  <c r="AF32" i="14"/>
  <c r="AE32" i="14"/>
  <c r="AD32" i="14"/>
  <c r="Z32" i="14"/>
  <c r="Y32" i="14"/>
  <c r="W32" i="14"/>
  <c r="V32" i="14"/>
  <c r="U32" i="14"/>
  <c r="T32" i="14"/>
  <c r="P32" i="14"/>
  <c r="O32" i="14"/>
  <c r="M32" i="14"/>
  <c r="L32" i="14"/>
  <c r="K32" i="14"/>
  <c r="J32" i="14"/>
  <c r="BA31" i="14"/>
  <c r="AY31" i="14"/>
  <c r="AX31" i="14"/>
  <c r="AV31" i="14"/>
  <c r="AS31" i="14"/>
  <c r="AR31" i="14"/>
  <c r="AP31" i="14"/>
  <c r="AO31" i="14"/>
  <c r="AN31" i="14"/>
  <c r="AM31" i="14"/>
  <c r="AJ31" i="14"/>
  <c r="AI31" i="14"/>
  <c r="AG31" i="14"/>
  <c r="AF31" i="14"/>
  <c r="AE31" i="14"/>
  <c r="AD31" i="14"/>
  <c r="Z31" i="14"/>
  <c r="Y31" i="14"/>
  <c r="W31" i="14"/>
  <c r="V31" i="14"/>
  <c r="U31" i="14"/>
  <c r="T31" i="14"/>
  <c r="P31" i="14"/>
  <c r="O31" i="14"/>
  <c r="M31" i="14"/>
  <c r="L31" i="14"/>
  <c r="K31" i="14"/>
  <c r="J31" i="14"/>
  <c r="BA30" i="14"/>
  <c r="AY30" i="14"/>
  <c r="AX30" i="14"/>
  <c r="AV30" i="14"/>
  <c r="AS30" i="14"/>
  <c r="AR30" i="14"/>
  <c r="AP30" i="14"/>
  <c r="AO30" i="14"/>
  <c r="AN30" i="14"/>
  <c r="AM30" i="14"/>
  <c r="AJ30" i="14"/>
  <c r="AI30" i="14"/>
  <c r="AG30" i="14"/>
  <c r="AF30" i="14"/>
  <c r="AE30" i="14"/>
  <c r="AD30" i="14"/>
  <c r="Z30" i="14"/>
  <c r="Y30" i="14"/>
  <c r="W30" i="14"/>
  <c r="V30" i="14"/>
  <c r="U30" i="14"/>
  <c r="T30" i="14"/>
  <c r="P30" i="14"/>
  <c r="O30" i="14"/>
  <c r="M30" i="14"/>
  <c r="L30" i="14"/>
  <c r="K30" i="14"/>
  <c r="J30" i="14"/>
  <c r="BA29" i="14"/>
  <c r="AY29" i="14"/>
  <c r="AX29" i="14"/>
  <c r="AV29" i="14"/>
  <c r="AS29" i="14"/>
  <c r="AR29" i="14"/>
  <c r="AP29" i="14"/>
  <c r="AO29" i="14"/>
  <c r="AN29" i="14"/>
  <c r="AM29" i="14"/>
  <c r="AJ29" i="14"/>
  <c r="AI29" i="14"/>
  <c r="AG29" i="14"/>
  <c r="AF29" i="14"/>
  <c r="AE29" i="14"/>
  <c r="AD29" i="14"/>
  <c r="Z29" i="14"/>
  <c r="Y29" i="14"/>
  <c r="W29" i="14"/>
  <c r="V29" i="14"/>
  <c r="U29" i="14"/>
  <c r="T29" i="14"/>
  <c r="P29" i="14"/>
  <c r="O29" i="14"/>
  <c r="M29" i="14"/>
  <c r="L29" i="14"/>
  <c r="K29" i="14"/>
  <c r="J29" i="14"/>
  <c r="BA28" i="14"/>
  <c r="AY28" i="14"/>
  <c r="AX28" i="14"/>
  <c r="AV28" i="14"/>
  <c r="AS28" i="14"/>
  <c r="AR28" i="14"/>
  <c r="AP28" i="14"/>
  <c r="AO28" i="14"/>
  <c r="AN28" i="14"/>
  <c r="AM28" i="14"/>
  <c r="AJ28" i="14"/>
  <c r="AI28" i="14"/>
  <c r="AG28" i="14"/>
  <c r="AF28" i="14"/>
  <c r="AE28" i="14"/>
  <c r="AD28" i="14"/>
  <c r="Z28" i="14"/>
  <c r="Y28" i="14"/>
  <c r="W28" i="14"/>
  <c r="V28" i="14"/>
  <c r="U28" i="14"/>
  <c r="T28" i="14"/>
  <c r="P28" i="14"/>
  <c r="O28" i="14"/>
  <c r="M28" i="14"/>
  <c r="L28" i="14"/>
  <c r="K28" i="14"/>
  <c r="J28" i="14"/>
  <c r="BA27" i="14"/>
  <c r="AY27" i="14"/>
  <c r="AX27" i="14"/>
  <c r="AV27" i="14"/>
  <c r="AS27" i="14"/>
  <c r="AR27" i="14"/>
  <c r="AP27" i="14"/>
  <c r="AO27" i="14"/>
  <c r="AN27" i="14"/>
  <c r="AM27" i="14"/>
  <c r="AJ27" i="14"/>
  <c r="AI27" i="14"/>
  <c r="AG27" i="14"/>
  <c r="AF27" i="14"/>
  <c r="AE27" i="14"/>
  <c r="AD27" i="14"/>
  <c r="Z27" i="14"/>
  <c r="Y27" i="14"/>
  <c r="W27" i="14"/>
  <c r="V27" i="14"/>
  <c r="U27" i="14"/>
  <c r="T27" i="14"/>
  <c r="P27" i="14"/>
  <c r="O27" i="14"/>
  <c r="M27" i="14"/>
  <c r="K27" i="14"/>
  <c r="J27" i="14"/>
  <c r="BA26" i="14"/>
  <c r="AY26" i="14"/>
  <c r="AX26" i="14"/>
  <c r="AV26" i="14"/>
  <c r="AS26" i="14"/>
  <c r="AR26" i="14"/>
  <c r="AP26" i="14"/>
  <c r="AO26" i="14"/>
  <c r="AN26" i="14"/>
  <c r="AM26" i="14"/>
  <c r="AJ26" i="14"/>
  <c r="AI26" i="14"/>
  <c r="AG26" i="14"/>
  <c r="AF26" i="14"/>
  <c r="AE26" i="14"/>
  <c r="AD26" i="14"/>
  <c r="Z26" i="14"/>
  <c r="Y26" i="14"/>
  <c r="W26" i="14"/>
  <c r="V26" i="14"/>
  <c r="U26" i="14"/>
  <c r="T26" i="14"/>
  <c r="P26" i="14"/>
  <c r="O26" i="14"/>
  <c r="M26" i="14"/>
  <c r="L26" i="14"/>
  <c r="K26" i="14"/>
  <c r="J26" i="14"/>
  <c r="BA25" i="14"/>
  <c r="AY25" i="14"/>
  <c r="AX25" i="14"/>
  <c r="AV25" i="14"/>
  <c r="AS25" i="14"/>
  <c r="AR25" i="14"/>
  <c r="AP25" i="14"/>
  <c r="AO25" i="14"/>
  <c r="AN25" i="14"/>
  <c r="AM25" i="14"/>
  <c r="AJ25" i="14"/>
  <c r="AI25" i="14"/>
  <c r="AG25" i="14"/>
  <c r="AF25" i="14"/>
  <c r="AE25" i="14"/>
  <c r="AD25" i="14"/>
  <c r="Z25" i="14"/>
  <c r="Y25" i="14"/>
  <c r="W25" i="14"/>
  <c r="V25" i="14"/>
  <c r="U25" i="14"/>
  <c r="T25" i="14"/>
  <c r="O25" i="14"/>
  <c r="M25" i="14"/>
  <c r="L25" i="14"/>
  <c r="J25" i="14"/>
  <c r="BA24" i="14"/>
  <c r="AY24" i="14"/>
  <c r="AX24" i="14"/>
  <c r="AV24" i="14"/>
  <c r="AS24" i="14"/>
  <c r="AR24" i="14"/>
  <c r="AP24" i="14"/>
  <c r="AO24" i="14"/>
  <c r="AN24" i="14"/>
  <c r="AM24" i="14"/>
  <c r="AJ24" i="14"/>
  <c r="AI24" i="14"/>
  <c r="AG24" i="14"/>
  <c r="AF24" i="14"/>
  <c r="AE24" i="14"/>
  <c r="AD24" i="14"/>
  <c r="Z24" i="14"/>
  <c r="Y24" i="14"/>
  <c r="W24" i="14"/>
  <c r="V24" i="14"/>
  <c r="U24" i="14"/>
  <c r="T24" i="14"/>
  <c r="P24" i="14"/>
  <c r="O24" i="14"/>
  <c r="M24" i="14"/>
  <c r="L24" i="14"/>
  <c r="K24" i="14"/>
  <c r="J24" i="14"/>
  <c r="BA23" i="14"/>
  <c r="AY23" i="14"/>
  <c r="AX23" i="14"/>
  <c r="AV23" i="14"/>
  <c r="AS23" i="14"/>
  <c r="AR23" i="14"/>
  <c r="AP23" i="14"/>
  <c r="AO23" i="14"/>
  <c r="AN23" i="14"/>
  <c r="AM23" i="14"/>
  <c r="AJ23" i="14"/>
  <c r="AI23" i="14"/>
  <c r="AG23" i="14"/>
  <c r="AF23" i="14"/>
  <c r="AE23" i="14"/>
  <c r="AD23" i="14"/>
  <c r="Z23" i="14"/>
  <c r="Y23" i="14"/>
  <c r="W23" i="14"/>
  <c r="V23" i="14"/>
  <c r="U23" i="14"/>
  <c r="T23" i="14"/>
  <c r="P23" i="14"/>
  <c r="O23" i="14"/>
  <c r="M23" i="14"/>
  <c r="L23" i="14"/>
  <c r="K23" i="14"/>
  <c r="J23" i="14"/>
  <c r="AZ22" i="14"/>
  <c r="AZ95" i="14" s="1"/>
  <c r="H22" i="14"/>
  <c r="BA21" i="14"/>
  <c r="AY21" i="14"/>
  <c r="AX21" i="14"/>
  <c r="AV21" i="14"/>
  <c r="AS21" i="14"/>
  <c r="AR21" i="14"/>
  <c r="AP21" i="14"/>
  <c r="AO21" i="14"/>
  <c r="AN21" i="14"/>
  <c r="AM21" i="14"/>
  <c r="AJ21" i="14"/>
  <c r="AI21" i="14"/>
  <c r="AG21" i="14"/>
  <c r="AF21" i="14"/>
  <c r="AE21" i="14"/>
  <c r="AD21" i="14"/>
  <c r="Z21" i="14"/>
  <c r="Y21" i="14"/>
  <c r="W21" i="14"/>
  <c r="V21" i="14"/>
  <c r="U21" i="14"/>
  <c r="T21" i="14"/>
  <c r="P21" i="14"/>
  <c r="O21" i="14"/>
  <c r="M21" i="14"/>
  <c r="L21" i="14"/>
  <c r="K21" i="14"/>
  <c r="J21" i="14"/>
  <c r="BA20" i="14"/>
  <c r="AY20" i="14"/>
  <c r="AX20" i="14"/>
  <c r="AV20" i="14"/>
  <c r="AS20" i="14"/>
  <c r="AR20" i="14"/>
  <c r="AP20" i="14"/>
  <c r="AO20" i="14"/>
  <c r="AN20" i="14"/>
  <c r="AM20" i="14"/>
  <c r="AJ20" i="14"/>
  <c r="AI20" i="14"/>
  <c r="AG20" i="14"/>
  <c r="AF20" i="14"/>
  <c r="AE20" i="14"/>
  <c r="AD20" i="14"/>
  <c r="Z20" i="14"/>
  <c r="Y20" i="14"/>
  <c r="W20" i="14"/>
  <c r="V20" i="14"/>
  <c r="U20" i="14"/>
  <c r="T20" i="14"/>
  <c r="P20" i="14"/>
  <c r="O20" i="14"/>
  <c r="M20" i="14"/>
  <c r="L20" i="14"/>
  <c r="K20" i="14"/>
  <c r="J20" i="14"/>
  <c r="BA19" i="14"/>
  <c r="AY19" i="14"/>
  <c r="AX19" i="14"/>
  <c r="AV19" i="14"/>
  <c r="AS19" i="14"/>
  <c r="AR19" i="14"/>
  <c r="AP19" i="14"/>
  <c r="AO19" i="14"/>
  <c r="AN19" i="14"/>
  <c r="AM19" i="14"/>
  <c r="AJ19" i="14"/>
  <c r="AI19" i="14"/>
  <c r="AG19" i="14"/>
  <c r="AF19" i="14"/>
  <c r="AE19" i="14"/>
  <c r="AD19" i="14"/>
  <c r="Z19" i="14"/>
  <c r="Y19" i="14"/>
  <c r="W19" i="14"/>
  <c r="V19" i="14"/>
  <c r="U19" i="14"/>
  <c r="T19" i="14"/>
  <c r="P19" i="14"/>
  <c r="O19" i="14"/>
  <c r="M19" i="14"/>
  <c r="L19" i="14"/>
  <c r="J19" i="14"/>
  <c r="BA18" i="14"/>
  <c r="AY18" i="14"/>
  <c r="AX18" i="14"/>
  <c r="AV18" i="14"/>
  <c r="AS18" i="14"/>
  <c r="AR18" i="14"/>
  <c r="AP18" i="14"/>
  <c r="AO18" i="14"/>
  <c r="AN18" i="14"/>
  <c r="AM18" i="14"/>
  <c r="AJ18" i="14"/>
  <c r="AI18" i="14"/>
  <c r="AG18" i="14"/>
  <c r="AF18" i="14"/>
  <c r="AE18" i="14"/>
  <c r="AD18" i="14"/>
  <c r="Z18" i="14"/>
  <c r="Y18" i="14"/>
  <c r="W18" i="14"/>
  <c r="V18" i="14"/>
  <c r="U18" i="14"/>
  <c r="T18" i="14"/>
  <c r="P18" i="14"/>
  <c r="O18" i="14"/>
  <c r="M18" i="14"/>
  <c r="L18" i="14"/>
  <c r="J18" i="14"/>
  <c r="BA17" i="14"/>
  <c r="AY17" i="14"/>
  <c r="AX17" i="14"/>
  <c r="AV17" i="14"/>
  <c r="AS17" i="14"/>
  <c r="AR17" i="14"/>
  <c r="AP17" i="14"/>
  <c r="AO17" i="14"/>
  <c r="AN17" i="14"/>
  <c r="AM17" i="14"/>
  <c r="AJ17" i="14"/>
  <c r="AI17" i="14"/>
  <c r="AG17" i="14"/>
  <c r="AF17" i="14"/>
  <c r="AE17" i="14"/>
  <c r="AD17" i="14"/>
  <c r="Z17" i="14"/>
  <c r="Y17" i="14"/>
  <c r="W17" i="14"/>
  <c r="V17" i="14"/>
  <c r="U17" i="14"/>
  <c r="T17" i="14"/>
  <c r="P17" i="14"/>
  <c r="O17" i="14"/>
  <c r="M17" i="14"/>
  <c r="L17" i="14"/>
  <c r="K17" i="14"/>
  <c r="J17" i="14"/>
  <c r="BA16" i="14"/>
  <c r="AY16" i="14"/>
  <c r="AX16" i="14"/>
  <c r="AV16" i="14"/>
  <c r="AS16" i="14"/>
  <c r="AR16" i="14"/>
  <c r="AO16" i="14"/>
  <c r="AN16" i="14"/>
  <c r="AM16" i="14"/>
  <c r="AJ16" i="14"/>
  <c r="AI16" i="14"/>
  <c r="AG16" i="14"/>
  <c r="AF16" i="14"/>
  <c r="AE16" i="14"/>
  <c r="Z16" i="14"/>
  <c r="Y16" i="14"/>
  <c r="W16" i="14"/>
  <c r="V16" i="14"/>
  <c r="U16" i="14"/>
  <c r="T16" i="14"/>
  <c r="P16" i="14"/>
  <c r="O16" i="14"/>
  <c r="M16" i="14"/>
  <c r="J16" i="14"/>
  <c r="BA15" i="14"/>
  <c r="AY15" i="14"/>
  <c r="AX15" i="14"/>
  <c r="AV15" i="14"/>
  <c r="AS15" i="14"/>
  <c r="AR15" i="14"/>
  <c r="AP15" i="14"/>
  <c r="AO15" i="14"/>
  <c r="AN15" i="14"/>
  <c r="AM15" i="14"/>
  <c r="AJ15" i="14"/>
  <c r="AI15" i="14"/>
  <c r="AG15" i="14"/>
  <c r="AF15" i="14"/>
  <c r="AE15" i="14"/>
  <c r="AD15" i="14"/>
  <c r="Z15" i="14"/>
  <c r="Y15" i="14"/>
  <c r="W15" i="14"/>
  <c r="V15" i="14"/>
  <c r="U15" i="14"/>
  <c r="T15" i="14"/>
  <c r="P15" i="14"/>
  <c r="O15" i="14"/>
  <c r="M15" i="14"/>
  <c r="L15" i="14"/>
  <c r="J15" i="14"/>
  <c r="BA14" i="14"/>
  <c r="AY14" i="14"/>
  <c r="AX14" i="14"/>
  <c r="AV14" i="14"/>
  <c r="AS14" i="14"/>
  <c r="AR14" i="14"/>
  <c r="AP14" i="14"/>
  <c r="AO14" i="14"/>
  <c r="AN14" i="14"/>
  <c r="AM14" i="14"/>
  <c r="AJ14" i="14"/>
  <c r="AI14" i="14"/>
  <c r="AG14" i="14"/>
  <c r="AF14" i="14"/>
  <c r="AD14" i="14"/>
  <c r="Z14" i="14"/>
  <c r="Y14" i="14"/>
  <c r="W14" i="14"/>
  <c r="V14" i="14"/>
  <c r="U14" i="14"/>
  <c r="T14" i="14"/>
  <c r="O14" i="14"/>
  <c r="Q14" i="14" s="1"/>
  <c r="L14" i="14"/>
  <c r="K14" i="14"/>
  <c r="J14" i="14"/>
  <c r="BA13" i="14"/>
  <c r="AY13" i="14"/>
  <c r="AX13" i="14"/>
  <c r="AV13" i="14"/>
  <c r="AS13" i="14"/>
  <c r="AR13" i="14"/>
  <c r="AP13" i="14"/>
  <c r="AO13" i="14"/>
  <c r="AN13" i="14"/>
  <c r="AM13" i="14"/>
  <c r="AJ13" i="14"/>
  <c r="AI13" i="14"/>
  <c r="AG13" i="14"/>
  <c r="AF13" i="14"/>
  <c r="AE13" i="14"/>
  <c r="AD13" i="14"/>
  <c r="Z13" i="14"/>
  <c r="Y13" i="14"/>
  <c r="W13" i="14"/>
  <c r="V13" i="14"/>
  <c r="U13" i="14"/>
  <c r="T13" i="14"/>
  <c r="P13" i="14"/>
  <c r="O13" i="14"/>
  <c r="M13" i="14"/>
  <c r="L13" i="14"/>
  <c r="K13" i="14"/>
  <c r="J13" i="14"/>
  <c r="BA12" i="14"/>
  <c r="AY12" i="14"/>
  <c r="AX12" i="14"/>
  <c r="AV12" i="14"/>
  <c r="AS12" i="14"/>
  <c r="AR12" i="14"/>
  <c r="AP12" i="14"/>
  <c r="AO12" i="14"/>
  <c r="AN12" i="14"/>
  <c r="AM12" i="14"/>
  <c r="AJ12" i="14"/>
  <c r="AI12" i="14"/>
  <c r="AG12" i="14"/>
  <c r="AF12" i="14"/>
  <c r="AE12" i="14"/>
  <c r="AD12" i="14"/>
  <c r="Z12" i="14"/>
  <c r="Y12" i="14"/>
  <c r="W12" i="14"/>
  <c r="V12" i="14"/>
  <c r="U12" i="14"/>
  <c r="T12" i="14"/>
  <c r="P12" i="14"/>
  <c r="O12" i="14"/>
  <c r="M12" i="14"/>
  <c r="L12" i="14"/>
  <c r="K12" i="14"/>
  <c r="J12" i="14"/>
  <c r="BA11" i="14"/>
  <c r="AY11" i="14"/>
  <c r="AX11" i="14"/>
  <c r="AV11" i="14"/>
  <c r="AS11" i="14"/>
  <c r="AR11" i="14"/>
  <c r="AP11" i="14"/>
  <c r="AO11" i="14"/>
  <c r="AN11" i="14"/>
  <c r="AM11" i="14"/>
  <c r="AJ11" i="14"/>
  <c r="AI11" i="14"/>
  <c r="AG11" i="14"/>
  <c r="AF11" i="14"/>
  <c r="AE11" i="14"/>
  <c r="AD11" i="14"/>
  <c r="Z11" i="14"/>
  <c r="Y11" i="14"/>
  <c r="W11" i="14"/>
  <c r="V11" i="14"/>
  <c r="U11" i="14"/>
  <c r="T11" i="14"/>
  <c r="P11" i="14"/>
  <c r="O11" i="14"/>
  <c r="M11" i="14"/>
  <c r="L11" i="14"/>
  <c r="K11" i="14"/>
  <c r="AZ10" i="14"/>
  <c r="I12" i="13"/>
  <c r="B12" i="13"/>
  <c r="I11" i="13"/>
  <c r="C10" i="13"/>
  <c r="C9" i="13"/>
  <c r="I8" i="13"/>
  <c r="G6" i="13"/>
  <c r="C8" i="13"/>
  <c r="C7" i="13"/>
  <c r="B7" i="13"/>
  <c r="I6" i="13"/>
  <c r="I5" i="13"/>
  <c r="G5" i="13"/>
  <c r="E5" i="13"/>
  <c r="I4" i="13"/>
  <c r="G4" i="13"/>
  <c r="E4" i="13"/>
  <c r="I3" i="13"/>
  <c r="G3" i="13"/>
  <c r="E3" i="13"/>
  <c r="I2" i="13"/>
  <c r="G2" i="13"/>
  <c r="E2" i="13"/>
  <c r="A6" i="11"/>
  <c r="O25" i="12"/>
  <c r="N25" i="12"/>
  <c r="M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B5" i="12"/>
  <c r="BC40" i="15"/>
  <c r="BB40" i="15"/>
  <c r="BA40" i="15"/>
  <c r="AZ40" i="15"/>
  <c r="AX40" i="15"/>
  <c r="AW40" i="15"/>
  <c r="AV40" i="15"/>
  <c r="AU40" i="15"/>
  <c r="AS40" i="15"/>
  <c r="AR40" i="15"/>
  <c r="AQ40" i="15"/>
  <c r="AP40" i="15"/>
  <c r="AN40" i="15"/>
  <c r="AM40" i="15"/>
  <c r="AL40" i="15"/>
  <c r="AK40" i="15"/>
  <c r="AI40" i="15"/>
  <c r="AH40" i="15"/>
  <c r="AG40" i="15"/>
  <c r="AF40" i="15"/>
  <c r="AD40" i="15"/>
  <c r="AC40" i="15"/>
  <c r="AB40" i="15"/>
  <c r="AA40" i="15"/>
  <c r="Y40" i="15"/>
  <c r="X40" i="15"/>
  <c r="W40" i="15"/>
  <c r="V40" i="15"/>
  <c r="T40" i="15"/>
  <c r="S40" i="15"/>
  <c r="R40" i="15"/>
  <c r="Q40" i="15"/>
  <c r="O40" i="15"/>
  <c r="N40" i="15"/>
  <c r="M40" i="15"/>
  <c r="L40" i="15"/>
  <c r="I40" i="15"/>
  <c r="H40" i="15"/>
  <c r="G40" i="15"/>
  <c r="D40" i="15"/>
  <c r="C40" i="15"/>
  <c r="B40" i="15"/>
  <c r="BC39" i="15"/>
  <c r="BB39" i="15"/>
  <c r="BA39" i="15"/>
  <c r="AZ39" i="15"/>
  <c r="AX39" i="15"/>
  <c r="AW39" i="15"/>
  <c r="AV39" i="15"/>
  <c r="AU39" i="15"/>
  <c r="AS39" i="15"/>
  <c r="AR39" i="15"/>
  <c r="AQ39" i="15"/>
  <c r="AP39" i="15"/>
  <c r="AN39" i="15"/>
  <c r="AM39" i="15"/>
  <c r="AL39" i="15"/>
  <c r="AK39" i="15"/>
  <c r="AI39" i="15"/>
  <c r="AH39" i="15"/>
  <c r="AG39" i="15"/>
  <c r="AF39" i="15"/>
  <c r="AD39" i="15"/>
  <c r="AC39" i="15"/>
  <c r="AB39" i="15"/>
  <c r="AA39" i="15"/>
  <c r="Y39" i="15"/>
  <c r="X39" i="15"/>
  <c r="W39" i="15"/>
  <c r="V39" i="15"/>
  <c r="T39" i="15"/>
  <c r="S39" i="15"/>
  <c r="R39" i="15"/>
  <c r="Q39" i="15"/>
  <c r="O39" i="15"/>
  <c r="N39" i="15"/>
  <c r="M39" i="15"/>
  <c r="L39" i="15"/>
  <c r="I39" i="15"/>
  <c r="H39" i="15"/>
  <c r="G39" i="15"/>
  <c r="D39" i="15"/>
  <c r="C39" i="15"/>
  <c r="B39" i="15"/>
  <c r="BC38" i="15"/>
  <c r="BB38" i="15"/>
  <c r="BA38" i="15"/>
  <c r="AZ38" i="15"/>
  <c r="AX38" i="15"/>
  <c r="AW38" i="15"/>
  <c r="AV38" i="15"/>
  <c r="AU38" i="15"/>
  <c r="AS38" i="15"/>
  <c r="AR38" i="15"/>
  <c r="AQ38" i="15"/>
  <c r="AP38" i="15"/>
  <c r="AN38" i="15"/>
  <c r="AM38" i="15"/>
  <c r="AL38" i="15"/>
  <c r="AK38" i="15"/>
  <c r="AI38" i="15"/>
  <c r="AH38" i="15"/>
  <c r="AG38" i="15"/>
  <c r="AF38" i="15"/>
  <c r="AD38" i="15"/>
  <c r="AC38" i="15"/>
  <c r="AB38" i="15"/>
  <c r="AA38" i="15"/>
  <c r="Y38" i="15"/>
  <c r="X38" i="15"/>
  <c r="W38" i="15"/>
  <c r="V38" i="15"/>
  <c r="T38" i="15"/>
  <c r="S38" i="15"/>
  <c r="R38" i="15"/>
  <c r="Q38" i="15"/>
  <c r="O38" i="15"/>
  <c r="N38" i="15"/>
  <c r="M38" i="15"/>
  <c r="L38" i="15"/>
  <c r="I38" i="15"/>
  <c r="H38" i="15"/>
  <c r="G38" i="15"/>
  <c r="D38" i="15"/>
  <c r="C38" i="15"/>
  <c r="B38" i="15"/>
  <c r="BC37" i="15"/>
  <c r="BB37" i="15"/>
  <c r="BA37" i="15"/>
  <c r="AZ37" i="15"/>
  <c r="AX37" i="15"/>
  <c r="AW37" i="15"/>
  <c r="AV37" i="15"/>
  <c r="AU37" i="15"/>
  <c r="AS37" i="15"/>
  <c r="AR37" i="15"/>
  <c r="AQ37" i="15"/>
  <c r="AP37" i="15"/>
  <c r="AN37" i="15"/>
  <c r="AM37" i="15"/>
  <c r="AL37" i="15"/>
  <c r="AK37" i="15"/>
  <c r="AI37" i="15"/>
  <c r="AH37" i="15"/>
  <c r="AG37" i="15"/>
  <c r="AF37" i="15"/>
  <c r="AD37" i="15"/>
  <c r="AC37" i="15"/>
  <c r="AB37" i="15"/>
  <c r="AA37" i="15"/>
  <c r="Y37" i="15"/>
  <c r="X37" i="15"/>
  <c r="W37" i="15"/>
  <c r="V37" i="15"/>
  <c r="T37" i="15"/>
  <c r="S37" i="15"/>
  <c r="R37" i="15"/>
  <c r="Q37" i="15"/>
  <c r="O37" i="15"/>
  <c r="N37" i="15"/>
  <c r="M37" i="15"/>
  <c r="L37" i="15"/>
  <c r="I37" i="15"/>
  <c r="H37" i="15"/>
  <c r="G37" i="15"/>
  <c r="D37" i="15"/>
  <c r="C37" i="15"/>
  <c r="B37" i="15"/>
  <c r="BC36" i="15"/>
  <c r="BB36" i="15"/>
  <c r="BA36" i="15"/>
  <c r="AZ36" i="15"/>
  <c r="AX36" i="15"/>
  <c r="AW36" i="15"/>
  <c r="AV36" i="15"/>
  <c r="AU36" i="15"/>
  <c r="AS36" i="15"/>
  <c r="AR36" i="15"/>
  <c r="AQ36" i="15"/>
  <c r="AP36" i="15"/>
  <c r="AN36" i="15"/>
  <c r="AM36" i="15"/>
  <c r="AL36" i="15"/>
  <c r="AK36" i="15"/>
  <c r="AI36" i="15"/>
  <c r="AH36" i="15"/>
  <c r="AG36" i="15"/>
  <c r="AF36" i="15"/>
  <c r="AD36" i="15"/>
  <c r="AC36" i="15"/>
  <c r="AB36" i="15"/>
  <c r="AA36" i="15"/>
  <c r="Y36" i="15"/>
  <c r="X36" i="15"/>
  <c r="W36" i="15"/>
  <c r="V36" i="15"/>
  <c r="T36" i="15"/>
  <c r="S36" i="15"/>
  <c r="R36" i="15"/>
  <c r="Q36" i="15"/>
  <c r="O36" i="15"/>
  <c r="N36" i="15"/>
  <c r="M36" i="15"/>
  <c r="L36" i="15"/>
  <c r="I36" i="15"/>
  <c r="H36" i="15"/>
  <c r="G36" i="15"/>
  <c r="D36" i="15"/>
  <c r="C36" i="15"/>
  <c r="B36" i="15"/>
  <c r="BC35" i="15"/>
  <c r="BB35" i="15"/>
  <c r="BA35" i="15"/>
  <c r="AZ35" i="15"/>
  <c r="AX35" i="15"/>
  <c r="AW35" i="15"/>
  <c r="AV35" i="15"/>
  <c r="AU35" i="15"/>
  <c r="AS35" i="15"/>
  <c r="AR35" i="15"/>
  <c r="AQ35" i="15"/>
  <c r="AP35" i="15"/>
  <c r="AN35" i="15"/>
  <c r="AM35" i="15"/>
  <c r="AL35" i="15"/>
  <c r="AK35" i="15"/>
  <c r="AI35" i="15"/>
  <c r="AH35" i="15"/>
  <c r="AG35" i="15"/>
  <c r="AF35" i="15"/>
  <c r="AD35" i="15"/>
  <c r="AC35" i="15"/>
  <c r="AB35" i="15"/>
  <c r="AA35" i="15"/>
  <c r="Y35" i="15"/>
  <c r="X35" i="15"/>
  <c r="W35" i="15"/>
  <c r="V35" i="15"/>
  <c r="T35" i="15"/>
  <c r="S35" i="15"/>
  <c r="R35" i="15"/>
  <c r="Q35" i="15"/>
  <c r="O35" i="15"/>
  <c r="N35" i="15"/>
  <c r="M35" i="15"/>
  <c r="L35" i="15"/>
  <c r="I35" i="15"/>
  <c r="H35" i="15"/>
  <c r="G35" i="15"/>
  <c r="D35" i="15"/>
  <c r="C35" i="15"/>
  <c r="B35" i="15"/>
  <c r="BC34" i="15"/>
  <c r="BB34" i="15"/>
  <c r="BA34" i="15"/>
  <c r="AZ34" i="15"/>
  <c r="AX34" i="15"/>
  <c r="AW34" i="15"/>
  <c r="AV34" i="15"/>
  <c r="AU34" i="15"/>
  <c r="AS34" i="15"/>
  <c r="AR34" i="15"/>
  <c r="AQ34" i="15"/>
  <c r="AP34" i="15"/>
  <c r="AN34" i="15"/>
  <c r="AM34" i="15"/>
  <c r="AL34" i="15"/>
  <c r="AK34" i="15"/>
  <c r="AI34" i="15"/>
  <c r="AH34" i="15"/>
  <c r="AG34" i="15"/>
  <c r="AF34" i="15"/>
  <c r="AD34" i="15"/>
  <c r="AC34" i="15"/>
  <c r="AB34" i="15"/>
  <c r="AA34" i="15"/>
  <c r="Y34" i="15"/>
  <c r="X34" i="15"/>
  <c r="W34" i="15"/>
  <c r="V34" i="15"/>
  <c r="T34" i="15"/>
  <c r="S34" i="15"/>
  <c r="R34" i="15"/>
  <c r="Q34" i="15"/>
  <c r="O34" i="15"/>
  <c r="N34" i="15"/>
  <c r="M34" i="15"/>
  <c r="L34" i="15"/>
  <c r="I34" i="15"/>
  <c r="H34" i="15"/>
  <c r="G34" i="15"/>
  <c r="D34" i="15"/>
  <c r="C34" i="15"/>
  <c r="B34" i="15"/>
  <c r="BC33" i="15"/>
  <c r="BB33" i="15"/>
  <c r="BA33" i="15"/>
  <c r="AZ33" i="15"/>
  <c r="AX33" i="15"/>
  <c r="AW33" i="15"/>
  <c r="AV33" i="15"/>
  <c r="AU33" i="15"/>
  <c r="AS33" i="15"/>
  <c r="AR33" i="15"/>
  <c r="AQ33" i="15"/>
  <c r="AP33" i="15"/>
  <c r="AN33" i="15"/>
  <c r="AM33" i="15"/>
  <c r="AL33" i="15"/>
  <c r="AK33" i="15"/>
  <c r="AI33" i="15"/>
  <c r="AH33" i="15"/>
  <c r="AG33" i="15"/>
  <c r="AF33" i="15"/>
  <c r="AD33" i="15"/>
  <c r="AC33" i="15"/>
  <c r="AB33" i="15"/>
  <c r="AA33" i="15"/>
  <c r="Y33" i="15"/>
  <c r="X33" i="15"/>
  <c r="W33" i="15"/>
  <c r="V33" i="15"/>
  <c r="T33" i="15"/>
  <c r="S33" i="15"/>
  <c r="R33" i="15"/>
  <c r="Q33" i="15"/>
  <c r="O33" i="15"/>
  <c r="N33" i="15"/>
  <c r="M33" i="15"/>
  <c r="L33" i="15"/>
  <c r="I33" i="15"/>
  <c r="H33" i="15"/>
  <c r="G33" i="15"/>
  <c r="D33" i="15"/>
  <c r="C33" i="15"/>
  <c r="B33" i="15"/>
  <c r="BC32" i="15"/>
  <c r="BB32" i="15"/>
  <c r="BA32" i="15"/>
  <c r="AZ32" i="15"/>
  <c r="AX32" i="15"/>
  <c r="AW32" i="15"/>
  <c r="AV32" i="15"/>
  <c r="AU32" i="15"/>
  <c r="AS32" i="15"/>
  <c r="AR32" i="15"/>
  <c r="AQ32" i="15"/>
  <c r="AP32" i="15"/>
  <c r="AN32" i="15"/>
  <c r="AM32" i="15"/>
  <c r="AL32" i="15"/>
  <c r="AK32" i="15"/>
  <c r="AI32" i="15"/>
  <c r="AH32" i="15"/>
  <c r="AG32" i="15"/>
  <c r="AF32" i="15"/>
  <c r="AD32" i="15"/>
  <c r="AC32" i="15"/>
  <c r="AB32" i="15"/>
  <c r="AA32" i="15"/>
  <c r="Y32" i="15"/>
  <c r="X32" i="15"/>
  <c r="W32" i="15"/>
  <c r="V32" i="15"/>
  <c r="T32" i="15"/>
  <c r="S32" i="15"/>
  <c r="R32" i="15"/>
  <c r="Q32" i="15"/>
  <c r="O32" i="15"/>
  <c r="N32" i="15"/>
  <c r="M32" i="15"/>
  <c r="L32" i="15"/>
  <c r="J32" i="15"/>
  <c r="I32" i="15"/>
  <c r="H32" i="15"/>
  <c r="G32" i="15"/>
  <c r="E32" i="15"/>
  <c r="D32" i="15"/>
  <c r="C32" i="15"/>
  <c r="B32" i="15"/>
  <c r="BC31" i="15"/>
  <c r="BB31" i="15"/>
  <c r="BA31" i="15"/>
  <c r="AZ31" i="15"/>
  <c r="AX31" i="15"/>
  <c r="AW31" i="15"/>
  <c r="AV31" i="15"/>
  <c r="AU31" i="15"/>
  <c r="AS31" i="15"/>
  <c r="AR31" i="15"/>
  <c r="AQ31" i="15"/>
  <c r="AP31" i="15"/>
  <c r="AN31" i="15"/>
  <c r="AM31" i="15"/>
  <c r="AL31" i="15"/>
  <c r="AK31" i="15"/>
  <c r="AI31" i="15"/>
  <c r="AH31" i="15"/>
  <c r="AG31" i="15"/>
  <c r="AF31" i="15"/>
  <c r="AD31" i="15"/>
  <c r="AC31" i="15"/>
  <c r="AB31" i="15"/>
  <c r="AA31" i="15"/>
  <c r="Y31" i="15"/>
  <c r="X31" i="15"/>
  <c r="W31" i="15"/>
  <c r="V31" i="15"/>
  <c r="T31" i="15"/>
  <c r="S31" i="15"/>
  <c r="R31" i="15"/>
  <c r="Q31" i="15"/>
  <c r="O31" i="15"/>
  <c r="N31" i="15"/>
  <c r="M31" i="15"/>
  <c r="L31" i="15"/>
  <c r="J31" i="15"/>
  <c r="I31" i="15"/>
  <c r="H31" i="15"/>
  <c r="G31" i="15"/>
  <c r="E31" i="15"/>
  <c r="E41" i="15" s="1"/>
  <c r="D31" i="15"/>
  <c r="C31" i="15"/>
  <c r="B31" i="15"/>
  <c r="BC26" i="15"/>
  <c r="BB26" i="15"/>
  <c r="BA26" i="15"/>
  <c r="AZ26" i="15"/>
  <c r="AX26" i="15"/>
  <c r="AW26" i="15"/>
  <c r="AV26" i="15"/>
  <c r="AU26" i="15"/>
  <c r="AS26" i="15"/>
  <c r="AR26" i="15"/>
  <c r="AQ26" i="15"/>
  <c r="AP26" i="15"/>
  <c r="AN26" i="15"/>
  <c r="AM26" i="15"/>
  <c r="AL26" i="15"/>
  <c r="AK26" i="15"/>
  <c r="AI26" i="15"/>
  <c r="AH26" i="15"/>
  <c r="AG26" i="15"/>
  <c r="AF26" i="15"/>
  <c r="AD26" i="15"/>
  <c r="AC26" i="15"/>
  <c r="AB26" i="15"/>
  <c r="AA26" i="15"/>
  <c r="Y26" i="15"/>
  <c r="X26" i="15"/>
  <c r="W26" i="15"/>
  <c r="V26" i="15"/>
  <c r="T26" i="15"/>
  <c r="S26" i="15"/>
  <c r="R26" i="15"/>
  <c r="Q26" i="15"/>
  <c r="O26" i="15"/>
  <c r="N26" i="15"/>
  <c r="M26" i="15"/>
  <c r="L26" i="15"/>
  <c r="J26" i="15"/>
  <c r="I26" i="15"/>
  <c r="H26" i="15"/>
  <c r="G26" i="15"/>
  <c r="E26" i="15"/>
  <c r="D26" i="15"/>
  <c r="C26" i="15"/>
  <c r="B26" i="15"/>
  <c r="BC25" i="15"/>
  <c r="BB25" i="15"/>
  <c r="BA25" i="15"/>
  <c r="AZ25" i="15"/>
  <c r="AX25" i="15"/>
  <c r="AW25" i="15"/>
  <c r="AV25" i="15"/>
  <c r="AU25" i="15"/>
  <c r="AS25" i="15"/>
  <c r="AR25" i="15"/>
  <c r="AQ25" i="15"/>
  <c r="AP25" i="15"/>
  <c r="AN25" i="15"/>
  <c r="AM25" i="15"/>
  <c r="AL25" i="15"/>
  <c r="AK25" i="15"/>
  <c r="AI25" i="15"/>
  <c r="AH25" i="15"/>
  <c r="AG25" i="15"/>
  <c r="AF25" i="15"/>
  <c r="AD25" i="15"/>
  <c r="AC25" i="15"/>
  <c r="AB25" i="15"/>
  <c r="AA25" i="15"/>
  <c r="Y25" i="15"/>
  <c r="X25" i="15"/>
  <c r="W25" i="15"/>
  <c r="V25" i="15"/>
  <c r="T25" i="15"/>
  <c r="S25" i="15"/>
  <c r="R25" i="15"/>
  <c r="Q25" i="15"/>
  <c r="O25" i="15"/>
  <c r="N25" i="15"/>
  <c r="M25" i="15"/>
  <c r="L25" i="15"/>
  <c r="J25" i="15"/>
  <c r="I25" i="15"/>
  <c r="H25" i="15"/>
  <c r="G25" i="15"/>
  <c r="E25" i="15"/>
  <c r="D25" i="15"/>
  <c r="C25" i="15"/>
  <c r="B25" i="15"/>
  <c r="BC24" i="15"/>
  <c r="BB24" i="15"/>
  <c r="BA24" i="15"/>
  <c r="AZ24" i="15"/>
  <c r="AX24" i="15"/>
  <c r="AW24" i="15"/>
  <c r="AV24" i="15"/>
  <c r="AU24" i="15"/>
  <c r="AS24" i="15"/>
  <c r="AR24" i="15"/>
  <c r="AQ24" i="15"/>
  <c r="AP24" i="15"/>
  <c r="AN24" i="15"/>
  <c r="AM24" i="15"/>
  <c r="AL24" i="15"/>
  <c r="AK24" i="15"/>
  <c r="AI24" i="15"/>
  <c r="AH24" i="15"/>
  <c r="AG24" i="15"/>
  <c r="AF24" i="15"/>
  <c r="AD24" i="15"/>
  <c r="AC24" i="15"/>
  <c r="AB24" i="15"/>
  <c r="AA24" i="15"/>
  <c r="Y24" i="15"/>
  <c r="X24" i="15"/>
  <c r="W24" i="15"/>
  <c r="V24" i="15"/>
  <c r="T24" i="15"/>
  <c r="S24" i="15"/>
  <c r="R24" i="15"/>
  <c r="Q24" i="15"/>
  <c r="O24" i="15"/>
  <c r="N24" i="15"/>
  <c r="M24" i="15"/>
  <c r="L24" i="15"/>
  <c r="J24" i="15"/>
  <c r="I24" i="15"/>
  <c r="H24" i="15"/>
  <c r="G24" i="15"/>
  <c r="E24" i="15"/>
  <c r="D24" i="15"/>
  <c r="C24" i="15"/>
  <c r="B24" i="15"/>
  <c r="BC23" i="15"/>
  <c r="BB23" i="15"/>
  <c r="BA23" i="15"/>
  <c r="AZ23" i="15"/>
  <c r="AX23" i="15"/>
  <c r="AW23" i="15"/>
  <c r="AV23" i="15"/>
  <c r="AU23" i="15"/>
  <c r="AS23" i="15"/>
  <c r="AR23" i="15"/>
  <c r="AQ23" i="15"/>
  <c r="AP23" i="15"/>
  <c r="AN23" i="15"/>
  <c r="AM23" i="15"/>
  <c r="AL23" i="15"/>
  <c r="AK23" i="15"/>
  <c r="AI23" i="15"/>
  <c r="AH23" i="15"/>
  <c r="AG23" i="15"/>
  <c r="AF23" i="15"/>
  <c r="AD23" i="15"/>
  <c r="AC23" i="15"/>
  <c r="AB23" i="15"/>
  <c r="AA23" i="15"/>
  <c r="Y23" i="15"/>
  <c r="X23" i="15"/>
  <c r="W23" i="15"/>
  <c r="V23" i="15"/>
  <c r="T23" i="15"/>
  <c r="S23" i="15"/>
  <c r="R23" i="15"/>
  <c r="Q23" i="15"/>
  <c r="O23" i="15"/>
  <c r="N23" i="15"/>
  <c r="M23" i="15"/>
  <c r="L23" i="15"/>
  <c r="J23" i="15"/>
  <c r="I23" i="15"/>
  <c r="H23" i="15"/>
  <c r="G23" i="15"/>
  <c r="E23" i="15"/>
  <c r="D23" i="15"/>
  <c r="C23" i="15"/>
  <c r="B23" i="15"/>
  <c r="BC22" i="15"/>
  <c r="BB22" i="15"/>
  <c r="BA22" i="15"/>
  <c r="AZ22" i="15"/>
  <c r="AX22" i="15"/>
  <c r="AW22" i="15"/>
  <c r="AV22" i="15"/>
  <c r="AU22" i="15"/>
  <c r="AS22" i="15"/>
  <c r="AR22" i="15"/>
  <c r="AQ22" i="15"/>
  <c r="AP22" i="15"/>
  <c r="AN22" i="15"/>
  <c r="AM22" i="15"/>
  <c r="AL22" i="15"/>
  <c r="AK22" i="15"/>
  <c r="AI22" i="15"/>
  <c r="AH22" i="15"/>
  <c r="AG22" i="15"/>
  <c r="AF22" i="15"/>
  <c r="AD22" i="15"/>
  <c r="AC22" i="15"/>
  <c r="AB22" i="15"/>
  <c r="AA22" i="15"/>
  <c r="Y22" i="15"/>
  <c r="X22" i="15"/>
  <c r="W22" i="15"/>
  <c r="V22" i="15"/>
  <c r="T22" i="15"/>
  <c r="S22" i="15"/>
  <c r="R22" i="15"/>
  <c r="Q22" i="15"/>
  <c r="O22" i="15"/>
  <c r="N22" i="15"/>
  <c r="M22" i="15"/>
  <c r="L22" i="15"/>
  <c r="J22" i="15"/>
  <c r="I22" i="15"/>
  <c r="H22" i="15"/>
  <c r="G22" i="15"/>
  <c r="E22" i="15"/>
  <c r="D22" i="15"/>
  <c r="C22" i="15"/>
  <c r="B22" i="15"/>
  <c r="BC21" i="15"/>
  <c r="BB21" i="15"/>
  <c r="BA21" i="15"/>
  <c r="AZ21" i="15"/>
  <c r="AX21" i="15"/>
  <c r="AW21" i="15"/>
  <c r="AV21" i="15"/>
  <c r="AU21" i="15"/>
  <c r="AS21" i="15"/>
  <c r="AR21" i="15"/>
  <c r="AQ21" i="15"/>
  <c r="AP21" i="15"/>
  <c r="AN21" i="15"/>
  <c r="AM21" i="15"/>
  <c r="AL21" i="15"/>
  <c r="AK21" i="15"/>
  <c r="AI21" i="15"/>
  <c r="AH21" i="15"/>
  <c r="AG21" i="15"/>
  <c r="AF21" i="15"/>
  <c r="AD21" i="15"/>
  <c r="AC21" i="15"/>
  <c r="AB21" i="15"/>
  <c r="AA21" i="15"/>
  <c r="Y21" i="15"/>
  <c r="X21" i="15"/>
  <c r="W21" i="15"/>
  <c r="V21" i="15"/>
  <c r="T21" i="15"/>
  <c r="S21" i="15"/>
  <c r="R21" i="15"/>
  <c r="Q21" i="15"/>
  <c r="O21" i="15"/>
  <c r="N21" i="15"/>
  <c r="M21" i="15"/>
  <c r="L21" i="15"/>
  <c r="J21" i="15"/>
  <c r="I21" i="15"/>
  <c r="H21" i="15"/>
  <c r="G21" i="15"/>
  <c r="E21" i="15"/>
  <c r="D21" i="15"/>
  <c r="C21" i="15"/>
  <c r="B21" i="15"/>
  <c r="BC20" i="15"/>
  <c r="BB20" i="15"/>
  <c r="BA20" i="15"/>
  <c r="AZ20" i="15"/>
  <c r="AX20" i="15"/>
  <c r="AW20" i="15"/>
  <c r="AV20" i="15"/>
  <c r="AU20" i="15"/>
  <c r="AS20" i="15"/>
  <c r="AR20" i="15"/>
  <c r="AQ20" i="15"/>
  <c r="AP20" i="15"/>
  <c r="AN20" i="15"/>
  <c r="AM20" i="15"/>
  <c r="AL20" i="15"/>
  <c r="AK20" i="15"/>
  <c r="AI20" i="15"/>
  <c r="AH20" i="15"/>
  <c r="AG20" i="15"/>
  <c r="AF20" i="15"/>
  <c r="AD20" i="15"/>
  <c r="AC20" i="15"/>
  <c r="AB20" i="15"/>
  <c r="AA20" i="15"/>
  <c r="Y20" i="15"/>
  <c r="X20" i="15"/>
  <c r="W20" i="15"/>
  <c r="V20" i="15"/>
  <c r="T20" i="15"/>
  <c r="S20" i="15"/>
  <c r="R20" i="15"/>
  <c r="Q20" i="15"/>
  <c r="O20" i="15"/>
  <c r="N20" i="15"/>
  <c r="M20" i="15"/>
  <c r="L20" i="15"/>
  <c r="J20" i="15"/>
  <c r="I20" i="15"/>
  <c r="H20" i="15"/>
  <c r="G20" i="15"/>
  <c r="E20" i="15"/>
  <c r="D20" i="15"/>
  <c r="C20" i="15"/>
  <c r="B20" i="15"/>
  <c r="BC19" i="15"/>
  <c r="BB19" i="15"/>
  <c r="BA19" i="15"/>
  <c r="AZ19" i="15"/>
  <c r="AX19" i="15"/>
  <c r="AW19" i="15"/>
  <c r="AV19" i="15"/>
  <c r="AU19" i="15"/>
  <c r="AS19" i="15"/>
  <c r="AR19" i="15"/>
  <c r="AQ19" i="15"/>
  <c r="AP19" i="15"/>
  <c r="AN19" i="15"/>
  <c r="AM19" i="15"/>
  <c r="AL19" i="15"/>
  <c r="AK19" i="15"/>
  <c r="AI19" i="15"/>
  <c r="AH19" i="15"/>
  <c r="AG19" i="15"/>
  <c r="AF19" i="15"/>
  <c r="AD19" i="15"/>
  <c r="AC19" i="15"/>
  <c r="AB19" i="15"/>
  <c r="AA19" i="15"/>
  <c r="Y19" i="15"/>
  <c r="X19" i="15"/>
  <c r="W19" i="15"/>
  <c r="V19" i="15"/>
  <c r="T19" i="15"/>
  <c r="S19" i="15"/>
  <c r="R19" i="15"/>
  <c r="Q19" i="15"/>
  <c r="O19" i="15"/>
  <c r="N19" i="15"/>
  <c r="M19" i="15"/>
  <c r="L19" i="15"/>
  <c r="J19" i="15"/>
  <c r="I19" i="15"/>
  <c r="H19" i="15"/>
  <c r="G19" i="15"/>
  <c r="E19" i="15"/>
  <c r="D19" i="15"/>
  <c r="C19" i="15"/>
  <c r="B19" i="15"/>
  <c r="BC18" i="15"/>
  <c r="BB18" i="15"/>
  <c r="BA18" i="15"/>
  <c r="AZ18" i="15"/>
  <c r="AX18" i="15"/>
  <c r="AW18" i="15"/>
  <c r="AV18" i="15"/>
  <c r="AU18" i="15"/>
  <c r="AS18" i="15"/>
  <c r="AR18" i="15"/>
  <c r="AQ18" i="15"/>
  <c r="AP18" i="15"/>
  <c r="AN18" i="15"/>
  <c r="AM18" i="15"/>
  <c r="AL18" i="15"/>
  <c r="AK18" i="15"/>
  <c r="AI18" i="15"/>
  <c r="AH18" i="15"/>
  <c r="AG18" i="15"/>
  <c r="AF18" i="15"/>
  <c r="AD18" i="15"/>
  <c r="AC18" i="15"/>
  <c r="AB18" i="15"/>
  <c r="AA18" i="15"/>
  <c r="Y18" i="15"/>
  <c r="X18" i="15"/>
  <c r="W18" i="15"/>
  <c r="V18" i="15"/>
  <c r="T18" i="15"/>
  <c r="S18" i="15"/>
  <c r="R18" i="15"/>
  <c r="Q18" i="15"/>
  <c r="O18" i="15"/>
  <c r="N18" i="15"/>
  <c r="M18" i="15"/>
  <c r="L18" i="15"/>
  <c r="J18" i="15"/>
  <c r="I18" i="15"/>
  <c r="H18" i="15"/>
  <c r="G18" i="15"/>
  <c r="E18" i="15"/>
  <c r="D18" i="15"/>
  <c r="C18" i="15"/>
  <c r="B18" i="15"/>
  <c r="BC17" i="15"/>
  <c r="BB17" i="15"/>
  <c r="BA17" i="15"/>
  <c r="AZ17" i="15"/>
  <c r="AX17" i="15"/>
  <c r="AW17" i="15"/>
  <c r="AV17" i="15"/>
  <c r="AU17" i="15"/>
  <c r="AS17" i="15"/>
  <c r="AR17" i="15"/>
  <c r="AQ17" i="15"/>
  <c r="AP17" i="15"/>
  <c r="AN17" i="15"/>
  <c r="AM17" i="15"/>
  <c r="AL17" i="15"/>
  <c r="AK17" i="15"/>
  <c r="AI17" i="15"/>
  <c r="AH17" i="15"/>
  <c r="AG17" i="15"/>
  <c r="AF17" i="15"/>
  <c r="AD17" i="15"/>
  <c r="AC17" i="15"/>
  <c r="AB17" i="15"/>
  <c r="AA17" i="15"/>
  <c r="Y17" i="15"/>
  <c r="X17" i="15"/>
  <c r="W17" i="15"/>
  <c r="V17" i="15"/>
  <c r="T17" i="15"/>
  <c r="S17" i="15"/>
  <c r="R17" i="15"/>
  <c r="Q17" i="15"/>
  <c r="O17" i="15"/>
  <c r="N17" i="15"/>
  <c r="M17" i="15"/>
  <c r="L17" i="15"/>
  <c r="J17" i="15"/>
  <c r="I17" i="15"/>
  <c r="H17" i="15"/>
  <c r="G17" i="15"/>
  <c r="E17" i="15"/>
  <c r="E27" i="15" s="1"/>
  <c r="D17" i="15"/>
  <c r="D27" i="15" s="1"/>
  <c r="C17" i="15"/>
  <c r="B17" i="15"/>
  <c r="B27" i="15" s="1"/>
  <c r="AI12" i="15"/>
  <c r="AH12" i="15"/>
  <c r="AG12" i="15"/>
  <c r="AF12" i="15"/>
  <c r="AD12" i="15"/>
  <c r="AC12" i="15"/>
  <c r="AB12" i="15"/>
  <c r="AA12" i="15"/>
  <c r="Y12" i="15"/>
  <c r="X12" i="15"/>
  <c r="W12" i="15"/>
  <c r="V12" i="15"/>
  <c r="T12" i="15"/>
  <c r="S12" i="15"/>
  <c r="R12" i="15"/>
  <c r="Q12" i="15"/>
  <c r="O12" i="15"/>
  <c r="N12" i="15"/>
  <c r="M12" i="15"/>
  <c r="L12" i="15"/>
  <c r="J12" i="15"/>
  <c r="I12" i="15"/>
  <c r="H12" i="15"/>
  <c r="G12" i="15"/>
  <c r="E12" i="15"/>
  <c r="D12" i="15"/>
  <c r="C12" i="15"/>
  <c r="B12" i="15"/>
  <c r="AI11" i="15"/>
  <c r="AH11" i="15"/>
  <c r="AG11" i="15"/>
  <c r="AF11" i="15"/>
  <c r="AD11" i="15"/>
  <c r="AC11" i="15"/>
  <c r="AB11" i="15"/>
  <c r="AA11" i="15"/>
  <c r="Y11" i="15"/>
  <c r="X11" i="15"/>
  <c r="W11" i="15"/>
  <c r="V11" i="15"/>
  <c r="T11" i="15"/>
  <c r="S11" i="15"/>
  <c r="R11" i="15"/>
  <c r="Q11" i="15"/>
  <c r="O11" i="15"/>
  <c r="N11" i="15"/>
  <c r="M11" i="15"/>
  <c r="L11" i="15"/>
  <c r="J11" i="15"/>
  <c r="I11" i="15"/>
  <c r="H11" i="15"/>
  <c r="G11" i="15"/>
  <c r="E11" i="15"/>
  <c r="D11" i="15"/>
  <c r="C11" i="15"/>
  <c r="B11" i="15"/>
  <c r="AI10" i="15"/>
  <c r="AH10" i="15"/>
  <c r="AG10" i="15"/>
  <c r="AF10" i="15"/>
  <c r="AD10" i="15"/>
  <c r="AC10" i="15"/>
  <c r="AB10" i="15"/>
  <c r="AA10" i="15"/>
  <c r="Y10" i="15"/>
  <c r="X10" i="15"/>
  <c r="W10" i="15"/>
  <c r="V10" i="15"/>
  <c r="T10" i="15"/>
  <c r="S10" i="15"/>
  <c r="R10" i="15"/>
  <c r="Q10" i="15"/>
  <c r="O10" i="15"/>
  <c r="N10" i="15"/>
  <c r="M10" i="15"/>
  <c r="L10" i="15"/>
  <c r="J10" i="15"/>
  <c r="I10" i="15"/>
  <c r="H10" i="15"/>
  <c r="G10" i="15"/>
  <c r="E10" i="15"/>
  <c r="D10" i="15"/>
  <c r="C10" i="15"/>
  <c r="B10" i="15"/>
  <c r="AI9" i="15"/>
  <c r="AH9" i="15"/>
  <c r="AG9" i="15"/>
  <c r="AF9" i="15"/>
  <c r="AD9" i="15"/>
  <c r="AC9" i="15"/>
  <c r="AB9" i="15"/>
  <c r="AA9" i="15"/>
  <c r="Y9" i="15"/>
  <c r="X9" i="15"/>
  <c r="W9" i="15"/>
  <c r="V9" i="15"/>
  <c r="T9" i="15"/>
  <c r="S9" i="15"/>
  <c r="R9" i="15"/>
  <c r="Q9" i="15"/>
  <c r="O9" i="15"/>
  <c r="N9" i="15"/>
  <c r="M9" i="15"/>
  <c r="L9" i="15"/>
  <c r="J9" i="15"/>
  <c r="I9" i="15"/>
  <c r="H9" i="15"/>
  <c r="G9" i="15"/>
  <c r="E9" i="15"/>
  <c r="D9" i="15"/>
  <c r="C9" i="15"/>
  <c r="B9" i="15"/>
  <c r="AI8" i="15"/>
  <c r="AH8" i="15"/>
  <c r="AG8" i="15"/>
  <c r="AF8" i="15"/>
  <c r="AD8" i="15"/>
  <c r="AC8" i="15"/>
  <c r="AB8" i="15"/>
  <c r="AA8" i="15"/>
  <c r="Y8" i="15"/>
  <c r="X8" i="15"/>
  <c r="W8" i="15"/>
  <c r="V8" i="15"/>
  <c r="T8" i="15"/>
  <c r="S8" i="15"/>
  <c r="R8" i="15"/>
  <c r="Q8" i="15"/>
  <c r="O8" i="15"/>
  <c r="N8" i="15"/>
  <c r="M8" i="15"/>
  <c r="L8" i="15"/>
  <c r="J8" i="15"/>
  <c r="I8" i="15"/>
  <c r="H8" i="15"/>
  <c r="G8" i="15"/>
  <c r="E8" i="15"/>
  <c r="D8" i="15"/>
  <c r="C8" i="15"/>
  <c r="B8" i="15"/>
  <c r="AI7" i="15"/>
  <c r="AH7" i="15"/>
  <c r="AG7" i="15"/>
  <c r="AF7" i="15"/>
  <c r="AD7" i="15"/>
  <c r="AC7" i="15"/>
  <c r="AB7" i="15"/>
  <c r="AA7" i="15"/>
  <c r="Y7" i="15"/>
  <c r="X7" i="15"/>
  <c r="W7" i="15"/>
  <c r="V7" i="15"/>
  <c r="T7" i="15"/>
  <c r="S7" i="15"/>
  <c r="R7" i="15"/>
  <c r="Q7" i="15"/>
  <c r="O7" i="15"/>
  <c r="N7" i="15"/>
  <c r="M7" i="15"/>
  <c r="L7" i="15"/>
  <c r="J7" i="15"/>
  <c r="I7" i="15"/>
  <c r="H7" i="15"/>
  <c r="G7" i="15"/>
  <c r="E7" i="15"/>
  <c r="D7" i="15"/>
  <c r="C7" i="15"/>
  <c r="B7" i="15"/>
  <c r="AI6" i="15"/>
  <c r="AH6" i="15"/>
  <c r="AG6" i="15"/>
  <c r="AF6" i="15"/>
  <c r="AD6" i="15"/>
  <c r="AC6" i="15"/>
  <c r="AB6" i="15"/>
  <c r="AA6" i="15"/>
  <c r="Y6" i="15"/>
  <c r="X6" i="15"/>
  <c r="W6" i="15"/>
  <c r="V6" i="15"/>
  <c r="T6" i="15"/>
  <c r="S6" i="15"/>
  <c r="R6" i="15"/>
  <c r="Q6" i="15"/>
  <c r="O6" i="15"/>
  <c r="N6" i="15"/>
  <c r="M6" i="15"/>
  <c r="L6" i="15"/>
  <c r="J6" i="15"/>
  <c r="I6" i="15"/>
  <c r="H6" i="15"/>
  <c r="G6" i="15"/>
  <c r="E6" i="15"/>
  <c r="D6" i="15"/>
  <c r="C6" i="15"/>
  <c r="B6" i="15"/>
  <c r="AI5" i="15"/>
  <c r="AH5" i="15"/>
  <c r="AG5" i="15"/>
  <c r="AF5" i="15"/>
  <c r="AD5" i="15"/>
  <c r="AC5" i="15"/>
  <c r="AB5" i="15"/>
  <c r="AA5" i="15"/>
  <c r="Y5" i="15"/>
  <c r="X5" i="15"/>
  <c r="W5" i="15"/>
  <c r="V5" i="15"/>
  <c r="T5" i="15"/>
  <c r="S5" i="15"/>
  <c r="R5" i="15"/>
  <c r="Q5" i="15"/>
  <c r="O5" i="15"/>
  <c r="N5" i="15"/>
  <c r="M5" i="15"/>
  <c r="L5" i="15"/>
  <c r="J5" i="15"/>
  <c r="I5" i="15"/>
  <c r="H5" i="15"/>
  <c r="G5" i="15"/>
  <c r="E5" i="15"/>
  <c r="D5" i="15"/>
  <c r="C5" i="15"/>
  <c r="B5" i="15"/>
  <c r="AI4" i="15"/>
  <c r="AH4" i="15"/>
  <c r="AG4" i="15"/>
  <c r="AF4" i="15"/>
  <c r="AD4" i="15"/>
  <c r="AC4" i="15"/>
  <c r="AB4" i="15"/>
  <c r="AA4" i="15"/>
  <c r="Y4" i="15"/>
  <c r="X4" i="15"/>
  <c r="W4" i="15"/>
  <c r="V4" i="15"/>
  <c r="T4" i="15"/>
  <c r="S4" i="15"/>
  <c r="R4" i="15"/>
  <c r="Q4" i="15"/>
  <c r="O4" i="15"/>
  <c r="N4" i="15"/>
  <c r="M4" i="15"/>
  <c r="L4" i="15"/>
  <c r="J4" i="15"/>
  <c r="I4" i="15"/>
  <c r="H4" i="15"/>
  <c r="G4" i="15"/>
  <c r="E4" i="15"/>
  <c r="D4" i="15"/>
  <c r="C4" i="15"/>
  <c r="B4" i="15"/>
  <c r="AI3" i="15"/>
  <c r="AH3" i="15"/>
  <c r="AG3" i="15"/>
  <c r="AF3" i="15"/>
  <c r="AD3" i="15"/>
  <c r="AC3" i="15"/>
  <c r="AB3" i="15"/>
  <c r="AA3" i="15"/>
  <c r="Y3" i="15"/>
  <c r="X3" i="15"/>
  <c r="W3" i="15"/>
  <c r="V3" i="15"/>
  <c r="T3" i="15"/>
  <c r="S3" i="15"/>
  <c r="R3" i="15"/>
  <c r="Q3" i="15"/>
  <c r="O3" i="15"/>
  <c r="N3" i="15"/>
  <c r="M3" i="15"/>
  <c r="L3" i="15"/>
  <c r="J3" i="15"/>
  <c r="I3" i="15"/>
  <c r="H3" i="15"/>
  <c r="G3" i="15"/>
  <c r="E3" i="15"/>
  <c r="E13" i="15" s="1"/>
  <c r="D3" i="15"/>
  <c r="D13" i="15" s="1"/>
  <c r="C3" i="15"/>
  <c r="C13" i="15" s="1"/>
  <c r="B3" i="15"/>
  <c r="BI75" i="2"/>
  <c r="BF75" i="2"/>
  <c r="BB75" i="2"/>
  <c r="BA75" i="2"/>
  <c r="AY75" i="2"/>
  <c r="AX75" i="2"/>
  <c r="AW75" i="2"/>
  <c r="AV75" i="2"/>
  <c r="AT75" i="2"/>
  <c r="AS75" i="2"/>
  <c r="AP75" i="2"/>
  <c r="AO75" i="2"/>
  <c r="AN75" i="2"/>
  <c r="AL75" i="2"/>
  <c r="AG75" i="2"/>
  <c r="Y75" i="2"/>
  <c r="N75" i="2"/>
  <c r="L75" i="2"/>
  <c r="K75" i="2"/>
  <c r="H75" i="2"/>
  <c r="BG74" i="2"/>
  <c r="BE74" i="2"/>
  <c r="AZ74" i="2"/>
  <c r="AU74" i="2"/>
  <c r="AQ74" i="2"/>
  <c r="AM74" i="2"/>
  <c r="AR74" i="2" s="1"/>
  <c r="AJ74" i="2"/>
  <c r="AI74" i="2"/>
  <c r="AH74" i="2"/>
  <c r="AB74" i="2"/>
  <c r="AE74" i="2" s="1"/>
  <c r="AA74" i="2"/>
  <c r="X74" i="2"/>
  <c r="W74" i="2" s="1"/>
  <c r="V74" i="2"/>
  <c r="U74" i="2"/>
  <c r="Q74" i="2"/>
  <c r="O74" i="2"/>
  <c r="M74" i="2" s="1"/>
  <c r="J74" i="2"/>
  <c r="I74" i="2"/>
  <c r="F74" i="2"/>
  <c r="E74" i="2"/>
  <c r="D74" i="2"/>
  <c r="C74" i="2"/>
  <c r="BG73" i="2"/>
  <c r="BE73" i="2"/>
  <c r="AZ73" i="2"/>
  <c r="AU73" i="2"/>
  <c r="AQ73" i="2"/>
  <c r="AM73" i="2"/>
  <c r="AR73" i="2" s="1"/>
  <c r="AJ73" i="2"/>
  <c r="AI73" i="2"/>
  <c r="AH73" i="2"/>
  <c r="AB73" i="2"/>
  <c r="AE73" i="2" s="1"/>
  <c r="AA73" i="2"/>
  <c r="X73" i="2"/>
  <c r="W73" i="2" s="1"/>
  <c r="V73" i="2"/>
  <c r="U73" i="2"/>
  <c r="Q73" i="2"/>
  <c r="O73" i="2"/>
  <c r="M73" i="2" s="1"/>
  <c r="J73" i="2"/>
  <c r="I73" i="2"/>
  <c r="F73" i="2"/>
  <c r="E73" i="2"/>
  <c r="D73" i="2"/>
  <c r="C73" i="2"/>
  <c r="BG72" i="2"/>
  <c r="BE72" i="2"/>
  <c r="AZ72" i="2"/>
  <c r="AU72" i="2"/>
  <c r="AQ72" i="2"/>
  <c r="AM72" i="2"/>
  <c r="AR72" i="2" s="1"/>
  <c r="AJ72" i="2"/>
  <c r="AI72" i="2"/>
  <c r="AH72" i="2"/>
  <c r="AB72" i="2"/>
  <c r="AE72" i="2" s="1"/>
  <c r="AA72" i="2"/>
  <c r="X72" i="2"/>
  <c r="W72" i="2" s="1"/>
  <c r="V72" i="2"/>
  <c r="U72" i="2"/>
  <c r="Q72" i="2"/>
  <c r="O72" i="2"/>
  <c r="M72" i="2" s="1"/>
  <c r="J72" i="2"/>
  <c r="I72" i="2"/>
  <c r="F72" i="2"/>
  <c r="E72" i="2"/>
  <c r="D72" i="2"/>
  <c r="C72" i="2"/>
  <c r="BG71" i="2"/>
  <c r="BE71" i="2"/>
  <c r="AZ71" i="2"/>
  <c r="AU71" i="2"/>
  <c r="AQ71" i="2"/>
  <c r="AM71" i="2"/>
  <c r="AJ71" i="2"/>
  <c r="AI71" i="2"/>
  <c r="AH71" i="2"/>
  <c r="AB71" i="2"/>
  <c r="AE71" i="2" s="1"/>
  <c r="AA71" i="2"/>
  <c r="X71" i="2"/>
  <c r="W71" i="2" s="1"/>
  <c r="V71" i="2"/>
  <c r="U71" i="2"/>
  <c r="Q71" i="2"/>
  <c r="O71" i="2"/>
  <c r="M71" i="2" s="1"/>
  <c r="J71" i="2"/>
  <c r="I71" i="2"/>
  <c r="F71" i="2"/>
  <c r="E71" i="2"/>
  <c r="D71" i="2"/>
  <c r="C71" i="2"/>
  <c r="BG70" i="2"/>
  <c r="BE70" i="2"/>
  <c r="AZ70" i="2"/>
  <c r="AU70" i="2"/>
  <c r="AQ70" i="2"/>
  <c r="AM70" i="2"/>
  <c r="AR70" i="2" s="1"/>
  <c r="AJ70" i="2"/>
  <c r="AI70" i="2"/>
  <c r="AH70" i="2"/>
  <c r="AB70" i="2"/>
  <c r="AE70" i="2" s="1"/>
  <c r="AA70" i="2"/>
  <c r="X70" i="2"/>
  <c r="W70" i="2" s="1"/>
  <c r="V70" i="2"/>
  <c r="U70" i="2"/>
  <c r="Q70" i="2"/>
  <c r="O70" i="2"/>
  <c r="R70" i="2" s="1"/>
  <c r="J70" i="2"/>
  <c r="I70" i="2"/>
  <c r="F70" i="2"/>
  <c r="E70" i="2"/>
  <c r="D70" i="2"/>
  <c r="C70" i="2"/>
  <c r="BG69" i="2"/>
  <c r="BE69" i="2"/>
  <c r="AZ69" i="2"/>
  <c r="AU69" i="2"/>
  <c r="AQ69" i="2"/>
  <c r="AM69" i="2"/>
  <c r="AJ69" i="2"/>
  <c r="AI69" i="2"/>
  <c r="AH69" i="2"/>
  <c r="AB69" i="2"/>
  <c r="AE69" i="2" s="1"/>
  <c r="AA69" i="2"/>
  <c r="X69" i="2"/>
  <c r="V69" i="2"/>
  <c r="U69" i="2"/>
  <c r="Q69" i="2"/>
  <c r="O69" i="2"/>
  <c r="R69" i="2" s="1"/>
  <c r="J69" i="2"/>
  <c r="I69" i="2"/>
  <c r="F69" i="2"/>
  <c r="E69" i="2"/>
  <c r="D69" i="2"/>
  <c r="C69" i="2"/>
  <c r="BG68" i="2"/>
  <c r="BE68" i="2"/>
  <c r="AZ68" i="2"/>
  <c r="AU68" i="2"/>
  <c r="AQ68" i="2"/>
  <c r="AM68" i="2"/>
  <c r="AR68" i="2" s="1"/>
  <c r="AJ68" i="2"/>
  <c r="AI68" i="2"/>
  <c r="AH68" i="2"/>
  <c r="AB68" i="2"/>
  <c r="AE68" i="2" s="1"/>
  <c r="AA68" i="2"/>
  <c r="X68" i="2"/>
  <c r="V68" i="2"/>
  <c r="U68" i="2"/>
  <c r="Q68" i="2"/>
  <c r="O68" i="2"/>
  <c r="R68" i="2" s="1"/>
  <c r="J68" i="2"/>
  <c r="I68" i="2"/>
  <c r="F68" i="2"/>
  <c r="E68" i="2"/>
  <c r="D68" i="2"/>
  <c r="C68" i="2"/>
  <c r="BG67" i="2"/>
  <c r="BE67" i="2"/>
  <c r="AZ67" i="2"/>
  <c r="AU67" i="2"/>
  <c r="AQ67" i="2"/>
  <c r="AM67" i="2"/>
  <c r="AR67" i="2" s="1"/>
  <c r="AJ67" i="2"/>
  <c r="AI67" i="2"/>
  <c r="AH67" i="2"/>
  <c r="AB67" i="2"/>
  <c r="AE67" i="2" s="1"/>
  <c r="AA67" i="2"/>
  <c r="X67" i="2"/>
  <c r="V67" i="2"/>
  <c r="U67" i="2"/>
  <c r="Q67" i="2"/>
  <c r="O67" i="2"/>
  <c r="R67" i="2" s="1"/>
  <c r="J67" i="2"/>
  <c r="I67" i="2"/>
  <c r="F67" i="2"/>
  <c r="E67" i="2"/>
  <c r="D67" i="2"/>
  <c r="C67" i="2"/>
  <c r="BG66" i="2"/>
  <c r="BE66" i="2"/>
  <c r="AZ66" i="2"/>
  <c r="AU66" i="2"/>
  <c r="AQ66" i="2"/>
  <c r="AM66" i="2"/>
  <c r="AR66" i="2" s="1"/>
  <c r="AJ66" i="2"/>
  <c r="AI66" i="2"/>
  <c r="AH66" i="2"/>
  <c r="AB66" i="2"/>
  <c r="AE66" i="2" s="1"/>
  <c r="AA66" i="2"/>
  <c r="X66" i="2"/>
  <c r="W66" i="2" s="1"/>
  <c r="V66" i="2"/>
  <c r="U66" i="2"/>
  <c r="Q66" i="2"/>
  <c r="O66" i="2"/>
  <c r="M66" i="2" s="1"/>
  <c r="J66" i="2"/>
  <c r="I66" i="2"/>
  <c r="F66" i="2"/>
  <c r="E66" i="2"/>
  <c r="D66" i="2"/>
  <c r="C66" i="2"/>
  <c r="BG65" i="2"/>
  <c r="BE65" i="2"/>
  <c r="AZ65" i="2"/>
  <c r="AU65" i="2"/>
  <c r="AQ65" i="2"/>
  <c r="AM65" i="2"/>
  <c r="AR65" i="2" s="1"/>
  <c r="AJ65" i="2"/>
  <c r="AI65" i="2"/>
  <c r="AH65" i="2"/>
  <c r="AB65" i="2"/>
  <c r="AE65" i="2" s="1"/>
  <c r="AA65" i="2"/>
  <c r="X65" i="2"/>
  <c r="W65" i="2" s="1"/>
  <c r="V65" i="2"/>
  <c r="U65" i="2"/>
  <c r="Q65" i="2"/>
  <c r="O65" i="2"/>
  <c r="R65" i="2" s="1"/>
  <c r="J65" i="2"/>
  <c r="I65" i="2"/>
  <c r="F65" i="2"/>
  <c r="E65" i="2"/>
  <c r="D65" i="2"/>
  <c r="C65" i="2"/>
  <c r="BG64" i="2"/>
  <c r="BE64" i="2"/>
  <c r="AZ64" i="2"/>
  <c r="AU64" i="2"/>
  <c r="AQ64" i="2"/>
  <c r="AM64" i="2"/>
  <c r="AR64" i="2" s="1"/>
  <c r="AJ64" i="2"/>
  <c r="AI64" i="2"/>
  <c r="AH64" i="2"/>
  <c r="AB64" i="2"/>
  <c r="AE64" i="2" s="1"/>
  <c r="AA64" i="2"/>
  <c r="X64" i="2"/>
  <c r="V64" i="2"/>
  <c r="U64" i="2"/>
  <c r="Q64" i="2"/>
  <c r="O64" i="2"/>
  <c r="M64" i="2" s="1"/>
  <c r="J64" i="2"/>
  <c r="I64" i="2"/>
  <c r="F64" i="2"/>
  <c r="E64" i="2"/>
  <c r="D64" i="2"/>
  <c r="C64" i="2"/>
  <c r="BI62" i="2"/>
  <c r="BG62" i="2"/>
  <c r="BE62" i="2"/>
  <c r="BB62" i="2"/>
  <c r="BA62" i="2"/>
  <c r="AZ62" i="2"/>
  <c r="AW62" i="2"/>
  <c r="AV62" i="2"/>
  <c r="AU62" i="2"/>
  <c r="AT62" i="2"/>
  <c r="AQ62" i="2"/>
  <c r="AP62" i="2"/>
  <c r="AO62" i="2"/>
  <c r="AM62" i="2"/>
  <c r="AL62" i="2"/>
  <c r="AJ62" i="2"/>
  <c r="AI62" i="2"/>
  <c r="AH62" i="2"/>
  <c r="AB62" i="2"/>
  <c r="AE62" i="2" s="1"/>
  <c r="AA62" i="2"/>
  <c r="X62" i="2"/>
  <c r="W62" i="2" s="1"/>
  <c r="V62" i="2"/>
  <c r="U62" i="2"/>
  <c r="O62" i="2"/>
  <c r="R62" i="2" s="1"/>
  <c r="N62" i="2"/>
  <c r="K62" i="2"/>
  <c r="I62" i="2"/>
  <c r="H62" i="2"/>
  <c r="F62" i="2"/>
  <c r="E62" i="2"/>
  <c r="D62" i="2"/>
  <c r="C62" i="2"/>
  <c r="BI61" i="2"/>
  <c r="BG61" i="2"/>
  <c r="BE61" i="2"/>
  <c r="BB61" i="2"/>
  <c r="BA61" i="2"/>
  <c r="AZ61" i="2"/>
  <c r="AW61" i="2"/>
  <c r="AV61" i="2"/>
  <c r="AU61" i="2"/>
  <c r="AT61" i="2"/>
  <c r="AQ61" i="2"/>
  <c r="AP61" i="2"/>
  <c r="AO61" i="2"/>
  <c r="AM61" i="2"/>
  <c r="AL61" i="2"/>
  <c r="AJ61" i="2"/>
  <c r="AI61" i="2"/>
  <c r="AH61" i="2"/>
  <c r="AB61" i="2"/>
  <c r="AE61" i="2" s="1"/>
  <c r="AA61" i="2"/>
  <c r="X61" i="2"/>
  <c r="W61" i="2" s="1"/>
  <c r="V61" i="2"/>
  <c r="U61" i="2"/>
  <c r="O61" i="2"/>
  <c r="R61" i="2" s="1"/>
  <c r="N61" i="2"/>
  <c r="K61" i="2"/>
  <c r="I61" i="2"/>
  <c r="H61" i="2"/>
  <c r="F61" i="2"/>
  <c r="E61" i="2"/>
  <c r="D61" i="2"/>
  <c r="C61" i="2"/>
  <c r="BI60" i="2"/>
  <c r="BG60" i="2"/>
  <c r="BE60" i="2"/>
  <c r="BB60" i="2"/>
  <c r="BA60" i="2"/>
  <c r="AZ60" i="2"/>
  <c r="AW60" i="2"/>
  <c r="AV60" i="2"/>
  <c r="AU60" i="2"/>
  <c r="AT60" i="2"/>
  <c r="AQ60" i="2"/>
  <c r="AP60" i="2"/>
  <c r="AO60" i="2"/>
  <c r="AM60" i="2"/>
  <c r="AL60" i="2"/>
  <c r="AJ60" i="2"/>
  <c r="AI60" i="2"/>
  <c r="AH60" i="2"/>
  <c r="AB60" i="2"/>
  <c r="AE60" i="2" s="1"/>
  <c r="AA60" i="2"/>
  <c r="X60" i="2"/>
  <c r="W60" i="2" s="1"/>
  <c r="V60" i="2"/>
  <c r="U60" i="2"/>
  <c r="O60" i="2"/>
  <c r="R60" i="2" s="1"/>
  <c r="N60" i="2"/>
  <c r="K60" i="2"/>
  <c r="J60" i="2" s="1"/>
  <c r="I60" i="2"/>
  <c r="H60" i="2"/>
  <c r="F60" i="2"/>
  <c r="E60" i="2"/>
  <c r="D60" i="2"/>
  <c r="C60" i="2"/>
  <c r="BI59" i="2"/>
  <c r="BG59" i="2"/>
  <c r="BE59" i="2"/>
  <c r="BB59" i="2"/>
  <c r="BA59" i="2"/>
  <c r="AZ59" i="2"/>
  <c r="AW59" i="2"/>
  <c r="AV59" i="2"/>
  <c r="AU59" i="2"/>
  <c r="AT59" i="2"/>
  <c r="AQ59" i="2"/>
  <c r="AP59" i="2"/>
  <c r="AO59" i="2"/>
  <c r="AM59" i="2"/>
  <c r="AL59" i="2"/>
  <c r="AJ59" i="2"/>
  <c r="AI59" i="2"/>
  <c r="AH59" i="2"/>
  <c r="AB59" i="2"/>
  <c r="AE59" i="2" s="1"/>
  <c r="AA59" i="2"/>
  <c r="X59" i="2"/>
  <c r="V59" i="2"/>
  <c r="U59" i="2"/>
  <c r="O59" i="2"/>
  <c r="R59" i="2" s="1"/>
  <c r="N59" i="2"/>
  <c r="K59" i="2"/>
  <c r="J59" i="2" s="1"/>
  <c r="I59" i="2"/>
  <c r="H59" i="2"/>
  <c r="F59" i="2"/>
  <c r="E59" i="2"/>
  <c r="D59" i="2"/>
  <c r="C59" i="2"/>
  <c r="BI58" i="2"/>
  <c r="BG58" i="2"/>
  <c r="BE58" i="2"/>
  <c r="BB58" i="2"/>
  <c r="BA58" i="2"/>
  <c r="AZ58" i="2"/>
  <c r="AW58" i="2"/>
  <c r="AV58" i="2"/>
  <c r="AU58" i="2"/>
  <c r="AT58" i="2"/>
  <c r="AQ58" i="2"/>
  <c r="AP58" i="2"/>
  <c r="AO58" i="2"/>
  <c r="AM58" i="2"/>
  <c r="AL58" i="2"/>
  <c r="AJ58" i="2"/>
  <c r="AI58" i="2"/>
  <c r="AH58" i="2"/>
  <c r="AB58" i="2"/>
  <c r="AE58" i="2" s="1"/>
  <c r="AA58" i="2"/>
  <c r="X58" i="2"/>
  <c r="W58" i="2" s="1"/>
  <c r="V58" i="2"/>
  <c r="U58" i="2"/>
  <c r="O58" i="2"/>
  <c r="R58" i="2" s="1"/>
  <c r="N58" i="2"/>
  <c r="K58" i="2"/>
  <c r="I58" i="2"/>
  <c r="H58" i="2"/>
  <c r="F58" i="2"/>
  <c r="E58" i="2"/>
  <c r="D58" i="2"/>
  <c r="C58" i="2"/>
  <c r="BI57" i="2"/>
  <c r="BG57" i="2"/>
  <c r="BE57" i="2"/>
  <c r="BB57" i="2"/>
  <c r="BA57" i="2"/>
  <c r="AZ57" i="2"/>
  <c r="AW57" i="2"/>
  <c r="AV57" i="2"/>
  <c r="AU57" i="2"/>
  <c r="AT57" i="2"/>
  <c r="AQ57" i="2"/>
  <c r="AP57" i="2"/>
  <c r="AO57" i="2"/>
  <c r="AM57" i="2"/>
  <c r="AL57" i="2"/>
  <c r="AJ57" i="2"/>
  <c r="AI57" i="2"/>
  <c r="AH57" i="2"/>
  <c r="AB57" i="2"/>
  <c r="AE57" i="2" s="1"/>
  <c r="AC57" i="2" s="1"/>
  <c r="AA57" i="2"/>
  <c r="X57" i="2"/>
  <c r="W57" i="2" s="1"/>
  <c r="V57" i="2"/>
  <c r="U57" i="2"/>
  <c r="O57" i="2"/>
  <c r="R57" i="2" s="1"/>
  <c r="N57" i="2"/>
  <c r="K57" i="2"/>
  <c r="I57" i="2"/>
  <c r="H57" i="2"/>
  <c r="F57" i="2"/>
  <c r="E57" i="2"/>
  <c r="D57" i="2"/>
  <c r="C57" i="2"/>
  <c r="BI56" i="2"/>
  <c r="BG56" i="2"/>
  <c r="BE56" i="2"/>
  <c r="BB56" i="2"/>
  <c r="BA56" i="2"/>
  <c r="AZ56" i="2"/>
  <c r="AW56" i="2"/>
  <c r="AV56" i="2"/>
  <c r="AU56" i="2"/>
  <c r="AT56" i="2"/>
  <c r="AQ56" i="2"/>
  <c r="AP56" i="2"/>
  <c r="AO56" i="2"/>
  <c r="AM56" i="2"/>
  <c r="AL56" i="2"/>
  <c r="AJ56" i="2"/>
  <c r="AI56" i="2"/>
  <c r="AH56" i="2"/>
  <c r="AB56" i="2"/>
  <c r="AE56" i="2" s="1"/>
  <c r="AA56" i="2"/>
  <c r="X56" i="2"/>
  <c r="W56" i="2" s="1"/>
  <c r="V56" i="2"/>
  <c r="U56" i="2"/>
  <c r="O56" i="2"/>
  <c r="R56" i="2" s="1"/>
  <c r="N56" i="2"/>
  <c r="K56" i="2"/>
  <c r="I56" i="2"/>
  <c r="H56" i="2"/>
  <c r="F56" i="2"/>
  <c r="E56" i="2"/>
  <c r="D56" i="2"/>
  <c r="C56" i="2"/>
  <c r="BI55" i="2"/>
  <c r="BG55" i="2"/>
  <c r="BE55" i="2"/>
  <c r="BB55" i="2"/>
  <c r="BA55" i="2"/>
  <c r="AZ55" i="2"/>
  <c r="AW55" i="2"/>
  <c r="AV55" i="2"/>
  <c r="AU55" i="2"/>
  <c r="AT55" i="2"/>
  <c r="AQ55" i="2"/>
  <c r="AP55" i="2"/>
  <c r="AO55" i="2"/>
  <c r="AM55" i="2"/>
  <c r="AL55" i="2"/>
  <c r="AJ55" i="2"/>
  <c r="AI55" i="2"/>
  <c r="AH55" i="2"/>
  <c r="AB55" i="2"/>
  <c r="AE55" i="2" s="1"/>
  <c r="AA55" i="2"/>
  <c r="X55" i="2"/>
  <c r="V55" i="2"/>
  <c r="U55" i="2"/>
  <c r="O55" i="2"/>
  <c r="R55" i="2" s="1"/>
  <c r="N55" i="2"/>
  <c r="K55" i="2"/>
  <c r="I55" i="2"/>
  <c r="H55" i="2"/>
  <c r="F55" i="2"/>
  <c r="E55" i="2"/>
  <c r="D55" i="2"/>
  <c r="C55" i="2"/>
  <c r="BI54" i="2"/>
  <c r="BG54" i="2"/>
  <c r="BE54" i="2"/>
  <c r="BB54" i="2"/>
  <c r="BA54" i="2"/>
  <c r="AZ54" i="2"/>
  <c r="AW54" i="2"/>
  <c r="AV54" i="2"/>
  <c r="AU54" i="2"/>
  <c r="AT54" i="2"/>
  <c r="AQ54" i="2"/>
  <c r="AP54" i="2"/>
  <c r="AO54" i="2"/>
  <c r="AM54" i="2"/>
  <c r="AL54" i="2"/>
  <c r="AJ54" i="2"/>
  <c r="AI54" i="2"/>
  <c r="AH54" i="2"/>
  <c r="AB54" i="2"/>
  <c r="AE54" i="2" s="1"/>
  <c r="AA54" i="2"/>
  <c r="X54" i="2"/>
  <c r="V54" i="2"/>
  <c r="U54" i="2"/>
  <c r="O54" i="2"/>
  <c r="R54" i="2" s="1"/>
  <c r="N54" i="2"/>
  <c r="K54" i="2"/>
  <c r="J54" i="2" s="1"/>
  <c r="I54" i="2"/>
  <c r="H54" i="2"/>
  <c r="F54" i="2"/>
  <c r="E54" i="2"/>
  <c r="D54" i="2"/>
  <c r="C54" i="2"/>
  <c r="BI53" i="2"/>
  <c r="BF53" i="2"/>
  <c r="BC53" i="2"/>
  <c r="AY53" i="2"/>
  <c r="AX53" i="2"/>
  <c r="AS53" i="2"/>
  <c r="AN53" i="2"/>
  <c r="AG53" i="2"/>
  <c r="Y53" i="2"/>
  <c r="L53" i="2"/>
  <c r="BI52" i="2"/>
  <c r="BG52" i="2"/>
  <c r="BE52" i="2"/>
  <c r="BB52" i="2"/>
  <c r="BA52" i="2"/>
  <c r="AZ52" i="2"/>
  <c r="AW52" i="2"/>
  <c r="AV52" i="2"/>
  <c r="AU52" i="2"/>
  <c r="AT52" i="2"/>
  <c r="AQ52" i="2"/>
  <c r="AP52" i="2"/>
  <c r="AO52" i="2"/>
  <c r="AM52" i="2"/>
  <c r="AL52" i="2"/>
  <c r="AJ52" i="2"/>
  <c r="AI52" i="2"/>
  <c r="AH52" i="2"/>
  <c r="AB52" i="2"/>
  <c r="AE52" i="2" s="1"/>
  <c r="AA52" i="2"/>
  <c r="X52" i="2"/>
  <c r="V52" i="2"/>
  <c r="U52" i="2"/>
  <c r="O52" i="2"/>
  <c r="R52" i="2" s="1"/>
  <c r="N52" i="2"/>
  <c r="K52" i="2"/>
  <c r="J52" i="2" s="1"/>
  <c r="I52" i="2"/>
  <c r="H52" i="2"/>
  <c r="F52" i="2"/>
  <c r="E52" i="2"/>
  <c r="D52" i="2"/>
  <c r="C52" i="2"/>
  <c r="BI51" i="2"/>
  <c r="BG51" i="2"/>
  <c r="BE51" i="2"/>
  <c r="BB51" i="2"/>
  <c r="BA51" i="2"/>
  <c r="AZ51" i="2"/>
  <c r="AW51" i="2"/>
  <c r="AV51" i="2"/>
  <c r="AU51" i="2"/>
  <c r="AT51" i="2"/>
  <c r="AQ51" i="2"/>
  <c r="AP51" i="2"/>
  <c r="AO51" i="2"/>
  <c r="AM51" i="2"/>
  <c r="AL51" i="2"/>
  <c r="AJ51" i="2"/>
  <c r="AI51" i="2"/>
  <c r="AH51" i="2"/>
  <c r="AB51" i="2"/>
  <c r="AE51" i="2" s="1"/>
  <c r="AA51" i="2"/>
  <c r="X51" i="2"/>
  <c r="W51" i="2" s="1"/>
  <c r="V51" i="2"/>
  <c r="U51" i="2"/>
  <c r="O51" i="2"/>
  <c r="R51" i="2" s="1"/>
  <c r="N51" i="2"/>
  <c r="K51" i="2"/>
  <c r="J51" i="2" s="1"/>
  <c r="I51" i="2"/>
  <c r="H51" i="2"/>
  <c r="F51" i="2"/>
  <c r="E51" i="2"/>
  <c r="D51" i="2"/>
  <c r="C51" i="2"/>
  <c r="BI50" i="2"/>
  <c r="BG50" i="2"/>
  <c r="BE50" i="2"/>
  <c r="BB50" i="2"/>
  <c r="BA50" i="2"/>
  <c r="AZ50" i="2"/>
  <c r="AW50" i="2"/>
  <c r="AV50" i="2"/>
  <c r="AU50" i="2"/>
  <c r="AT50" i="2"/>
  <c r="AQ50" i="2"/>
  <c r="AP50" i="2"/>
  <c r="AO50" i="2"/>
  <c r="AM50" i="2"/>
  <c r="AL50" i="2"/>
  <c r="AJ50" i="2"/>
  <c r="AI50" i="2"/>
  <c r="AH50" i="2"/>
  <c r="AB50" i="2"/>
  <c r="AE50" i="2" s="1"/>
  <c r="AA50" i="2"/>
  <c r="X50" i="2"/>
  <c r="W50" i="2" s="1"/>
  <c r="V50" i="2"/>
  <c r="U50" i="2"/>
  <c r="O50" i="2"/>
  <c r="R50" i="2" s="1"/>
  <c r="N50" i="2"/>
  <c r="K50" i="2"/>
  <c r="J50" i="2" s="1"/>
  <c r="I50" i="2"/>
  <c r="H50" i="2"/>
  <c r="F50" i="2"/>
  <c r="E50" i="2"/>
  <c r="D50" i="2"/>
  <c r="C50" i="2"/>
  <c r="BI49" i="2"/>
  <c r="BG49" i="2"/>
  <c r="BE49" i="2"/>
  <c r="BB49" i="2"/>
  <c r="BA49" i="2"/>
  <c r="AZ49" i="2"/>
  <c r="AW49" i="2"/>
  <c r="AV49" i="2"/>
  <c r="AU49" i="2"/>
  <c r="AT49" i="2"/>
  <c r="AQ49" i="2"/>
  <c r="AP49" i="2"/>
  <c r="AO49" i="2"/>
  <c r="AM49" i="2"/>
  <c r="AL49" i="2"/>
  <c r="AJ49" i="2"/>
  <c r="AI49" i="2"/>
  <c r="AH49" i="2"/>
  <c r="AB49" i="2"/>
  <c r="AE49" i="2" s="1"/>
  <c r="AA49" i="2"/>
  <c r="X49" i="2"/>
  <c r="W49" i="2" s="1"/>
  <c r="V49" i="2"/>
  <c r="U49" i="2"/>
  <c r="O49" i="2"/>
  <c r="R49" i="2" s="1"/>
  <c r="N49" i="2"/>
  <c r="K49" i="2"/>
  <c r="J49" i="2" s="1"/>
  <c r="I49" i="2"/>
  <c r="H49" i="2"/>
  <c r="F49" i="2"/>
  <c r="E49" i="2"/>
  <c r="D49" i="2"/>
  <c r="C49" i="2"/>
  <c r="BI48" i="2"/>
  <c r="BG48" i="2"/>
  <c r="BE48" i="2"/>
  <c r="BB48" i="2"/>
  <c r="BA48" i="2"/>
  <c r="AZ48" i="2"/>
  <c r="AW48" i="2"/>
  <c r="AV48" i="2"/>
  <c r="AU48" i="2"/>
  <c r="AT48" i="2"/>
  <c r="AQ48" i="2"/>
  <c r="AP48" i="2"/>
  <c r="AO48" i="2"/>
  <c r="AM48" i="2"/>
  <c r="AL48" i="2"/>
  <c r="AJ48" i="2"/>
  <c r="AI48" i="2"/>
  <c r="AH48" i="2"/>
  <c r="AB48" i="2"/>
  <c r="AE48" i="2" s="1"/>
  <c r="AA48" i="2"/>
  <c r="X48" i="2"/>
  <c r="W48" i="2" s="1"/>
  <c r="V48" i="2"/>
  <c r="U48" i="2"/>
  <c r="O48" i="2"/>
  <c r="R48" i="2" s="1"/>
  <c r="N48" i="2"/>
  <c r="K48" i="2"/>
  <c r="J48" i="2" s="1"/>
  <c r="I48" i="2"/>
  <c r="H48" i="2"/>
  <c r="F48" i="2"/>
  <c r="E48" i="2"/>
  <c r="D48" i="2"/>
  <c r="C48" i="2"/>
  <c r="BI47" i="2"/>
  <c r="BG47" i="2"/>
  <c r="BE47" i="2"/>
  <c r="BB47" i="2"/>
  <c r="BA47" i="2"/>
  <c r="AZ47" i="2"/>
  <c r="AW47" i="2"/>
  <c r="AV47" i="2"/>
  <c r="AU47" i="2"/>
  <c r="AT47" i="2"/>
  <c r="AQ47" i="2"/>
  <c r="AP47" i="2"/>
  <c r="AO47" i="2"/>
  <c r="AM47" i="2"/>
  <c r="AL47" i="2"/>
  <c r="AJ47" i="2"/>
  <c r="AI47" i="2"/>
  <c r="AH47" i="2"/>
  <c r="AB47" i="2"/>
  <c r="AE47" i="2" s="1"/>
  <c r="AA47" i="2"/>
  <c r="X47" i="2"/>
  <c r="W47" i="2" s="1"/>
  <c r="V47" i="2"/>
  <c r="U47" i="2"/>
  <c r="O47" i="2"/>
  <c r="N47" i="2"/>
  <c r="K47" i="2"/>
  <c r="J47" i="2" s="1"/>
  <c r="I47" i="2"/>
  <c r="H47" i="2"/>
  <c r="F47" i="2"/>
  <c r="E47" i="2"/>
  <c r="D47" i="2"/>
  <c r="C47" i="2"/>
  <c r="BI46" i="2"/>
  <c r="BG46" i="2"/>
  <c r="BE46" i="2"/>
  <c r="BB46" i="2"/>
  <c r="BA46" i="2"/>
  <c r="AZ46" i="2"/>
  <c r="AW46" i="2"/>
  <c r="AV46" i="2"/>
  <c r="AU46" i="2"/>
  <c r="AT46" i="2"/>
  <c r="AQ46" i="2"/>
  <c r="AP46" i="2"/>
  <c r="AO46" i="2"/>
  <c r="AM46" i="2"/>
  <c r="AL46" i="2"/>
  <c r="AJ46" i="2"/>
  <c r="AI46" i="2"/>
  <c r="AH46" i="2"/>
  <c r="AB46" i="2"/>
  <c r="AE46" i="2" s="1"/>
  <c r="AA46" i="2"/>
  <c r="X46" i="2"/>
  <c r="V46" i="2"/>
  <c r="U46" i="2"/>
  <c r="O46" i="2"/>
  <c r="R46" i="2" s="1"/>
  <c r="N46" i="2"/>
  <c r="K46" i="2"/>
  <c r="I46" i="2"/>
  <c r="H46" i="2"/>
  <c r="F46" i="2"/>
  <c r="F53" i="2" s="1"/>
  <c r="E46" i="2"/>
  <c r="D46" i="2"/>
  <c r="C46" i="2"/>
  <c r="BI45" i="2"/>
  <c r="BF45" i="2"/>
  <c r="BC45" i="2"/>
  <c r="AY45" i="2"/>
  <c r="AX45" i="2"/>
  <c r="AS45" i="2"/>
  <c r="AN45" i="2"/>
  <c r="AG45" i="2"/>
  <c r="BI44" i="2"/>
  <c r="BG44" i="2"/>
  <c r="BE44" i="2"/>
  <c r="BB44" i="2"/>
  <c r="BA44" i="2"/>
  <c r="AZ44" i="2"/>
  <c r="AW44" i="2"/>
  <c r="AV44" i="2"/>
  <c r="AU44" i="2"/>
  <c r="AT44" i="2"/>
  <c r="AQ44" i="2"/>
  <c r="AP44" i="2"/>
  <c r="AO44" i="2"/>
  <c r="AM44" i="2"/>
  <c r="AL44" i="2"/>
  <c r="AJ44" i="2"/>
  <c r="AI44" i="2"/>
  <c r="AH44" i="2"/>
  <c r="AB44" i="2"/>
  <c r="AA44" i="2"/>
  <c r="Y44" i="2"/>
  <c r="X44" i="2"/>
  <c r="V44" i="2"/>
  <c r="U44" i="2"/>
  <c r="O44" i="2"/>
  <c r="N44" i="2"/>
  <c r="L44" i="2"/>
  <c r="K44" i="2"/>
  <c r="I44" i="2"/>
  <c r="H44" i="2"/>
  <c r="F44" i="2"/>
  <c r="E44" i="2"/>
  <c r="D44" i="2"/>
  <c r="C44" i="2"/>
  <c r="BI43" i="2"/>
  <c r="BG43" i="2"/>
  <c r="BE43" i="2"/>
  <c r="BB43" i="2"/>
  <c r="BA43" i="2"/>
  <c r="AZ43" i="2"/>
  <c r="AW43" i="2"/>
  <c r="AV43" i="2"/>
  <c r="AU43" i="2"/>
  <c r="AT43" i="2"/>
  <c r="AQ43" i="2"/>
  <c r="AP43" i="2"/>
  <c r="AO43" i="2"/>
  <c r="AM43" i="2"/>
  <c r="AL43" i="2"/>
  <c r="AJ43" i="2"/>
  <c r="AI43" i="2"/>
  <c r="AH43" i="2"/>
  <c r="AB43" i="2"/>
  <c r="AA43" i="2"/>
  <c r="Y43" i="2"/>
  <c r="X43" i="2"/>
  <c r="V43" i="2"/>
  <c r="U43" i="2"/>
  <c r="O43" i="2"/>
  <c r="N43" i="2"/>
  <c r="L43" i="2"/>
  <c r="K43" i="2"/>
  <c r="I43" i="2"/>
  <c r="H43" i="2"/>
  <c r="F43" i="2"/>
  <c r="E43" i="2"/>
  <c r="D43" i="2"/>
  <c r="C43" i="2"/>
  <c r="BI42" i="2"/>
  <c r="BG42" i="2"/>
  <c r="BE42" i="2"/>
  <c r="BB42" i="2"/>
  <c r="BA42" i="2"/>
  <c r="AZ42" i="2"/>
  <c r="AW42" i="2"/>
  <c r="AV42" i="2"/>
  <c r="AU42" i="2"/>
  <c r="AT42" i="2"/>
  <c r="AQ42" i="2"/>
  <c r="AP42" i="2"/>
  <c r="AO42" i="2"/>
  <c r="AM42" i="2"/>
  <c r="AL42" i="2"/>
  <c r="AJ42" i="2"/>
  <c r="AI42" i="2"/>
  <c r="AH42" i="2"/>
  <c r="AB42" i="2"/>
  <c r="AA42" i="2"/>
  <c r="Y42" i="2"/>
  <c r="X42" i="2"/>
  <c r="V42" i="2"/>
  <c r="U42" i="2"/>
  <c r="O42" i="2"/>
  <c r="R42" i="2" s="1"/>
  <c r="N42" i="2"/>
  <c r="Q42" i="2" s="1"/>
  <c r="J42" i="2"/>
  <c r="I42" i="2"/>
  <c r="H42" i="2"/>
  <c r="F42" i="2"/>
  <c r="E42" i="2"/>
  <c r="D42" i="2"/>
  <c r="C42" i="2"/>
  <c r="BI41" i="2"/>
  <c r="BG41" i="2"/>
  <c r="BE41" i="2"/>
  <c r="BB41" i="2"/>
  <c r="BA41" i="2"/>
  <c r="AZ41" i="2"/>
  <c r="AW41" i="2"/>
  <c r="AV41" i="2"/>
  <c r="AU41" i="2"/>
  <c r="AT41" i="2"/>
  <c r="AQ41" i="2"/>
  <c r="AP41" i="2"/>
  <c r="AO41" i="2"/>
  <c r="AM41" i="2"/>
  <c r="AL41" i="2"/>
  <c r="AJ41" i="2"/>
  <c r="AI41" i="2"/>
  <c r="AH41" i="2"/>
  <c r="AB41" i="2"/>
  <c r="AA41" i="2"/>
  <c r="Y41" i="2"/>
  <c r="X41" i="2"/>
  <c r="V41" i="2"/>
  <c r="U41" i="2"/>
  <c r="O41" i="2"/>
  <c r="N41" i="2"/>
  <c r="L41" i="2"/>
  <c r="K41" i="2"/>
  <c r="I41" i="2"/>
  <c r="H41" i="2"/>
  <c r="F41" i="2"/>
  <c r="E41" i="2"/>
  <c r="D41" i="2"/>
  <c r="C41" i="2"/>
  <c r="BI40" i="2"/>
  <c r="BG40" i="2"/>
  <c r="BE40" i="2"/>
  <c r="BB40" i="2"/>
  <c r="BA40" i="2"/>
  <c r="AZ40" i="2"/>
  <c r="AW40" i="2"/>
  <c r="AV40" i="2"/>
  <c r="AU40" i="2"/>
  <c r="AT40" i="2"/>
  <c r="AQ40" i="2"/>
  <c r="AP40" i="2"/>
  <c r="AO40" i="2"/>
  <c r="AM40" i="2"/>
  <c r="AL40" i="2"/>
  <c r="AJ40" i="2"/>
  <c r="AI40" i="2"/>
  <c r="AH40" i="2"/>
  <c r="AB40" i="2"/>
  <c r="AA40" i="2"/>
  <c r="Y40" i="2"/>
  <c r="X40" i="2"/>
  <c r="V40" i="2"/>
  <c r="U40" i="2"/>
  <c r="O40" i="2"/>
  <c r="N40" i="2"/>
  <c r="L40" i="2"/>
  <c r="K40" i="2"/>
  <c r="I40" i="2"/>
  <c r="H40" i="2"/>
  <c r="F40" i="2"/>
  <c r="E40" i="2"/>
  <c r="D40" i="2"/>
  <c r="C40" i="2"/>
  <c r="BI39" i="2"/>
  <c r="BG39" i="2"/>
  <c r="BE39" i="2"/>
  <c r="BB39" i="2"/>
  <c r="BA39" i="2"/>
  <c r="AZ39" i="2"/>
  <c r="AW39" i="2"/>
  <c r="AV39" i="2"/>
  <c r="AU39" i="2"/>
  <c r="AT39" i="2"/>
  <c r="AQ39" i="2"/>
  <c r="AP39" i="2"/>
  <c r="AO39" i="2"/>
  <c r="AM39" i="2"/>
  <c r="AL39" i="2"/>
  <c r="AJ39" i="2"/>
  <c r="AI39" i="2"/>
  <c r="AH39" i="2"/>
  <c r="AB39" i="2"/>
  <c r="AA39" i="2"/>
  <c r="Y39" i="2"/>
  <c r="X39" i="2"/>
  <c r="V39" i="2"/>
  <c r="U39" i="2"/>
  <c r="O39" i="2"/>
  <c r="N39" i="2"/>
  <c r="L39" i="2"/>
  <c r="K39" i="2"/>
  <c r="I39" i="2"/>
  <c r="H39" i="2"/>
  <c r="F39" i="2"/>
  <c r="E39" i="2"/>
  <c r="D39" i="2"/>
  <c r="C39" i="2"/>
  <c r="BI38" i="2"/>
  <c r="BG38" i="2"/>
  <c r="BE38" i="2"/>
  <c r="BB38" i="2"/>
  <c r="BA38" i="2"/>
  <c r="AZ38" i="2"/>
  <c r="AW38" i="2"/>
  <c r="AV38" i="2"/>
  <c r="AU38" i="2"/>
  <c r="AT38" i="2"/>
  <c r="AQ38" i="2"/>
  <c r="AP38" i="2"/>
  <c r="AO38" i="2"/>
  <c r="AM38" i="2"/>
  <c r="AL38" i="2"/>
  <c r="AJ38" i="2"/>
  <c r="AI38" i="2"/>
  <c r="AH38" i="2"/>
  <c r="AB38" i="2"/>
  <c r="AA38" i="2"/>
  <c r="Y38" i="2"/>
  <c r="X38" i="2"/>
  <c r="V38" i="2"/>
  <c r="U38" i="2"/>
  <c r="O38" i="2"/>
  <c r="N38" i="2"/>
  <c r="L38" i="2"/>
  <c r="K38" i="2"/>
  <c r="I38" i="2"/>
  <c r="H38" i="2"/>
  <c r="F38" i="2"/>
  <c r="E38" i="2"/>
  <c r="D38" i="2"/>
  <c r="C38" i="2"/>
  <c r="BI37" i="2"/>
  <c r="BG37" i="2"/>
  <c r="BE37" i="2"/>
  <c r="BB37" i="2"/>
  <c r="BA37" i="2"/>
  <c r="AZ37" i="2"/>
  <c r="AW37" i="2"/>
  <c r="AV37" i="2"/>
  <c r="AU37" i="2"/>
  <c r="AT37" i="2"/>
  <c r="AQ37" i="2"/>
  <c r="AP37" i="2"/>
  <c r="AO37" i="2"/>
  <c r="AM37" i="2"/>
  <c r="AL37" i="2"/>
  <c r="AJ37" i="2"/>
  <c r="AI37" i="2"/>
  <c r="AH37" i="2"/>
  <c r="AB37" i="2"/>
  <c r="AA37" i="2"/>
  <c r="Y37" i="2"/>
  <c r="X37" i="2"/>
  <c r="V37" i="2"/>
  <c r="U37" i="2"/>
  <c r="O37" i="2"/>
  <c r="N37" i="2"/>
  <c r="L37" i="2"/>
  <c r="K37" i="2"/>
  <c r="I37" i="2"/>
  <c r="H37" i="2"/>
  <c r="F37" i="2"/>
  <c r="E37" i="2"/>
  <c r="D37" i="2"/>
  <c r="C37" i="2"/>
  <c r="BI36" i="2"/>
  <c r="BG36" i="2"/>
  <c r="BE36" i="2"/>
  <c r="BB36" i="2"/>
  <c r="BA36" i="2"/>
  <c r="AZ36" i="2"/>
  <c r="AW36" i="2"/>
  <c r="AV36" i="2"/>
  <c r="AU36" i="2"/>
  <c r="AT36" i="2"/>
  <c r="AQ36" i="2"/>
  <c r="AP36" i="2"/>
  <c r="AO36" i="2"/>
  <c r="AM36" i="2"/>
  <c r="AL36" i="2"/>
  <c r="AJ36" i="2"/>
  <c r="AI36" i="2"/>
  <c r="AH36" i="2"/>
  <c r="AB36" i="2"/>
  <c r="AA36" i="2"/>
  <c r="Y36" i="2"/>
  <c r="X36" i="2"/>
  <c r="V36" i="2"/>
  <c r="U36" i="2"/>
  <c r="O36" i="2"/>
  <c r="N36" i="2"/>
  <c r="L36" i="2"/>
  <c r="K36" i="2"/>
  <c r="I36" i="2"/>
  <c r="H36" i="2"/>
  <c r="F36" i="2"/>
  <c r="E36" i="2"/>
  <c r="D36" i="2"/>
  <c r="C36" i="2"/>
  <c r="BI35" i="2"/>
  <c r="BG35" i="2"/>
  <c r="BE35" i="2"/>
  <c r="BB35" i="2"/>
  <c r="BA35" i="2"/>
  <c r="AZ35" i="2"/>
  <c r="AW35" i="2"/>
  <c r="AV35" i="2"/>
  <c r="AU35" i="2"/>
  <c r="AT35" i="2"/>
  <c r="AQ35" i="2"/>
  <c r="AP35" i="2"/>
  <c r="AO35" i="2"/>
  <c r="AM35" i="2"/>
  <c r="AL35" i="2"/>
  <c r="AJ35" i="2"/>
  <c r="AI35" i="2"/>
  <c r="AH35" i="2"/>
  <c r="AB35" i="2"/>
  <c r="AA35" i="2"/>
  <c r="Y35" i="2"/>
  <c r="X35" i="2"/>
  <c r="V35" i="2"/>
  <c r="U35" i="2"/>
  <c r="O35" i="2"/>
  <c r="N35" i="2"/>
  <c r="L35" i="2"/>
  <c r="K35" i="2"/>
  <c r="I35" i="2"/>
  <c r="H35" i="2"/>
  <c r="F35" i="2"/>
  <c r="E35" i="2"/>
  <c r="D35" i="2"/>
  <c r="C35" i="2"/>
  <c r="BI34" i="2"/>
  <c r="BF34" i="2"/>
  <c r="BC34" i="2"/>
  <c r="AY34" i="2"/>
  <c r="AX34" i="2"/>
  <c r="AS34" i="2"/>
  <c r="AQ34" i="2"/>
  <c r="AP34" i="2"/>
  <c r="AO34" i="2"/>
  <c r="AN34" i="2"/>
  <c r="AG34" i="2"/>
  <c r="BI33" i="2"/>
  <c r="BG33" i="2"/>
  <c r="BE33" i="2"/>
  <c r="BB33" i="2"/>
  <c r="BA33" i="2"/>
  <c r="AZ33" i="2"/>
  <c r="AW33" i="2"/>
  <c r="AV33" i="2"/>
  <c r="AU33" i="2"/>
  <c r="AT33" i="2"/>
  <c r="AM33" i="2"/>
  <c r="AL33" i="2"/>
  <c r="AJ33" i="2"/>
  <c r="AI33" i="2"/>
  <c r="AH33" i="2"/>
  <c r="AB33" i="2"/>
  <c r="AA33" i="2"/>
  <c r="Y33" i="2"/>
  <c r="X33" i="2"/>
  <c r="V33" i="2"/>
  <c r="U33" i="2"/>
  <c r="O33" i="2"/>
  <c r="N33" i="2"/>
  <c r="L33" i="2"/>
  <c r="K33" i="2"/>
  <c r="I33" i="2"/>
  <c r="H33" i="2"/>
  <c r="F33" i="2"/>
  <c r="E33" i="2"/>
  <c r="D33" i="2"/>
  <c r="C33" i="2"/>
  <c r="BI32" i="2"/>
  <c r="BG32" i="2"/>
  <c r="BE32" i="2"/>
  <c r="BB32" i="2"/>
  <c r="BA32" i="2"/>
  <c r="AZ32" i="2"/>
  <c r="AW32" i="2"/>
  <c r="AV32" i="2"/>
  <c r="AU32" i="2"/>
  <c r="AT32" i="2"/>
  <c r="AM32" i="2"/>
  <c r="AL32" i="2"/>
  <c r="AJ32" i="2"/>
  <c r="AI32" i="2"/>
  <c r="AH32" i="2"/>
  <c r="AB32" i="2"/>
  <c r="AA32" i="2"/>
  <c r="Y32" i="2"/>
  <c r="X32" i="2"/>
  <c r="V32" i="2"/>
  <c r="U32" i="2"/>
  <c r="O32" i="2"/>
  <c r="N32" i="2"/>
  <c r="L32" i="2"/>
  <c r="K32" i="2"/>
  <c r="I32" i="2"/>
  <c r="H32" i="2"/>
  <c r="F32" i="2"/>
  <c r="E32" i="2"/>
  <c r="D32" i="2"/>
  <c r="C32" i="2"/>
  <c r="BI31" i="2"/>
  <c r="BG31" i="2"/>
  <c r="BE31" i="2"/>
  <c r="BB31" i="2"/>
  <c r="BA31" i="2"/>
  <c r="AZ31" i="2"/>
  <c r="AW31" i="2"/>
  <c r="AV31" i="2"/>
  <c r="AU31" i="2"/>
  <c r="AT31" i="2"/>
  <c r="AM31" i="2"/>
  <c r="AL31" i="2"/>
  <c r="AJ31" i="2"/>
  <c r="AI31" i="2"/>
  <c r="AH31" i="2"/>
  <c r="AB31" i="2"/>
  <c r="AA31" i="2"/>
  <c r="Y31" i="2"/>
  <c r="X31" i="2"/>
  <c r="V31" i="2"/>
  <c r="U31" i="2"/>
  <c r="O31" i="2"/>
  <c r="N31" i="2"/>
  <c r="L31" i="2"/>
  <c r="K31" i="2"/>
  <c r="I31" i="2"/>
  <c r="H31" i="2"/>
  <c r="F31" i="2"/>
  <c r="E31" i="2"/>
  <c r="D31" i="2"/>
  <c r="C31" i="2"/>
  <c r="BI30" i="2"/>
  <c r="BG30" i="2"/>
  <c r="BE30" i="2"/>
  <c r="BB30" i="2"/>
  <c r="BA30" i="2"/>
  <c r="AZ30" i="2"/>
  <c r="AW30" i="2"/>
  <c r="AV30" i="2"/>
  <c r="AU30" i="2"/>
  <c r="AT30" i="2"/>
  <c r="AM30" i="2"/>
  <c r="AL30" i="2"/>
  <c r="AJ30" i="2"/>
  <c r="AI30" i="2"/>
  <c r="AH30" i="2"/>
  <c r="AB30" i="2"/>
  <c r="AA30" i="2"/>
  <c r="Y30" i="2"/>
  <c r="X30" i="2"/>
  <c r="V30" i="2"/>
  <c r="U30" i="2"/>
  <c r="O30" i="2"/>
  <c r="N30" i="2"/>
  <c r="L30" i="2"/>
  <c r="K30" i="2"/>
  <c r="I30" i="2"/>
  <c r="H30" i="2"/>
  <c r="F30" i="2"/>
  <c r="E30" i="2"/>
  <c r="D30" i="2"/>
  <c r="C30" i="2"/>
  <c r="BI29" i="2"/>
  <c r="BG29" i="2"/>
  <c r="BE29" i="2"/>
  <c r="BB29" i="2"/>
  <c r="BA29" i="2"/>
  <c r="AZ29" i="2"/>
  <c r="AW29" i="2"/>
  <c r="AV29" i="2"/>
  <c r="AU29" i="2"/>
  <c r="AT29" i="2"/>
  <c r="AM29" i="2"/>
  <c r="AL29" i="2"/>
  <c r="AJ29" i="2"/>
  <c r="AI29" i="2"/>
  <c r="AH29" i="2"/>
  <c r="AB29" i="2"/>
  <c r="AA29" i="2"/>
  <c r="Y29" i="2"/>
  <c r="X29" i="2"/>
  <c r="V29" i="2"/>
  <c r="U29" i="2"/>
  <c r="O29" i="2"/>
  <c r="N29" i="2"/>
  <c r="L29" i="2"/>
  <c r="K29" i="2"/>
  <c r="I29" i="2"/>
  <c r="H29" i="2"/>
  <c r="F29" i="2"/>
  <c r="E29" i="2"/>
  <c r="D29" i="2"/>
  <c r="C29" i="2"/>
  <c r="BI28" i="2"/>
  <c r="BG28" i="2"/>
  <c r="BE28" i="2"/>
  <c r="BB28" i="2"/>
  <c r="BA28" i="2"/>
  <c r="AZ28" i="2"/>
  <c r="AW28" i="2"/>
  <c r="AV28" i="2"/>
  <c r="AU28" i="2"/>
  <c r="AT28" i="2"/>
  <c r="AM28" i="2"/>
  <c r="AL28" i="2"/>
  <c r="AJ28" i="2"/>
  <c r="AI28" i="2"/>
  <c r="AH28" i="2"/>
  <c r="AB28" i="2"/>
  <c r="AA28" i="2"/>
  <c r="Y28" i="2"/>
  <c r="X28" i="2"/>
  <c r="V28" i="2"/>
  <c r="U28" i="2"/>
  <c r="O28" i="2"/>
  <c r="N28" i="2"/>
  <c r="L28" i="2"/>
  <c r="K28" i="2"/>
  <c r="I28" i="2"/>
  <c r="H28" i="2"/>
  <c r="F28" i="2"/>
  <c r="E28" i="2"/>
  <c r="D28" i="2"/>
  <c r="C28" i="2"/>
  <c r="BI27" i="2"/>
  <c r="BG27" i="2"/>
  <c r="BE27" i="2"/>
  <c r="BB27" i="2"/>
  <c r="BA27" i="2"/>
  <c r="AZ27" i="2"/>
  <c r="AW27" i="2"/>
  <c r="AV27" i="2"/>
  <c r="AU27" i="2"/>
  <c r="AT27" i="2"/>
  <c r="AM27" i="2"/>
  <c r="AL27" i="2"/>
  <c r="AJ27" i="2"/>
  <c r="AI27" i="2"/>
  <c r="AH27" i="2"/>
  <c r="AB27" i="2"/>
  <c r="AA27" i="2"/>
  <c r="Y27" i="2"/>
  <c r="X27" i="2"/>
  <c r="V27" i="2"/>
  <c r="U27" i="2"/>
  <c r="O27" i="2"/>
  <c r="N27" i="2"/>
  <c r="L27" i="2"/>
  <c r="K27" i="2"/>
  <c r="I27" i="2"/>
  <c r="H27" i="2"/>
  <c r="F27" i="2"/>
  <c r="E27" i="2"/>
  <c r="D27" i="2"/>
  <c r="C27" i="2"/>
  <c r="BI26" i="2"/>
  <c r="BG26" i="2"/>
  <c r="BE26" i="2"/>
  <c r="BB26" i="2"/>
  <c r="BA26" i="2"/>
  <c r="AZ26" i="2"/>
  <c r="AW26" i="2"/>
  <c r="AV26" i="2"/>
  <c r="AU26" i="2"/>
  <c r="AT26" i="2"/>
  <c r="AM26" i="2"/>
  <c r="AL26" i="2"/>
  <c r="AJ26" i="2"/>
  <c r="AI26" i="2"/>
  <c r="AH26" i="2"/>
  <c r="AB26" i="2"/>
  <c r="AA26" i="2"/>
  <c r="Y26" i="2"/>
  <c r="X26" i="2"/>
  <c r="V26" i="2"/>
  <c r="U26" i="2"/>
  <c r="O26" i="2"/>
  <c r="N26" i="2"/>
  <c r="L26" i="2"/>
  <c r="K26" i="2"/>
  <c r="I26" i="2"/>
  <c r="H26" i="2"/>
  <c r="F26" i="2"/>
  <c r="E26" i="2"/>
  <c r="D26" i="2"/>
  <c r="C26" i="2"/>
  <c r="BI25" i="2"/>
  <c r="BG25" i="2"/>
  <c r="BE25" i="2"/>
  <c r="BB25" i="2"/>
  <c r="BA25" i="2"/>
  <c r="AZ25" i="2"/>
  <c r="AW25" i="2"/>
  <c r="AV25" i="2"/>
  <c r="AU25" i="2"/>
  <c r="AT25" i="2"/>
  <c r="AM25" i="2"/>
  <c r="AL25" i="2"/>
  <c r="AJ25" i="2"/>
  <c r="AI25" i="2"/>
  <c r="AH25" i="2"/>
  <c r="AB25" i="2"/>
  <c r="AA25" i="2"/>
  <c r="Y25" i="2"/>
  <c r="X25" i="2"/>
  <c r="V25" i="2"/>
  <c r="U25" i="2"/>
  <c r="O25" i="2"/>
  <c r="N25" i="2"/>
  <c r="L25" i="2"/>
  <c r="K25" i="2"/>
  <c r="I25" i="2"/>
  <c r="H25" i="2"/>
  <c r="F25" i="2"/>
  <c r="E25" i="2"/>
  <c r="D25" i="2"/>
  <c r="C25" i="2"/>
  <c r="BI24" i="2"/>
  <c r="BG24" i="2"/>
  <c r="BE24" i="2"/>
  <c r="BB24" i="2"/>
  <c r="BA24" i="2"/>
  <c r="AZ24" i="2"/>
  <c r="AW24" i="2"/>
  <c r="AV24" i="2"/>
  <c r="AU24" i="2"/>
  <c r="AT24" i="2"/>
  <c r="AM24" i="2"/>
  <c r="AL24" i="2"/>
  <c r="AJ24" i="2"/>
  <c r="AI24" i="2"/>
  <c r="AH24" i="2"/>
  <c r="AB24" i="2"/>
  <c r="AA24" i="2"/>
  <c r="Y24" i="2"/>
  <c r="X24" i="2"/>
  <c r="V24" i="2"/>
  <c r="U24" i="2"/>
  <c r="O24" i="2"/>
  <c r="N24" i="2"/>
  <c r="L24" i="2"/>
  <c r="K24" i="2"/>
  <c r="I24" i="2"/>
  <c r="H24" i="2"/>
  <c r="F24" i="2"/>
  <c r="E24" i="2"/>
  <c r="D24" i="2"/>
  <c r="BI23" i="2"/>
  <c r="BF23" i="2"/>
  <c r="BC23" i="2"/>
  <c r="AY23" i="2"/>
  <c r="AX23" i="2"/>
  <c r="AS23" i="2"/>
  <c r="AN23" i="2"/>
  <c r="AN63" i="2" s="1"/>
  <c r="AN77" i="2" s="1"/>
  <c r="AG23" i="2"/>
  <c r="L23" i="2"/>
  <c r="BI22" i="2"/>
  <c r="BG22" i="2"/>
  <c r="BE22" i="2"/>
  <c r="BB22" i="2"/>
  <c r="BA22" i="2"/>
  <c r="AZ22" i="2"/>
  <c r="AW22" i="2"/>
  <c r="AV22" i="2"/>
  <c r="AU22" i="2"/>
  <c r="AT22" i="2"/>
  <c r="AQ22" i="2"/>
  <c r="AP22" i="2"/>
  <c r="AO22" i="2"/>
  <c r="AM22" i="2"/>
  <c r="AL22" i="2"/>
  <c r="AJ22" i="2"/>
  <c r="AI22" i="2"/>
  <c r="AH22" i="2"/>
  <c r="AB22" i="2"/>
  <c r="AA22" i="2"/>
  <c r="Y22" i="2"/>
  <c r="X22" i="2"/>
  <c r="V22" i="2"/>
  <c r="U22" i="2"/>
  <c r="O22" i="2"/>
  <c r="R22" i="2" s="1"/>
  <c r="N22" i="2"/>
  <c r="K22" i="2"/>
  <c r="I22" i="2"/>
  <c r="H22" i="2"/>
  <c r="F22" i="2"/>
  <c r="E22" i="2"/>
  <c r="D22" i="2"/>
  <c r="C22" i="2"/>
  <c r="BI21" i="2"/>
  <c r="BG21" i="2"/>
  <c r="BE21" i="2"/>
  <c r="BB21" i="2"/>
  <c r="BA21" i="2"/>
  <c r="AZ21" i="2"/>
  <c r="AW21" i="2"/>
  <c r="AV21" i="2"/>
  <c r="AU21" i="2"/>
  <c r="AT21" i="2"/>
  <c r="AQ21" i="2"/>
  <c r="AP21" i="2"/>
  <c r="AO21" i="2"/>
  <c r="AM21" i="2"/>
  <c r="AL21" i="2"/>
  <c r="AJ21" i="2"/>
  <c r="AI21" i="2"/>
  <c r="AH21" i="2"/>
  <c r="AB21" i="2"/>
  <c r="AA21" i="2"/>
  <c r="Y21" i="2"/>
  <c r="X21" i="2"/>
  <c r="V21" i="2"/>
  <c r="U21" i="2"/>
  <c r="O21" i="2"/>
  <c r="R21" i="2" s="1"/>
  <c r="N21" i="2"/>
  <c r="K21" i="2"/>
  <c r="J21" i="2" s="1"/>
  <c r="I21" i="2"/>
  <c r="H21" i="2"/>
  <c r="F21" i="2"/>
  <c r="E21" i="2"/>
  <c r="D21" i="2"/>
  <c r="C21" i="2"/>
  <c r="BI20" i="2"/>
  <c r="BG20" i="2"/>
  <c r="BE20" i="2"/>
  <c r="BB20" i="2"/>
  <c r="BA20" i="2"/>
  <c r="AZ20" i="2"/>
  <c r="AW20" i="2"/>
  <c r="AV20" i="2"/>
  <c r="AU20" i="2"/>
  <c r="AT20" i="2"/>
  <c r="AQ20" i="2"/>
  <c r="AP20" i="2"/>
  <c r="AO20" i="2"/>
  <c r="AM20" i="2"/>
  <c r="AL20" i="2"/>
  <c r="AJ20" i="2"/>
  <c r="AI20" i="2"/>
  <c r="AH20" i="2"/>
  <c r="AB20" i="2"/>
  <c r="AA20" i="2"/>
  <c r="Y20" i="2"/>
  <c r="X20" i="2"/>
  <c r="V20" i="2"/>
  <c r="U20" i="2"/>
  <c r="O20" i="2"/>
  <c r="R20" i="2" s="1"/>
  <c r="N20" i="2"/>
  <c r="K20" i="2"/>
  <c r="J20" i="2" s="1"/>
  <c r="I20" i="2"/>
  <c r="H20" i="2"/>
  <c r="F20" i="2"/>
  <c r="E20" i="2"/>
  <c r="D20" i="2"/>
  <c r="C20" i="2"/>
  <c r="BI19" i="2"/>
  <c r="BG19" i="2"/>
  <c r="BE19" i="2"/>
  <c r="BB19" i="2"/>
  <c r="BA19" i="2"/>
  <c r="AZ19" i="2"/>
  <c r="AW19" i="2"/>
  <c r="AV19" i="2"/>
  <c r="AU19" i="2"/>
  <c r="AT19" i="2"/>
  <c r="AQ19" i="2"/>
  <c r="AP19" i="2"/>
  <c r="AO19" i="2"/>
  <c r="AM19" i="2"/>
  <c r="AL19" i="2"/>
  <c r="AJ19" i="2"/>
  <c r="AI19" i="2"/>
  <c r="AH19" i="2"/>
  <c r="AB19" i="2"/>
  <c r="AA19" i="2"/>
  <c r="Y19" i="2"/>
  <c r="X19" i="2"/>
  <c r="V19" i="2"/>
  <c r="U19" i="2"/>
  <c r="O19" i="2"/>
  <c r="R19" i="2" s="1"/>
  <c r="N19" i="2"/>
  <c r="K19" i="2"/>
  <c r="J19" i="2" s="1"/>
  <c r="I19" i="2"/>
  <c r="H19" i="2"/>
  <c r="F19" i="2"/>
  <c r="E19" i="2"/>
  <c r="D19" i="2"/>
  <c r="C19" i="2"/>
  <c r="BI18" i="2"/>
  <c r="BG18" i="2"/>
  <c r="BE18" i="2"/>
  <c r="BB18" i="2"/>
  <c r="BA18" i="2"/>
  <c r="AZ18" i="2"/>
  <c r="AW18" i="2"/>
  <c r="AV18" i="2"/>
  <c r="AU18" i="2"/>
  <c r="AT18" i="2"/>
  <c r="AQ18" i="2"/>
  <c r="AP18" i="2"/>
  <c r="AO18" i="2"/>
  <c r="AM18" i="2"/>
  <c r="AL18" i="2"/>
  <c r="AJ18" i="2"/>
  <c r="AI18" i="2"/>
  <c r="AH18" i="2"/>
  <c r="AB18" i="2"/>
  <c r="AA18" i="2"/>
  <c r="Y18" i="2"/>
  <c r="X18" i="2"/>
  <c r="V18" i="2"/>
  <c r="U18" i="2"/>
  <c r="O18" i="2"/>
  <c r="R18" i="2" s="1"/>
  <c r="N18" i="2"/>
  <c r="K18" i="2"/>
  <c r="J18" i="2" s="1"/>
  <c r="I18" i="2"/>
  <c r="H18" i="2"/>
  <c r="F18" i="2"/>
  <c r="E18" i="2"/>
  <c r="D18" i="2"/>
  <c r="C18" i="2"/>
  <c r="BI17" i="2"/>
  <c r="BG17" i="2"/>
  <c r="BE17" i="2"/>
  <c r="BB17" i="2"/>
  <c r="BA17" i="2"/>
  <c r="AZ17" i="2"/>
  <c r="AW17" i="2"/>
  <c r="AV17" i="2"/>
  <c r="AU17" i="2"/>
  <c r="AT17" i="2"/>
  <c r="AQ17" i="2"/>
  <c r="AP17" i="2"/>
  <c r="AO17" i="2"/>
  <c r="AM17" i="2"/>
  <c r="AL17" i="2"/>
  <c r="AJ17" i="2"/>
  <c r="AI17" i="2"/>
  <c r="AH17" i="2"/>
  <c r="AB17" i="2"/>
  <c r="AA17" i="2"/>
  <c r="Y17" i="2"/>
  <c r="X17" i="2"/>
  <c r="V17" i="2"/>
  <c r="U17" i="2"/>
  <c r="O17" i="2"/>
  <c r="R17" i="2" s="1"/>
  <c r="N17" i="2"/>
  <c r="K17" i="2"/>
  <c r="J17" i="2" s="1"/>
  <c r="I17" i="2"/>
  <c r="H17" i="2"/>
  <c r="F17" i="2"/>
  <c r="E17" i="2"/>
  <c r="D17" i="2"/>
  <c r="C17" i="2"/>
  <c r="BI16" i="2"/>
  <c r="BG16" i="2"/>
  <c r="BE16" i="2"/>
  <c r="BB16" i="2"/>
  <c r="BA16" i="2"/>
  <c r="AZ16" i="2"/>
  <c r="AW16" i="2"/>
  <c r="AV16" i="2"/>
  <c r="AU16" i="2"/>
  <c r="AT16" i="2"/>
  <c r="AQ16" i="2"/>
  <c r="AP16" i="2"/>
  <c r="AO16" i="2"/>
  <c r="AM16" i="2"/>
  <c r="AL16" i="2"/>
  <c r="AJ16" i="2"/>
  <c r="AI16" i="2"/>
  <c r="AH16" i="2"/>
  <c r="AB16" i="2"/>
  <c r="AA16" i="2"/>
  <c r="Y16" i="2"/>
  <c r="X16" i="2"/>
  <c r="V16" i="2"/>
  <c r="U16" i="2"/>
  <c r="O16" i="2"/>
  <c r="R16" i="2" s="1"/>
  <c r="N16" i="2"/>
  <c r="K16" i="2"/>
  <c r="I16" i="2"/>
  <c r="H16" i="2"/>
  <c r="F16" i="2"/>
  <c r="E16" i="2"/>
  <c r="D16" i="2"/>
  <c r="C16" i="2"/>
  <c r="BI15" i="2"/>
  <c r="BG15" i="2"/>
  <c r="BE15" i="2"/>
  <c r="BB15" i="2"/>
  <c r="BA15" i="2"/>
  <c r="AZ15" i="2"/>
  <c r="AW15" i="2"/>
  <c r="AV15" i="2"/>
  <c r="AU15" i="2"/>
  <c r="AT15" i="2"/>
  <c r="AQ15" i="2"/>
  <c r="AP15" i="2"/>
  <c r="AO15" i="2"/>
  <c r="AM15" i="2"/>
  <c r="AL15" i="2"/>
  <c r="AJ15" i="2"/>
  <c r="AI15" i="2"/>
  <c r="AH15" i="2"/>
  <c r="AB15" i="2"/>
  <c r="AA15" i="2"/>
  <c r="Y15" i="2"/>
  <c r="X15" i="2"/>
  <c r="V15" i="2"/>
  <c r="U15" i="2"/>
  <c r="O15" i="2"/>
  <c r="R15" i="2" s="1"/>
  <c r="N15" i="2"/>
  <c r="K15" i="2"/>
  <c r="J15" i="2" s="1"/>
  <c r="I15" i="2"/>
  <c r="H15" i="2"/>
  <c r="F15" i="2"/>
  <c r="E15" i="2"/>
  <c r="D15" i="2"/>
  <c r="C15" i="2"/>
  <c r="BI14" i="2"/>
  <c r="BG14" i="2"/>
  <c r="BE14" i="2"/>
  <c r="BB14" i="2"/>
  <c r="BA14" i="2"/>
  <c r="AZ14" i="2"/>
  <c r="AW14" i="2"/>
  <c r="AV14" i="2"/>
  <c r="AU14" i="2"/>
  <c r="AT14" i="2"/>
  <c r="AQ14" i="2"/>
  <c r="AP14" i="2"/>
  <c r="AO14" i="2"/>
  <c r="AM14" i="2"/>
  <c r="AL14" i="2"/>
  <c r="AJ14" i="2"/>
  <c r="AI14" i="2"/>
  <c r="AH14" i="2"/>
  <c r="AB14" i="2"/>
  <c r="AA14" i="2"/>
  <c r="Y14" i="2"/>
  <c r="X14" i="2"/>
  <c r="V14" i="2"/>
  <c r="U14" i="2"/>
  <c r="O14" i="2"/>
  <c r="R14" i="2" s="1"/>
  <c r="N14" i="2"/>
  <c r="K14" i="2"/>
  <c r="I14" i="2"/>
  <c r="H14" i="2"/>
  <c r="F14" i="2"/>
  <c r="E14" i="2"/>
  <c r="D14" i="2"/>
  <c r="C14" i="2"/>
  <c r="BI13" i="2"/>
  <c r="BG13" i="2"/>
  <c r="BE13" i="2"/>
  <c r="BB13" i="2"/>
  <c r="BA13" i="2"/>
  <c r="AZ13" i="2"/>
  <c r="AW13" i="2"/>
  <c r="AV13" i="2"/>
  <c r="AU13" i="2"/>
  <c r="AT13" i="2"/>
  <c r="AQ13" i="2"/>
  <c r="AP13" i="2"/>
  <c r="AO13" i="2"/>
  <c r="AM13" i="2"/>
  <c r="AL13" i="2"/>
  <c r="AJ13" i="2"/>
  <c r="AI13" i="2"/>
  <c r="AH13" i="2"/>
  <c r="AB13" i="2"/>
  <c r="AA13" i="2"/>
  <c r="Y13" i="2"/>
  <c r="X13" i="2"/>
  <c r="V13" i="2"/>
  <c r="U13" i="2"/>
  <c r="O13" i="2"/>
  <c r="N13" i="2"/>
  <c r="K13" i="2"/>
  <c r="J13" i="2" s="1"/>
  <c r="I13" i="2"/>
  <c r="H13" i="2"/>
  <c r="F13" i="2"/>
  <c r="E13" i="2"/>
  <c r="D13" i="2"/>
  <c r="C13" i="2"/>
  <c r="BI12" i="2"/>
  <c r="BG12" i="2"/>
  <c r="BE12" i="2"/>
  <c r="BB12" i="2"/>
  <c r="BA12" i="2"/>
  <c r="AZ12" i="2"/>
  <c r="AW12" i="2"/>
  <c r="AV12" i="2"/>
  <c r="AU12" i="2"/>
  <c r="AT12" i="2"/>
  <c r="AQ12" i="2"/>
  <c r="AP12" i="2"/>
  <c r="AO12" i="2"/>
  <c r="AM12" i="2"/>
  <c r="AL12" i="2"/>
  <c r="AJ12" i="2"/>
  <c r="AI12" i="2"/>
  <c r="AH12" i="2"/>
  <c r="AB12" i="2"/>
  <c r="AA12" i="2"/>
  <c r="Y12" i="2"/>
  <c r="X12" i="2"/>
  <c r="V12" i="2"/>
  <c r="U12" i="2"/>
  <c r="O12" i="2"/>
  <c r="N12" i="2"/>
  <c r="K12" i="2"/>
  <c r="I12" i="2"/>
  <c r="H12" i="2"/>
  <c r="F12" i="2"/>
  <c r="E12" i="2"/>
  <c r="D12" i="2"/>
  <c r="C12" i="2"/>
  <c r="E20" i="9"/>
  <c r="D20" i="9"/>
  <c r="C20" i="9"/>
  <c r="B20" i="9"/>
  <c r="X19" i="9"/>
  <c r="W19" i="9"/>
  <c r="V19" i="9"/>
  <c r="U19" i="9"/>
  <c r="S19" i="9"/>
  <c r="R19" i="9"/>
  <c r="Q19" i="9"/>
  <c r="J19" i="9"/>
  <c r="I19" i="9"/>
  <c r="H19" i="9"/>
  <c r="G19" i="9"/>
  <c r="F19" i="9"/>
  <c r="X18" i="9"/>
  <c r="W18" i="9"/>
  <c r="V18" i="9"/>
  <c r="U18" i="9"/>
  <c r="S18" i="9"/>
  <c r="R18" i="9"/>
  <c r="Q18" i="9"/>
  <c r="J18" i="9"/>
  <c r="I18" i="9"/>
  <c r="H18" i="9"/>
  <c r="G18" i="9"/>
  <c r="F18" i="9"/>
  <c r="X17" i="9"/>
  <c r="W17" i="9"/>
  <c r="V17" i="9"/>
  <c r="U17" i="9"/>
  <c r="S17" i="9"/>
  <c r="R17" i="9"/>
  <c r="Q17" i="9"/>
  <c r="J17" i="9"/>
  <c r="I17" i="9"/>
  <c r="H17" i="9"/>
  <c r="G17" i="9"/>
  <c r="F17" i="9"/>
  <c r="X16" i="9"/>
  <c r="W16" i="9"/>
  <c r="V16" i="9"/>
  <c r="U16" i="9"/>
  <c r="S16" i="9"/>
  <c r="R16" i="9"/>
  <c r="Q16" i="9"/>
  <c r="J16" i="9"/>
  <c r="I16" i="9"/>
  <c r="H16" i="9"/>
  <c r="G16" i="9"/>
  <c r="F16" i="9"/>
  <c r="X15" i="9"/>
  <c r="W15" i="9"/>
  <c r="V15" i="9"/>
  <c r="U15" i="9"/>
  <c r="S15" i="9"/>
  <c r="R15" i="9"/>
  <c r="Q15" i="9"/>
  <c r="J15" i="9"/>
  <c r="I15" i="9"/>
  <c r="H15" i="9"/>
  <c r="G15" i="9"/>
  <c r="F15" i="9"/>
  <c r="X14" i="9"/>
  <c r="W14" i="9"/>
  <c r="V14" i="9"/>
  <c r="U14" i="9"/>
  <c r="S14" i="9"/>
  <c r="R14" i="9"/>
  <c r="Q14" i="9"/>
  <c r="J14" i="9"/>
  <c r="I14" i="9"/>
  <c r="H14" i="9"/>
  <c r="G14" i="9"/>
  <c r="F14" i="9"/>
  <c r="X13" i="9"/>
  <c r="W13" i="9"/>
  <c r="V13" i="9"/>
  <c r="U13" i="9"/>
  <c r="S13" i="9"/>
  <c r="R13" i="9"/>
  <c r="Q13" i="9"/>
  <c r="J13" i="9"/>
  <c r="I13" i="9"/>
  <c r="H13" i="9"/>
  <c r="G13" i="9"/>
  <c r="F13" i="9"/>
  <c r="X12" i="9"/>
  <c r="W12" i="9"/>
  <c r="V12" i="9"/>
  <c r="U12" i="9"/>
  <c r="S12" i="9"/>
  <c r="R12" i="9"/>
  <c r="Q12" i="9"/>
  <c r="J12" i="9"/>
  <c r="I12" i="9"/>
  <c r="H12" i="9"/>
  <c r="G12" i="9"/>
  <c r="F12" i="9"/>
  <c r="X11" i="9"/>
  <c r="W11" i="9"/>
  <c r="V11" i="9"/>
  <c r="U11" i="9"/>
  <c r="S11" i="9"/>
  <c r="R11" i="9"/>
  <c r="Q11" i="9"/>
  <c r="J11" i="9"/>
  <c r="I11" i="9"/>
  <c r="H11" i="9"/>
  <c r="G11" i="9"/>
  <c r="F11" i="9"/>
  <c r="X10" i="9"/>
  <c r="W10" i="9"/>
  <c r="V10" i="9"/>
  <c r="U10" i="9"/>
  <c r="S10" i="9"/>
  <c r="R10" i="9"/>
  <c r="Q10" i="9"/>
  <c r="J10" i="9"/>
  <c r="I10" i="9"/>
  <c r="H10" i="9"/>
  <c r="G10" i="9"/>
  <c r="F10" i="9"/>
  <c r="X9" i="9"/>
  <c r="W9" i="9"/>
  <c r="V9" i="9"/>
  <c r="U9" i="9"/>
  <c r="S9" i="9"/>
  <c r="R9" i="9"/>
  <c r="Q9" i="9"/>
  <c r="J9" i="9"/>
  <c r="I9" i="9"/>
  <c r="H9" i="9"/>
  <c r="G9" i="9"/>
  <c r="F9" i="9"/>
  <c r="X8" i="9"/>
  <c r="W8" i="9"/>
  <c r="V8" i="9"/>
  <c r="U8" i="9"/>
  <c r="S8" i="9"/>
  <c r="R8" i="9"/>
  <c r="Q8" i="9"/>
  <c r="J8" i="9"/>
  <c r="I8" i="9"/>
  <c r="H8" i="9"/>
  <c r="G8" i="9"/>
  <c r="F8" i="9"/>
  <c r="X7" i="9"/>
  <c r="W7" i="9"/>
  <c r="V7" i="9"/>
  <c r="U7" i="9"/>
  <c r="S7" i="9"/>
  <c r="R7" i="9"/>
  <c r="Q7" i="9"/>
  <c r="J7" i="9"/>
  <c r="I7" i="9"/>
  <c r="H7" i="9"/>
  <c r="G7" i="9"/>
  <c r="F7" i="9"/>
  <c r="X6" i="9"/>
  <c r="W6" i="9"/>
  <c r="V6" i="9"/>
  <c r="U6" i="9"/>
  <c r="S6" i="9"/>
  <c r="R6" i="9"/>
  <c r="Q6" i="9"/>
  <c r="J6" i="9"/>
  <c r="I6" i="9"/>
  <c r="H6" i="9"/>
  <c r="G6" i="9"/>
  <c r="F6" i="9"/>
  <c r="X5" i="9"/>
  <c r="W5" i="9"/>
  <c r="V5" i="9"/>
  <c r="U5" i="9"/>
  <c r="S5" i="9"/>
  <c r="R5" i="9"/>
  <c r="Q5" i="9"/>
  <c r="J5" i="9"/>
  <c r="I5" i="9"/>
  <c r="H5" i="9"/>
  <c r="F5" i="9"/>
  <c r="F20" i="9" s="1"/>
  <c r="L1" i="9"/>
  <c r="AK24" i="8"/>
  <c r="AG24" i="8"/>
  <c r="AO23" i="8"/>
  <c r="AN23" i="8"/>
  <c r="AM23" i="8"/>
  <c r="AL23" i="8"/>
  <c r="AJ23" i="8"/>
  <c r="AI23" i="8"/>
  <c r="AH23" i="8"/>
  <c r="AD23" i="8"/>
  <c r="AC23" i="8"/>
  <c r="AB23" i="8"/>
  <c r="AA23" i="8"/>
  <c r="Z23" i="8"/>
  <c r="Y23" i="8"/>
  <c r="X23" i="8"/>
  <c r="S23" i="8"/>
  <c r="R23" i="8"/>
  <c r="Q23" i="8"/>
  <c r="O23" i="8"/>
  <c r="N23" i="8"/>
  <c r="D33" i="16" s="1"/>
  <c r="AO22" i="8"/>
  <c r="AN22" i="8"/>
  <c r="AM22" i="8"/>
  <c r="AL22" i="8"/>
  <c r="AJ22" i="8"/>
  <c r="AI22" i="8"/>
  <c r="AH22" i="8"/>
  <c r="AF22" i="8"/>
  <c r="AD22" i="8"/>
  <c r="AC22" i="8"/>
  <c r="AB22" i="8"/>
  <c r="AA22" i="8"/>
  <c r="Z22" i="8"/>
  <c r="Y22" i="8"/>
  <c r="X22" i="8"/>
  <c r="W22" i="8"/>
  <c r="S22" i="8"/>
  <c r="R22" i="8"/>
  <c r="Q22" i="8"/>
  <c r="P22" i="8"/>
  <c r="O22" i="8"/>
  <c r="N22" i="8"/>
  <c r="M22" i="8"/>
  <c r="L22" i="8"/>
  <c r="J22" i="8"/>
  <c r="I22" i="8"/>
  <c r="H22" i="8"/>
  <c r="G22" i="8"/>
  <c r="AO21" i="8"/>
  <c r="AN21" i="8"/>
  <c r="AM21" i="8"/>
  <c r="AL21" i="8"/>
  <c r="AJ21" i="8"/>
  <c r="AI21" i="8"/>
  <c r="AH21" i="8"/>
  <c r="AF21" i="8"/>
  <c r="AD21" i="8"/>
  <c r="AC21" i="8"/>
  <c r="AB21" i="8"/>
  <c r="AA21" i="8"/>
  <c r="Z21" i="8"/>
  <c r="Y21" i="8"/>
  <c r="X21" i="8"/>
  <c r="W21" i="8"/>
  <c r="S21" i="8"/>
  <c r="R21" i="8"/>
  <c r="Q21" i="8"/>
  <c r="P21" i="8"/>
  <c r="O21" i="8"/>
  <c r="N21" i="8"/>
  <c r="M21" i="8"/>
  <c r="L21" i="8"/>
  <c r="J21" i="8"/>
  <c r="I21" i="8"/>
  <c r="H21" i="8"/>
  <c r="G21" i="8"/>
  <c r="AO20" i="8"/>
  <c r="AN20" i="8"/>
  <c r="AM20" i="8"/>
  <c r="AL20" i="8"/>
  <c r="AJ20" i="8"/>
  <c r="AI20" i="8"/>
  <c r="AH20" i="8"/>
  <c r="AF20" i="8"/>
  <c r="AD20" i="8"/>
  <c r="AC20" i="8"/>
  <c r="AB20" i="8"/>
  <c r="AA20" i="8"/>
  <c r="Z20" i="8"/>
  <c r="Y20" i="8"/>
  <c r="X20" i="8"/>
  <c r="W20" i="8"/>
  <c r="S20" i="8"/>
  <c r="R20" i="8"/>
  <c r="Q20" i="8"/>
  <c r="P20" i="8"/>
  <c r="N20" i="8"/>
  <c r="M20" i="8"/>
  <c r="L20" i="8"/>
  <c r="J20" i="8"/>
  <c r="I20" i="8"/>
  <c r="H20" i="8"/>
  <c r="G20" i="8"/>
  <c r="AO19" i="8"/>
  <c r="AN19" i="8"/>
  <c r="AM19" i="8"/>
  <c r="AL19" i="8"/>
  <c r="AJ19" i="8"/>
  <c r="AI19" i="8"/>
  <c r="AH19" i="8"/>
  <c r="AF19" i="8"/>
  <c r="AD19" i="8"/>
  <c r="AC19" i="8"/>
  <c r="AB19" i="8"/>
  <c r="AA19" i="8"/>
  <c r="Z19" i="8"/>
  <c r="Y19" i="8"/>
  <c r="X19" i="8"/>
  <c r="W19" i="8"/>
  <c r="S19" i="8"/>
  <c r="R19" i="8"/>
  <c r="Q19" i="8"/>
  <c r="P19" i="8"/>
  <c r="O19" i="8"/>
  <c r="N19" i="8"/>
  <c r="M19" i="8"/>
  <c r="L19" i="8"/>
  <c r="J19" i="8"/>
  <c r="I19" i="8"/>
  <c r="H19" i="8"/>
  <c r="G19" i="8"/>
  <c r="AO18" i="8"/>
  <c r="AN18" i="8"/>
  <c r="AM18" i="8"/>
  <c r="AL18" i="8"/>
  <c r="AJ18" i="8"/>
  <c r="AI18" i="8"/>
  <c r="AH18" i="8"/>
  <c r="AF18" i="8"/>
  <c r="AD18" i="8"/>
  <c r="AC18" i="8"/>
  <c r="AB18" i="8"/>
  <c r="AA18" i="8"/>
  <c r="Z18" i="8"/>
  <c r="Y18" i="8"/>
  <c r="X18" i="8"/>
  <c r="W18" i="8"/>
  <c r="S18" i="8"/>
  <c r="R18" i="8"/>
  <c r="Q18" i="8"/>
  <c r="P18" i="8"/>
  <c r="O18" i="8"/>
  <c r="N18" i="8"/>
  <c r="M18" i="8"/>
  <c r="L18" i="8"/>
  <c r="J18" i="8"/>
  <c r="I18" i="8"/>
  <c r="H18" i="8"/>
  <c r="G18" i="8"/>
  <c r="AO17" i="8"/>
  <c r="AN17" i="8"/>
  <c r="AM17" i="8"/>
  <c r="AL17" i="8"/>
  <c r="AJ17" i="8"/>
  <c r="AI17" i="8"/>
  <c r="AH17" i="8"/>
  <c r="AF17" i="8"/>
  <c r="AD17" i="8"/>
  <c r="AC17" i="8"/>
  <c r="AB17" i="8"/>
  <c r="AA17" i="8"/>
  <c r="Z17" i="8"/>
  <c r="Y17" i="8"/>
  <c r="X17" i="8"/>
  <c r="W17" i="8"/>
  <c r="S17" i="8"/>
  <c r="R17" i="8"/>
  <c r="Q17" i="8"/>
  <c r="P17" i="8"/>
  <c r="O17" i="8"/>
  <c r="N17" i="8"/>
  <c r="M17" i="8"/>
  <c r="L17" i="8"/>
  <c r="J17" i="8"/>
  <c r="I17" i="8"/>
  <c r="H17" i="8"/>
  <c r="G17" i="8"/>
  <c r="AO16" i="8"/>
  <c r="AN16" i="8"/>
  <c r="AM16" i="8"/>
  <c r="AL16" i="8"/>
  <c r="AJ16" i="8"/>
  <c r="AI16" i="8"/>
  <c r="AH16" i="8"/>
  <c r="AF16" i="8"/>
  <c r="AD16" i="8"/>
  <c r="AC16" i="8"/>
  <c r="AB16" i="8"/>
  <c r="AA16" i="8"/>
  <c r="Z16" i="8"/>
  <c r="Y16" i="8"/>
  <c r="X16" i="8"/>
  <c r="W16" i="8"/>
  <c r="S16" i="8"/>
  <c r="R16" i="8"/>
  <c r="Q16" i="8"/>
  <c r="P16" i="8"/>
  <c r="O16" i="8"/>
  <c r="N16" i="8"/>
  <c r="M16" i="8"/>
  <c r="L16" i="8"/>
  <c r="J16" i="8"/>
  <c r="I16" i="8"/>
  <c r="H16" i="8"/>
  <c r="G16" i="8"/>
  <c r="AO15" i="8"/>
  <c r="AN15" i="8"/>
  <c r="AM15" i="8"/>
  <c r="AL15" i="8"/>
  <c r="AJ15" i="8"/>
  <c r="AI15" i="8"/>
  <c r="AH15" i="8"/>
  <c r="AF15" i="8"/>
  <c r="AD15" i="8"/>
  <c r="AC15" i="8"/>
  <c r="AB15" i="8"/>
  <c r="AA15" i="8"/>
  <c r="Z15" i="8"/>
  <c r="Y15" i="8"/>
  <c r="X15" i="8"/>
  <c r="W15" i="8"/>
  <c r="S15" i="8"/>
  <c r="R15" i="8"/>
  <c r="Q15" i="8"/>
  <c r="P15" i="8"/>
  <c r="O15" i="8"/>
  <c r="N15" i="8"/>
  <c r="M15" i="8"/>
  <c r="L15" i="8"/>
  <c r="J15" i="8"/>
  <c r="I15" i="8"/>
  <c r="H15" i="8"/>
  <c r="G15" i="8"/>
  <c r="AO14" i="8"/>
  <c r="AN14" i="8"/>
  <c r="AM14" i="8"/>
  <c r="AL14" i="8"/>
  <c r="AJ14" i="8"/>
  <c r="AI14" i="8"/>
  <c r="AH14" i="8"/>
  <c r="AF14" i="8"/>
  <c r="AD14" i="8"/>
  <c r="AC14" i="8"/>
  <c r="AB14" i="8"/>
  <c r="AA14" i="8"/>
  <c r="Z14" i="8"/>
  <c r="Y14" i="8"/>
  <c r="X14" i="8"/>
  <c r="W14" i="8"/>
  <c r="S14" i="8"/>
  <c r="R14" i="8"/>
  <c r="Q14" i="8"/>
  <c r="O14" i="8"/>
  <c r="N14" i="8"/>
  <c r="M14" i="8"/>
  <c r="L14" i="8"/>
  <c r="J14" i="8"/>
  <c r="I14" i="8"/>
  <c r="H14" i="8"/>
  <c r="G14" i="8"/>
  <c r="AO13" i="8"/>
  <c r="AN13" i="8"/>
  <c r="AM13" i="8"/>
  <c r="AL13" i="8"/>
  <c r="AJ13" i="8"/>
  <c r="AI13" i="8"/>
  <c r="AH13" i="8"/>
  <c r="AF13" i="8"/>
  <c r="AD13" i="8"/>
  <c r="AC13" i="8"/>
  <c r="AB13" i="8"/>
  <c r="AA13" i="8"/>
  <c r="Z13" i="8"/>
  <c r="Y13" i="8"/>
  <c r="W13" i="8"/>
  <c r="S13" i="8"/>
  <c r="R13" i="8"/>
  <c r="Q13" i="8"/>
  <c r="P13" i="8"/>
  <c r="O13" i="8"/>
  <c r="N13" i="8"/>
  <c r="M13" i="8"/>
  <c r="L13" i="8"/>
  <c r="J13" i="8"/>
  <c r="I13" i="8"/>
  <c r="H13" i="8"/>
  <c r="G13" i="8"/>
  <c r="AO12" i="8"/>
  <c r="AN12" i="8"/>
  <c r="AM12" i="8"/>
  <c r="AL12" i="8"/>
  <c r="AJ12" i="8"/>
  <c r="AI12" i="8"/>
  <c r="AH12" i="8"/>
  <c r="AF12" i="8"/>
  <c r="AD12" i="8"/>
  <c r="AC12" i="8"/>
  <c r="AB12" i="8"/>
  <c r="AA12" i="8"/>
  <c r="Z12" i="8"/>
  <c r="Y12" i="8"/>
  <c r="X12" i="8"/>
  <c r="W12" i="8"/>
  <c r="S12" i="8"/>
  <c r="R12" i="8"/>
  <c r="Q12" i="8"/>
  <c r="P12" i="8"/>
  <c r="O12" i="8"/>
  <c r="N12" i="8"/>
  <c r="M12" i="8"/>
  <c r="L12" i="8"/>
  <c r="J12" i="8"/>
  <c r="I12" i="8"/>
  <c r="H12" i="8"/>
  <c r="G12" i="8"/>
  <c r="AO11" i="8"/>
  <c r="AN11" i="8"/>
  <c r="AM11" i="8"/>
  <c r="AL11" i="8"/>
  <c r="AJ11" i="8"/>
  <c r="AI11" i="8"/>
  <c r="AH11" i="8"/>
  <c r="AF11" i="8"/>
  <c r="AD11" i="8"/>
  <c r="AC11" i="8"/>
  <c r="AB11" i="8"/>
  <c r="AA11" i="8"/>
  <c r="Z11" i="8"/>
  <c r="Y11" i="8"/>
  <c r="X11" i="8"/>
  <c r="W11" i="8"/>
  <c r="S11" i="8"/>
  <c r="R11" i="8"/>
  <c r="Q11" i="8"/>
  <c r="O11" i="8"/>
  <c r="N11" i="8"/>
  <c r="L11" i="8"/>
  <c r="H11" i="8"/>
  <c r="AO10" i="8"/>
  <c r="AN10" i="8"/>
  <c r="AM10" i="8"/>
  <c r="AL10" i="8"/>
  <c r="AJ10" i="8"/>
  <c r="AI10" i="8"/>
  <c r="AH10" i="8"/>
  <c r="AF10" i="8"/>
  <c r="AD10" i="8"/>
  <c r="AB10" i="8"/>
  <c r="AA10" i="8"/>
  <c r="Z10" i="8"/>
  <c r="Y10" i="8"/>
  <c r="X10" i="8"/>
  <c r="W10" i="8"/>
  <c r="R10" i="8"/>
  <c r="P10" i="8"/>
  <c r="O10" i="8"/>
  <c r="N10" i="8"/>
  <c r="M10" i="8"/>
  <c r="L10" i="8"/>
  <c r="I10" i="8"/>
  <c r="H10" i="8"/>
  <c r="AN9" i="8"/>
  <c r="AM9" i="8"/>
  <c r="AL9" i="8"/>
  <c r="AJ9" i="8"/>
  <c r="AI9" i="8"/>
  <c r="AH9" i="8"/>
  <c r="AF9" i="8"/>
  <c r="AD9" i="8"/>
  <c r="AC9" i="8"/>
  <c r="AB9" i="8"/>
  <c r="AA9" i="8"/>
  <c r="Z9" i="8"/>
  <c r="Y9" i="8"/>
  <c r="X9" i="8"/>
  <c r="W9" i="8"/>
  <c r="S9" i="8"/>
  <c r="R9" i="8"/>
  <c r="Q9" i="8"/>
  <c r="P9" i="8"/>
  <c r="O9" i="8"/>
  <c r="N9" i="8"/>
  <c r="M9" i="8"/>
  <c r="L9" i="8"/>
  <c r="J9" i="8"/>
  <c r="I9" i="8"/>
  <c r="H9" i="8"/>
  <c r="AO8" i="8"/>
  <c r="AN8" i="8"/>
  <c r="AM8" i="8"/>
  <c r="AL8" i="8"/>
  <c r="AJ8" i="8"/>
  <c r="AI8" i="8"/>
  <c r="AH8" i="8"/>
  <c r="AF8" i="8"/>
  <c r="AD8" i="8"/>
  <c r="AC8" i="8"/>
  <c r="AB8" i="8"/>
  <c r="Z8" i="8"/>
  <c r="Y8" i="8"/>
  <c r="X8" i="8"/>
  <c r="W8" i="8"/>
  <c r="S8" i="8"/>
  <c r="R8" i="8"/>
  <c r="Q8" i="8"/>
  <c r="P8" i="8"/>
  <c r="O8" i="8"/>
  <c r="N8" i="8"/>
  <c r="M8" i="8"/>
  <c r="L8" i="8"/>
  <c r="J8" i="8"/>
  <c r="I8" i="8"/>
  <c r="H8" i="8"/>
  <c r="J20" i="9" l="1"/>
  <c r="U11" i="8"/>
  <c r="U9" i="8"/>
  <c r="AE10" i="8"/>
  <c r="AE20" i="8"/>
  <c r="K11" i="8"/>
  <c r="I20" i="9"/>
  <c r="P22" i="14"/>
  <c r="AS22" i="14"/>
  <c r="F10" i="14"/>
  <c r="Q75" i="2"/>
  <c r="P65" i="2"/>
  <c r="P67" i="2"/>
  <c r="P69" i="2"/>
  <c r="AS63" i="2"/>
  <c r="AS77" i="2" s="1"/>
  <c r="BF63" i="2"/>
  <c r="BF77" i="2" s="1"/>
  <c r="J75" i="2"/>
  <c r="Q11" i="14"/>
  <c r="U17" i="8"/>
  <c r="N18" i="14"/>
  <c r="U10" i="8"/>
  <c r="H20" i="9"/>
  <c r="K5" i="9"/>
  <c r="Q23" i="14"/>
  <c r="Q24" i="14"/>
  <c r="Q25" i="14"/>
  <c r="Q26" i="14"/>
  <c r="Q27" i="14"/>
  <c r="Q28" i="14"/>
  <c r="Q29" i="14"/>
  <c r="Q30" i="14"/>
  <c r="Q31" i="14"/>
  <c r="Q32" i="14"/>
  <c r="Q34" i="14"/>
  <c r="Q38" i="14"/>
  <c r="Q42" i="14"/>
  <c r="Q46" i="14"/>
  <c r="Q50" i="14"/>
  <c r="Q55" i="14"/>
  <c r="Q59" i="14"/>
  <c r="Q71" i="14"/>
  <c r="Q75" i="14"/>
  <c r="Q79" i="14"/>
  <c r="Q86" i="14"/>
  <c r="Q90" i="14"/>
  <c r="Q77" i="14"/>
  <c r="Q81" i="14"/>
  <c r="Q84" i="14"/>
  <c r="Q88" i="14"/>
  <c r="Q92" i="14"/>
  <c r="Q12" i="14"/>
  <c r="Q13" i="14"/>
  <c r="Q19" i="14"/>
  <c r="Q20" i="14"/>
  <c r="Q21" i="14"/>
  <c r="Q35" i="14"/>
  <c r="Q39" i="14"/>
  <c r="Q43" i="14"/>
  <c r="Q47" i="14"/>
  <c r="Q51" i="14"/>
  <c r="Q56" i="14"/>
  <c r="Q60" i="14"/>
  <c r="Q64" i="14"/>
  <c r="Q68" i="14"/>
  <c r="Q72" i="14"/>
  <c r="Q76" i="14"/>
  <c r="Q87" i="14"/>
  <c r="Q91" i="14"/>
  <c r="Q17" i="14"/>
  <c r="Q18" i="14"/>
  <c r="Q36" i="14"/>
  <c r="Q40" i="14"/>
  <c r="Q48" i="14"/>
  <c r="Q61" i="14"/>
  <c r="Q65" i="14"/>
  <c r="Q69" i="14"/>
  <c r="Q15" i="14"/>
  <c r="Q16" i="14"/>
  <c r="Q37" i="14"/>
  <c r="Q41" i="14"/>
  <c r="Q45" i="14"/>
  <c r="Q49" i="14"/>
  <c r="Q54" i="14"/>
  <c r="Q58" i="14"/>
  <c r="Q62" i="14"/>
  <c r="Q66" i="14"/>
  <c r="Q70" i="14"/>
  <c r="Q74" i="14"/>
  <c r="Q78" i="14"/>
  <c r="Q82" i="14"/>
  <c r="Q83" i="14"/>
  <c r="Q85" i="14"/>
  <c r="Q89" i="14"/>
  <c r="Q93" i="14"/>
  <c r="U23" i="8"/>
  <c r="C33" i="16"/>
  <c r="K33" i="16" s="1"/>
  <c r="U22" i="8"/>
  <c r="P68" i="2"/>
  <c r="P70" i="2"/>
  <c r="AG63" i="2"/>
  <c r="AG77" i="2" s="1"/>
  <c r="AY63" i="2"/>
  <c r="AY77" i="2" s="1"/>
  <c r="AX63" i="2"/>
  <c r="AX77" i="2" s="1"/>
  <c r="BI63" i="2"/>
  <c r="BI77" i="2" s="1"/>
  <c r="I73" i="14"/>
  <c r="I67" i="14"/>
  <c r="I94" i="14"/>
  <c r="I80" i="14"/>
  <c r="I63" i="14"/>
  <c r="I57" i="14"/>
  <c r="I52" i="14"/>
  <c r="G10" i="14"/>
  <c r="H10" i="14"/>
  <c r="I44" i="14"/>
  <c r="G95" i="14"/>
  <c r="H95" i="14"/>
  <c r="M24" i="8"/>
  <c r="M62" i="2"/>
  <c r="J12" i="2"/>
  <c r="R12" i="2"/>
  <c r="C25" i="16"/>
  <c r="D25" i="16"/>
  <c r="D24" i="16" s="1"/>
  <c r="BC63" i="2"/>
  <c r="BC77" i="2" s="1"/>
  <c r="N85" i="14"/>
  <c r="N89" i="14"/>
  <c r="N93" i="14"/>
  <c r="C12" i="13"/>
  <c r="N87" i="14"/>
  <c r="R87" i="14" s="1"/>
  <c r="S87" i="14" s="1"/>
  <c r="N79" i="14"/>
  <c r="P94" i="14"/>
  <c r="N82" i="14"/>
  <c r="N90" i="14"/>
  <c r="N91" i="14"/>
  <c r="N88" i="14"/>
  <c r="K94" i="14"/>
  <c r="L94" i="14"/>
  <c r="J24" i="8"/>
  <c r="H12" i="16" s="1"/>
  <c r="N81" i="14"/>
  <c r="AD24" i="8"/>
  <c r="Z24" i="8"/>
  <c r="AQ75" i="14"/>
  <c r="N75" i="14"/>
  <c r="M94" i="14"/>
  <c r="N86" i="14"/>
  <c r="J94" i="14"/>
  <c r="N83" i="14"/>
  <c r="N84" i="14"/>
  <c r="N92" i="14"/>
  <c r="N74" i="14"/>
  <c r="N50" i="14"/>
  <c r="N78" i="14"/>
  <c r="N40" i="14"/>
  <c r="N60" i="14"/>
  <c r="M80" i="14"/>
  <c r="N76" i="14"/>
  <c r="N77" i="14"/>
  <c r="N59" i="14"/>
  <c r="O94" i="14"/>
  <c r="N13" i="14"/>
  <c r="N17" i="14"/>
  <c r="N21" i="14"/>
  <c r="N24" i="14"/>
  <c r="N31" i="14"/>
  <c r="N32" i="14"/>
  <c r="N39" i="14"/>
  <c r="N41" i="14"/>
  <c r="P52" i="14"/>
  <c r="N48" i="14"/>
  <c r="N54" i="14"/>
  <c r="N70" i="14"/>
  <c r="N71" i="14"/>
  <c r="O80" i="14"/>
  <c r="N36" i="14"/>
  <c r="L63" i="14"/>
  <c r="N72" i="14"/>
  <c r="P80" i="14"/>
  <c r="AX80" i="14"/>
  <c r="J80" i="14"/>
  <c r="P73" i="14"/>
  <c r="J57" i="14"/>
  <c r="O57" i="14"/>
  <c r="J63" i="14"/>
  <c r="N65" i="14"/>
  <c r="AH76" i="14"/>
  <c r="L80" i="14"/>
  <c r="N55" i="14"/>
  <c r="N56" i="14"/>
  <c r="M73" i="14"/>
  <c r="K73" i="14"/>
  <c r="N49" i="14"/>
  <c r="N51" i="14"/>
  <c r="N62" i="14"/>
  <c r="N64" i="14"/>
  <c r="K80" i="14"/>
  <c r="S24" i="8"/>
  <c r="O24" i="8"/>
  <c r="N30" i="14"/>
  <c r="P44" i="14"/>
  <c r="K33" i="14"/>
  <c r="N27" i="14"/>
  <c r="P67" i="14"/>
  <c r="M67" i="14"/>
  <c r="O73" i="14"/>
  <c r="Q73" i="14" s="1"/>
  <c r="M33" i="14"/>
  <c r="N47" i="14"/>
  <c r="K57" i="14"/>
  <c r="P57" i="14"/>
  <c r="M63" i="14"/>
  <c r="L67" i="14"/>
  <c r="J73" i="14"/>
  <c r="N69" i="14"/>
  <c r="Q58" i="2"/>
  <c r="P58" i="2" s="1"/>
  <c r="M68" i="2"/>
  <c r="S68" i="2" s="1"/>
  <c r="N35" i="14"/>
  <c r="N37" i="14"/>
  <c r="N43" i="14"/>
  <c r="L52" i="14"/>
  <c r="L57" i="14"/>
  <c r="J67" i="14"/>
  <c r="K67" i="14"/>
  <c r="N68" i="14"/>
  <c r="L73" i="14"/>
  <c r="N26" i="14"/>
  <c r="N28" i="14"/>
  <c r="M57" i="14"/>
  <c r="K63" i="14"/>
  <c r="P63" i="14"/>
  <c r="N61" i="14"/>
  <c r="M47" i="2"/>
  <c r="S47" i="2" s="1"/>
  <c r="N14" i="14"/>
  <c r="Q25" i="2"/>
  <c r="Q29" i="2"/>
  <c r="Q33" i="2"/>
  <c r="C45" i="2"/>
  <c r="N45" i="2"/>
  <c r="Q36" i="2"/>
  <c r="F75" i="2"/>
  <c r="F34" i="15"/>
  <c r="G21" i="2"/>
  <c r="G27" i="2"/>
  <c r="M27" i="2"/>
  <c r="G31" i="2"/>
  <c r="M31" i="2"/>
  <c r="R25" i="2"/>
  <c r="R29" i="2"/>
  <c r="R33" i="2"/>
  <c r="R40" i="2"/>
  <c r="F38" i="15"/>
  <c r="M52" i="2"/>
  <c r="S52" i="2" s="1"/>
  <c r="B41" i="15"/>
  <c r="O63" i="14"/>
  <c r="Q63" i="14" s="1"/>
  <c r="T22" i="8"/>
  <c r="G12" i="2"/>
  <c r="F23" i="2"/>
  <c r="F34" i="2"/>
  <c r="M26" i="2"/>
  <c r="M30" i="2"/>
  <c r="J39" i="2"/>
  <c r="M40" i="2"/>
  <c r="J43" i="2"/>
  <c r="M48" i="2"/>
  <c r="S48" i="2" s="1"/>
  <c r="M49" i="2"/>
  <c r="S49" i="2" s="1"/>
  <c r="M50" i="2"/>
  <c r="S50" i="2" s="1"/>
  <c r="M70" i="2"/>
  <c r="S70" i="2" s="1"/>
  <c r="C41" i="15"/>
  <c r="F35" i="15"/>
  <c r="J22" i="14"/>
  <c r="O22" i="14"/>
  <c r="N20" i="14"/>
  <c r="J33" i="14"/>
  <c r="O33" i="14"/>
  <c r="L44" i="14"/>
  <c r="N38" i="14"/>
  <c r="N42" i="14"/>
  <c r="N53" i="14"/>
  <c r="N58" i="14"/>
  <c r="O67" i="14"/>
  <c r="Q67" i="14" s="1"/>
  <c r="M14" i="2"/>
  <c r="M69" i="2"/>
  <c r="S69" i="2" s="1"/>
  <c r="N15" i="14"/>
  <c r="P33" i="14"/>
  <c r="M44" i="14"/>
  <c r="K44" i="14"/>
  <c r="O44" i="14"/>
  <c r="J52" i="14"/>
  <c r="N45" i="14"/>
  <c r="N46" i="14"/>
  <c r="N66" i="14"/>
  <c r="L22" i="14"/>
  <c r="N16" i="14"/>
  <c r="L33" i="14"/>
  <c r="N25" i="14"/>
  <c r="N29" i="14"/>
  <c r="J44" i="14"/>
  <c r="K52" i="14"/>
  <c r="M52" i="14"/>
  <c r="G22" i="2"/>
  <c r="J38" i="2"/>
  <c r="M41" i="2"/>
  <c r="G66" i="2"/>
  <c r="C27" i="15"/>
  <c r="O52" i="14"/>
  <c r="Q37" i="2"/>
  <c r="G38" i="2"/>
  <c r="Q41" i="2"/>
  <c r="M46" i="2"/>
  <c r="D41" i="15"/>
  <c r="F33" i="15"/>
  <c r="F39" i="15"/>
  <c r="N34" i="14"/>
  <c r="K12" i="8"/>
  <c r="K13" i="8"/>
  <c r="K20" i="8"/>
  <c r="K22" i="8"/>
  <c r="E23" i="2"/>
  <c r="G14" i="2"/>
  <c r="Q16" i="2"/>
  <c r="P16" i="2" s="1"/>
  <c r="M18" i="2"/>
  <c r="S18" i="2" s="1"/>
  <c r="M21" i="2"/>
  <c r="S21" i="2" s="1"/>
  <c r="C34" i="2"/>
  <c r="Q26" i="2"/>
  <c r="Q30" i="2"/>
  <c r="F45" i="2"/>
  <c r="D45" i="2"/>
  <c r="R37" i="2"/>
  <c r="G43" i="2"/>
  <c r="J44" i="2"/>
  <c r="C53" i="2"/>
  <c r="M58" i="2"/>
  <c r="G70" i="2"/>
  <c r="G72" i="2"/>
  <c r="F36" i="15"/>
  <c r="F37" i="15"/>
  <c r="E10" i="13"/>
  <c r="N11" i="14"/>
  <c r="K22" i="14"/>
  <c r="B13" i="15"/>
  <c r="F10" i="15"/>
  <c r="F11" i="15"/>
  <c r="F12" i="15"/>
  <c r="F18" i="15"/>
  <c r="F19" i="15"/>
  <c r="F20" i="15"/>
  <c r="F21" i="15"/>
  <c r="F22" i="15"/>
  <c r="F23" i="15"/>
  <c r="F24" i="15"/>
  <c r="F25" i="15"/>
  <c r="F26" i="15"/>
  <c r="F32" i="15"/>
  <c r="F40" i="15"/>
  <c r="N19" i="14"/>
  <c r="K9" i="8"/>
  <c r="K14" i="8"/>
  <c r="K16" i="8"/>
  <c r="K17" i="8"/>
  <c r="Q15" i="2"/>
  <c r="P15" i="2" s="1"/>
  <c r="G17" i="2"/>
  <c r="G20" i="2"/>
  <c r="J26" i="2"/>
  <c r="J30" i="2"/>
  <c r="G37" i="2"/>
  <c r="G40" i="2"/>
  <c r="R47" i="2"/>
  <c r="R53" i="2" s="1"/>
  <c r="G48" i="2"/>
  <c r="G54" i="2"/>
  <c r="E75" i="2"/>
  <c r="S73" i="2"/>
  <c r="S74" i="2"/>
  <c r="K8" i="8"/>
  <c r="T14" i="8"/>
  <c r="K15" i="8"/>
  <c r="T15" i="8"/>
  <c r="U18" i="8"/>
  <c r="T18" i="8"/>
  <c r="K19" i="8"/>
  <c r="U19" i="8"/>
  <c r="T19" i="8"/>
  <c r="K21" i="8"/>
  <c r="C23" i="2"/>
  <c r="G15" i="2"/>
  <c r="G18" i="2"/>
  <c r="G24" i="2"/>
  <c r="L34" i="2"/>
  <c r="G25" i="2"/>
  <c r="G26" i="2"/>
  <c r="R26" i="2"/>
  <c r="R28" i="2"/>
  <c r="G29" i="2"/>
  <c r="G30" i="2"/>
  <c r="R30" i="2"/>
  <c r="R32" i="2"/>
  <c r="G33" i="2"/>
  <c r="I45" i="2"/>
  <c r="R36" i="2"/>
  <c r="M37" i="2"/>
  <c r="R38" i="2"/>
  <c r="R41" i="2"/>
  <c r="G42" i="2"/>
  <c r="R43" i="2"/>
  <c r="G49" i="2"/>
  <c r="G50" i="2"/>
  <c r="G51" i="2"/>
  <c r="G52" i="2"/>
  <c r="G55" i="2"/>
  <c r="G56" i="2"/>
  <c r="G60" i="2"/>
  <c r="G62" i="2"/>
  <c r="R64" i="2"/>
  <c r="P64" i="2" s="1"/>
  <c r="G65" i="2"/>
  <c r="G68" i="2"/>
  <c r="R72" i="2"/>
  <c r="P72" i="2" s="1"/>
  <c r="R73" i="2"/>
  <c r="P73" i="2" s="1"/>
  <c r="G74" i="2"/>
  <c r="R74" i="2"/>
  <c r="P74" i="2" s="1"/>
  <c r="K10" i="8"/>
  <c r="T10" i="8"/>
  <c r="T11" i="8"/>
  <c r="U14" i="8"/>
  <c r="K18" i="8"/>
  <c r="T20" i="8"/>
  <c r="T23" i="8"/>
  <c r="D23" i="2"/>
  <c r="G16" i="2"/>
  <c r="G19" i="2"/>
  <c r="Q19" i="2"/>
  <c r="P19" i="2" s="1"/>
  <c r="D34" i="2"/>
  <c r="M25" i="2"/>
  <c r="R27" i="2"/>
  <c r="G28" i="2"/>
  <c r="M28" i="2"/>
  <c r="M29" i="2"/>
  <c r="R31" i="2"/>
  <c r="G32" i="2"/>
  <c r="M32" i="2"/>
  <c r="M33" i="2"/>
  <c r="E45" i="2"/>
  <c r="G36" i="2"/>
  <c r="M36" i="2"/>
  <c r="G39" i="2"/>
  <c r="M39" i="2"/>
  <c r="Q40" i="2"/>
  <c r="G41" i="2"/>
  <c r="G44" i="2"/>
  <c r="M44" i="2"/>
  <c r="E53" i="2"/>
  <c r="G47" i="2"/>
  <c r="D53" i="2"/>
  <c r="G57" i="2"/>
  <c r="G58" i="2"/>
  <c r="M59" i="2"/>
  <c r="S59" i="2" s="1"/>
  <c r="Q60" i="2"/>
  <c r="P60" i="2" s="1"/>
  <c r="G61" i="2"/>
  <c r="Q61" i="2"/>
  <c r="P61" i="2" s="1"/>
  <c r="M65" i="2"/>
  <c r="R66" i="2"/>
  <c r="P66" i="2" s="1"/>
  <c r="G67" i="2"/>
  <c r="C75" i="2"/>
  <c r="G73" i="2"/>
  <c r="E34" i="2"/>
  <c r="Q56" i="2"/>
  <c r="P56" i="2" s="1"/>
  <c r="G59" i="2"/>
  <c r="M67" i="2"/>
  <c r="S67" i="2" s="1"/>
  <c r="G24" i="8"/>
  <c r="C12" i="16" s="1"/>
  <c r="H24" i="8"/>
  <c r="D12" i="16" s="1"/>
  <c r="AA24" i="8"/>
  <c r="U15" i="8"/>
  <c r="L24" i="8"/>
  <c r="W24" i="8"/>
  <c r="I24" i="8"/>
  <c r="E12" i="16" s="1"/>
  <c r="Q24" i="8"/>
  <c r="X24" i="8"/>
  <c r="AB24" i="8"/>
  <c r="U12" i="8"/>
  <c r="T12" i="8"/>
  <c r="U16" i="8"/>
  <c r="T16" i="8"/>
  <c r="U20" i="8"/>
  <c r="P24" i="8"/>
  <c r="AF24" i="8"/>
  <c r="N24" i="8"/>
  <c r="R24" i="8"/>
  <c r="Y24" i="8"/>
  <c r="AC24" i="8"/>
  <c r="T9" i="8"/>
  <c r="U13" i="8"/>
  <c r="T13" i="8"/>
  <c r="T17" i="8"/>
  <c r="U21" i="8"/>
  <c r="T21" i="8"/>
  <c r="Q14" i="2"/>
  <c r="P14" i="2" s="1"/>
  <c r="J14" i="2"/>
  <c r="G46" i="2"/>
  <c r="Q51" i="2"/>
  <c r="P51" i="2" s="1"/>
  <c r="G71" i="2"/>
  <c r="G13" i="2"/>
  <c r="K23" i="2"/>
  <c r="Q20" i="2"/>
  <c r="P20" i="2" s="1"/>
  <c r="H34" i="2"/>
  <c r="N34" i="2"/>
  <c r="J27" i="2"/>
  <c r="J31" i="2"/>
  <c r="K45" i="2"/>
  <c r="O45" i="2"/>
  <c r="Q38" i="2"/>
  <c r="M42" i="2"/>
  <c r="S42" i="2" s="1"/>
  <c r="Q43" i="2"/>
  <c r="H53" i="2"/>
  <c r="N53" i="2"/>
  <c r="Q50" i="2"/>
  <c r="P50" i="2" s="1"/>
  <c r="M51" i="2"/>
  <c r="S51" i="2" s="1"/>
  <c r="G64" i="2"/>
  <c r="O75" i="2"/>
  <c r="S71" i="2"/>
  <c r="D75" i="2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H23" i="2"/>
  <c r="M16" i="2"/>
  <c r="I34" i="2"/>
  <c r="O34" i="2"/>
  <c r="Q27" i="2"/>
  <c r="Q31" i="2"/>
  <c r="G35" i="2"/>
  <c r="L45" i="2"/>
  <c r="Q35" i="2"/>
  <c r="J36" i="2"/>
  <c r="R39" i="2"/>
  <c r="Q39" i="2"/>
  <c r="J40" i="2"/>
  <c r="R44" i="2"/>
  <c r="Q44" i="2"/>
  <c r="I53" i="2"/>
  <c r="O53" i="2"/>
  <c r="AM53" i="2"/>
  <c r="AT53" i="2"/>
  <c r="AZ53" i="2"/>
  <c r="BG53" i="2"/>
  <c r="Q49" i="2"/>
  <c r="P49" i="2" s="1"/>
  <c r="Q54" i="2"/>
  <c r="P54" i="2" s="1"/>
  <c r="S64" i="2"/>
  <c r="S66" i="2"/>
  <c r="G69" i="2"/>
  <c r="R71" i="2"/>
  <c r="P71" i="2" s="1"/>
  <c r="S72" i="2"/>
  <c r="I75" i="2"/>
  <c r="F3" i="15"/>
  <c r="F4" i="15"/>
  <c r="F6" i="15"/>
  <c r="F7" i="15"/>
  <c r="F8" i="15"/>
  <c r="F9" i="15"/>
  <c r="I23" i="2"/>
  <c r="O23" i="2"/>
  <c r="Q18" i="2"/>
  <c r="P18" i="2" s="1"/>
  <c r="Q21" i="2"/>
  <c r="P21" i="2" s="1"/>
  <c r="Q22" i="2"/>
  <c r="P22" i="2" s="1"/>
  <c r="J25" i="2"/>
  <c r="J28" i="2"/>
  <c r="J29" i="2"/>
  <c r="J32" i="2"/>
  <c r="J33" i="2"/>
  <c r="M35" i="2"/>
  <c r="J37" i="2"/>
  <c r="M38" i="2"/>
  <c r="J41" i="2"/>
  <c r="P42" i="2"/>
  <c r="M43" i="2"/>
  <c r="K53" i="2"/>
  <c r="Q46" i="2"/>
  <c r="P46" i="2" s="1"/>
  <c r="AU53" i="2"/>
  <c r="Q47" i="2"/>
  <c r="Q48" i="2"/>
  <c r="P48" i="2" s="1"/>
  <c r="Q52" i="2"/>
  <c r="P52" i="2" s="1"/>
  <c r="M57" i="2"/>
  <c r="J58" i="2"/>
  <c r="M60" i="2"/>
  <c r="S60" i="2" s="1"/>
  <c r="U8" i="8"/>
  <c r="O8" i="9"/>
  <c r="O12" i="9"/>
  <c r="O16" i="9"/>
  <c r="M13" i="2"/>
  <c r="S13" i="2" s="1"/>
  <c r="Q13" i="2"/>
  <c r="M17" i="2"/>
  <c r="S17" i="2" s="1"/>
  <c r="Q17" i="2"/>
  <c r="P17" i="2" s="1"/>
  <c r="O5" i="9"/>
  <c r="O9" i="9"/>
  <c r="O13" i="9"/>
  <c r="O17" i="9"/>
  <c r="G20" i="9"/>
  <c r="N23" i="2"/>
  <c r="R13" i="2"/>
  <c r="R23" i="2" s="1"/>
  <c r="J16" i="2"/>
  <c r="M22" i="2"/>
  <c r="O6" i="9"/>
  <c r="O10" i="9"/>
  <c r="O14" i="9"/>
  <c r="O18" i="9"/>
  <c r="M15" i="2"/>
  <c r="S15" i="2" s="1"/>
  <c r="M19" i="2"/>
  <c r="S19" i="2" s="1"/>
  <c r="J24" i="2"/>
  <c r="K34" i="2"/>
  <c r="Q24" i="2"/>
  <c r="T8" i="8"/>
  <c r="O7" i="9"/>
  <c r="O11" i="9"/>
  <c r="O15" i="9"/>
  <c r="O19" i="9"/>
  <c r="M12" i="2"/>
  <c r="Q12" i="2"/>
  <c r="M20" i="2"/>
  <c r="S20" i="2" s="1"/>
  <c r="J22" i="2"/>
  <c r="M24" i="2"/>
  <c r="Q28" i="2"/>
  <c r="Q32" i="2"/>
  <c r="J35" i="2"/>
  <c r="R35" i="2"/>
  <c r="H45" i="2"/>
  <c r="J46" i="2"/>
  <c r="J53" i="2" s="1"/>
  <c r="Q55" i="2"/>
  <c r="P55" i="2" s="1"/>
  <c r="Q57" i="2"/>
  <c r="P57" i="2" s="1"/>
  <c r="Q59" i="2"/>
  <c r="P59" i="2" s="1"/>
  <c r="M61" i="2"/>
  <c r="S61" i="2" s="1"/>
  <c r="R24" i="2"/>
  <c r="M54" i="2"/>
  <c r="S54" i="2" s="1"/>
  <c r="M55" i="2"/>
  <c r="J56" i="2"/>
  <c r="J62" i="2"/>
  <c r="Q62" i="2"/>
  <c r="P62" i="2" s="1"/>
  <c r="F5" i="15"/>
  <c r="J55" i="2"/>
  <c r="M56" i="2"/>
  <c r="J57" i="2"/>
  <c r="F31" i="15"/>
  <c r="M22" i="14"/>
  <c r="F17" i="15"/>
  <c r="N23" i="14"/>
  <c r="N12" i="14"/>
  <c r="AM80" i="14"/>
  <c r="AV73" i="14"/>
  <c r="AF80" i="14"/>
  <c r="AL24" i="8"/>
  <c r="X64" i="14"/>
  <c r="X68" i="14"/>
  <c r="AT71" i="14"/>
  <c r="AQ74" i="14"/>
  <c r="U80" i="14"/>
  <c r="AT62" i="14"/>
  <c r="X77" i="14"/>
  <c r="AQ86" i="14"/>
  <c r="AQ90" i="14"/>
  <c r="T67" i="14"/>
  <c r="AQ85" i="14"/>
  <c r="AT64" i="14"/>
  <c r="AT72" i="14"/>
  <c r="X78" i="14"/>
  <c r="AQ78" i="14"/>
  <c r="AT81" i="14"/>
  <c r="AK82" i="14"/>
  <c r="AQ82" i="14"/>
  <c r="AQ83" i="14"/>
  <c r="AA93" i="14"/>
  <c r="AH93" i="14"/>
  <c r="AT93" i="14"/>
  <c r="AQ79" i="14"/>
  <c r="AT82" i="14"/>
  <c r="AK15" i="14"/>
  <c r="AQ37" i="14"/>
  <c r="AF57" i="14"/>
  <c r="AM57" i="14"/>
  <c r="AT53" i="14"/>
  <c r="T17" i="9"/>
  <c r="AA61" i="14"/>
  <c r="AA64" i="14"/>
  <c r="AA78" i="14"/>
  <c r="X82" i="14"/>
  <c r="AA75" i="14"/>
  <c r="X76" i="14"/>
  <c r="U63" i="14"/>
  <c r="AA59" i="14"/>
  <c r="X74" i="14"/>
  <c r="Z80" i="14"/>
  <c r="L13" i="9"/>
  <c r="AK85" i="14"/>
  <c r="AK90" i="14"/>
  <c r="AR26" i="2"/>
  <c r="AH71" i="14"/>
  <c r="AK74" i="14"/>
  <c r="AH51" i="14"/>
  <c r="U34" i="2"/>
  <c r="AU34" i="2"/>
  <c r="AE27" i="2"/>
  <c r="AE40" i="2"/>
  <c r="AH45" i="14"/>
  <c r="Y57" i="14"/>
  <c r="Z52" i="2"/>
  <c r="AH15" i="14"/>
  <c r="AT28" i="14"/>
  <c r="X30" i="14"/>
  <c r="AA37" i="14"/>
  <c r="X39" i="14"/>
  <c r="AQ48" i="14"/>
  <c r="L17" i="9"/>
  <c r="Z14" i="2"/>
  <c r="AR29" i="2"/>
  <c r="AR33" i="2"/>
  <c r="U67" i="14"/>
  <c r="AK86" i="14"/>
  <c r="AA87" i="14"/>
  <c r="X93" i="14"/>
  <c r="AQ36" i="14"/>
  <c r="AO63" i="14"/>
  <c r="X61" i="14"/>
  <c r="AB61" i="14" s="1"/>
  <c r="AA62" i="14"/>
  <c r="AK65" i="14"/>
  <c r="X66" i="14"/>
  <c r="AQ66" i="14"/>
  <c r="AA68" i="14"/>
  <c r="AH68" i="14"/>
  <c r="AT68" i="14"/>
  <c r="AH86" i="14"/>
  <c r="X87" i="14"/>
  <c r="AQ87" i="14"/>
  <c r="AA88" i="14"/>
  <c r="AH88" i="14"/>
  <c r="AA89" i="14"/>
  <c r="AH89" i="14"/>
  <c r="AT89" i="14"/>
  <c r="AH60" i="14"/>
  <c r="AT65" i="14"/>
  <c r="W80" i="14"/>
  <c r="X81" i="14"/>
  <c r="U94" i="14"/>
  <c r="AR94" i="14"/>
  <c r="AY94" i="14"/>
  <c r="X85" i="14"/>
  <c r="X92" i="14"/>
  <c r="AK92" i="14"/>
  <c r="AQ92" i="14"/>
  <c r="AF59" i="2"/>
  <c r="AA23" i="14"/>
  <c r="AT27" i="14"/>
  <c r="AA36" i="14"/>
  <c r="AT36" i="14"/>
  <c r="Z70" i="2"/>
  <c r="Z72" i="2"/>
  <c r="AQ18" i="14"/>
  <c r="AT20" i="14"/>
  <c r="AQ23" i="14"/>
  <c r="X27" i="14"/>
  <c r="AQ27" i="14"/>
  <c r="AT29" i="14"/>
  <c r="AJ24" i="8"/>
  <c r="AO24" i="8"/>
  <c r="L15" i="9"/>
  <c r="BD69" i="2"/>
  <c r="BD73" i="2"/>
  <c r="AK73" i="2" s="1"/>
  <c r="BH73" i="2" s="1"/>
  <c r="BJ73" i="2" s="1"/>
  <c r="AH40" i="14"/>
  <c r="AK51" i="14"/>
  <c r="L16" i="9"/>
  <c r="AE14" i="2"/>
  <c r="AD61" i="2"/>
  <c r="AC61" i="2" s="1"/>
  <c r="AF61" i="2" s="1"/>
  <c r="AK40" i="14"/>
  <c r="AA42" i="14"/>
  <c r="AH46" i="14"/>
  <c r="AA47" i="14"/>
  <c r="AH47" i="14"/>
  <c r="AT47" i="14"/>
  <c r="N27" i="15"/>
  <c r="S27" i="15"/>
  <c r="AM27" i="15"/>
  <c r="AR27" i="15"/>
  <c r="AW27" i="15"/>
  <c r="J41" i="15"/>
  <c r="O41" i="15"/>
  <c r="T41" i="15"/>
  <c r="Y41" i="15"/>
  <c r="AD41" i="15"/>
  <c r="AI41" i="15"/>
  <c r="AN41" i="15"/>
  <c r="AS41" i="15"/>
  <c r="AK38" i="14"/>
  <c r="AQ38" i="14"/>
  <c r="AH39" i="14"/>
  <c r="AK46" i="14"/>
  <c r="AL46" i="14" s="1"/>
  <c r="C46" i="14" s="1"/>
  <c r="AQ46" i="14"/>
  <c r="Y19" i="9"/>
  <c r="AR18" i="2"/>
  <c r="AJ23" i="2"/>
  <c r="BB23" i="2"/>
  <c r="W15" i="2"/>
  <c r="Z21" i="2"/>
  <c r="AR52" i="2"/>
  <c r="AQ21" i="14"/>
  <c r="S20" i="9"/>
  <c r="L7" i="9"/>
  <c r="L11" i="9"/>
  <c r="Z15" i="2"/>
  <c r="AR17" i="2"/>
  <c r="AR24" i="2"/>
  <c r="AD25" i="2"/>
  <c r="AD52" i="2"/>
  <c r="AC52" i="2" s="1"/>
  <c r="AF52" i="2" s="1"/>
  <c r="Z59" i="2"/>
  <c r="AA21" i="14"/>
  <c r="AH21" i="14"/>
  <c r="Z16" i="2"/>
  <c r="AQ12" i="14"/>
  <c r="X16" i="14"/>
  <c r="AA18" i="14"/>
  <c r="AM24" i="8"/>
  <c r="U20" i="9"/>
  <c r="L8" i="9"/>
  <c r="L12" i="9"/>
  <c r="T13" i="9"/>
  <c r="Y15" i="9"/>
  <c r="AB23" i="2"/>
  <c r="AL23" i="2"/>
  <c r="AQ23" i="2"/>
  <c r="AW23" i="2"/>
  <c r="Z19" i="2"/>
  <c r="AV34" i="2"/>
  <c r="BB34" i="2"/>
  <c r="AU75" i="2"/>
  <c r="AQ15" i="14"/>
  <c r="AA20" i="14"/>
  <c r="AA32" i="14"/>
  <c r="AK35" i="14"/>
  <c r="AX52" i="14"/>
  <c r="AT46" i="14"/>
  <c r="AQ51" i="14"/>
  <c r="AS57" i="14"/>
  <c r="AH24" i="8"/>
  <c r="AI24" i="8"/>
  <c r="AN24" i="8"/>
  <c r="L5" i="9"/>
  <c r="T9" i="9"/>
  <c r="Z17" i="2"/>
  <c r="AR20" i="2"/>
  <c r="AW34" i="2"/>
  <c r="BE34" i="2"/>
  <c r="AT34" i="2"/>
  <c r="Z26" i="2"/>
  <c r="AP53" i="2"/>
  <c r="AV53" i="2"/>
  <c r="Z64" i="2"/>
  <c r="BD65" i="2"/>
  <c r="AK65" i="2" s="1"/>
  <c r="BH65" i="2" s="1"/>
  <c r="BJ65" i="2" s="1"/>
  <c r="X14" i="14"/>
  <c r="AQ14" i="14"/>
  <c r="AT15" i="14"/>
  <c r="AT18" i="14"/>
  <c r="AQ19" i="14"/>
  <c r="X20" i="14"/>
  <c r="AQ20" i="14"/>
  <c r="AF33" i="14"/>
  <c r="AM33" i="14"/>
  <c r="X24" i="14"/>
  <c r="AK24" i="14"/>
  <c r="AQ24" i="14"/>
  <c r="AA26" i="14"/>
  <c r="AT30" i="14"/>
  <c r="AK32" i="14"/>
  <c r="U44" i="14"/>
  <c r="AN44" i="14"/>
  <c r="AS44" i="14"/>
  <c r="BA44" i="14"/>
  <c r="AA35" i="14"/>
  <c r="AT35" i="14"/>
  <c r="AT37" i="14"/>
  <c r="AU37" i="14" s="1"/>
  <c r="C37" i="14" s="1"/>
  <c r="AQ41" i="14"/>
  <c r="AA43" i="14"/>
  <c r="L19" i="9"/>
  <c r="T6" i="9"/>
  <c r="T10" i="9"/>
  <c r="AO23" i="2"/>
  <c r="AU23" i="2"/>
  <c r="BA23" i="2"/>
  <c r="AD14" i="2"/>
  <c r="AR14" i="2"/>
  <c r="AE16" i="2"/>
  <c r="W17" i="2"/>
  <c r="Y34" i="2"/>
  <c r="AI34" i="2"/>
  <c r="W27" i="2"/>
  <c r="BB45" i="2"/>
  <c r="AH45" i="2"/>
  <c r="AR36" i="2"/>
  <c r="AD38" i="2"/>
  <c r="AD43" i="2"/>
  <c r="V53" i="2"/>
  <c r="AQ53" i="2"/>
  <c r="AW53" i="2"/>
  <c r="BE53" i="2"/>
  <c r="Z54" i="2"/>
  <c r="Z55" i="2"/>
  <c r="Z62" i="2"/>
  <c r="BD74" i="2"/>
  <c r="AK74" i="2" s="1"/>
  <c r="BH74" i="2" s="1"/>
  <c r="BJ74" i="2" s="1"/>
  <c r="Q13" i="15"/>
  <c r="AA13" i="15"/>
  <c r="AJ3" i="15"/>
  <c r="U7" i="15"/>
  <c r="U11" i="15"/>
  <c r="AL27" i="15"/>
  <c r="AQ27" i="15"/>
  <c r="AV27" i="15"/>
  <c r="U18" i="15"/>
  <c r="AO18" i="15"/>
  <c r="AT18" i="15"/>
  <c r="AY18" i="15"/>
  <c r="U26" i="15"/>
  <c r="N41" i="15"/>
  <c r="S41" i="15"/>
  <c r="AH41" i="15"/>
  <c r="AM41" i="15"/>
  <c r="AR41" i="15"/>
  <c r="AW41" i="15"/>
  <c r="BB41" i="15"/>
  <c r="U35" i="15"/>
  <c r="AT35" i="15"/>
  <c r="AE36" i="15"/>
  <c r="U39" i="15"/>
  <c r="AT39" i="15"/>
  <c r="AE40" i="15"/>
  <c r="AK11" i="14"/>
  <c r="AQ11" i="14"/>
  <c r="Z22" i="14"/>
  <c r="AG22" i="14"/>
  <c r="AN22" i="14"/>
  <c r="BA22" i="14"/>
  <c r="AA13" i="14"/>
  <c r="AT13" i="14"/>
  <c r="AA16" i="14"/>
  <c r="AT16" i="14"/>
  <c r="AR33" i="14"/>
  <c r="AT31" i="14"/>
  <c r="X34" i="14"/>
  <c r="AQ39" i="14"/>
  <c r="AT41" i="14"/>
  <c r="X51" i="14"/>
  <c r="AT56" i="14"/>
  <c r="AP19" i="8"/>
  <c r="AP20" i="8"/>
  <c r="AP21" i="8"/>
  <c r="AE22" i="8"/>
  <c r="AP22" i="8"/>
  <c r="T5" i="9"/>
  <c r="X20" i="9"/>
  <c r="Y7" i="9"/>
  <c r="L9" i="9"/>
  <c r="Y11" i="9"/>
  <c r="AV23" i="2"/>
  <c r="Z20" i="2"/>
  <c r="Z44" i="2"/>
  <c r="AR56" i="2"/>
  <c r="BD56" i="2"/>
  <c r="BD60" i="2"/>
  <c r="T8" i="9"/>
  <c r="Y9" i="9"/>
  <c r="T12" i="9"/>
  <c r="Y13" i="9"/>
  <c r="T16" i="9"/>
  <c r="Y17" i="9"/>
  <c r="Z18" i="2"/>
  <c r="AD20" i="2"/>
  <c r="AE25" i="2"/>
  <c r="BD26" i="2"/>
  <c r="W30" i="2"/>
  <c r="AR39" i="2"/>
  <c r="BD39" i="2"/>
  <c r="AD44" i="2"/>
  <c r="AR50" i="2"/>
  <c r="AR51" i="2"/>
  <c r="BD55" i="2"/>
  <c r="AR58" i="2"/>
  <c r="BD58" i="2"/>
  <c r="BD59" i="2"/>
  <c r="R20" i="9"/>
  <c r="Y6" i="9"/>
  <c r="T7" i="9"/>
  <c r="Y8" i="9"/>
  <c r="Y10" i="9"/>
  <c r="T11" i="9"/>
  <c r="Y12" i="9"/>
  <c r="Y14" i="9"/>
  <c r="T15" i="9"/>
  <c r="Y16" i="9"/>
  <c r="Y18" i="9"/>
  <c r="T19" i="9"/>
  <c r="AE12" i="2"/>
  <c r="X23" i="2"/>
  <c r="AH23" i="2"/>
  <c r="AM23" i="2"/>
  <c r="AT23" i="2"/>
  <c r="AZ23" i="2"/>
  <c r="BG23" i="2"/>
  <c r="AP23" i="2"/>
  <c r="AR15" i="2"/>
  <c r="AR16" i="2"/>
  <c r="AD18" i="2"/>
  <c r="W21" i="2"/>
  <c r="AZ34" i="2"/>
  <c r="Z25" i="2"/>
  <c r="AR28" i="2"/>
  <c r="AR31" i="2"/>
  <c r="BD31" i="2"/>
  <c r="AR32" i="2"/>
  <c r="AE33" i="2"/>
  <c r="AE35" i="2"/>
  <c r="AO45" i="2"/>
  <c r="AU45" i="2"/>
  <c r="BA45" i="2"/>
  <c r="AE36" i="2"/>
  <c r="AQ45" i="2"/>
  <c r="AW45" i="2"/>
  <c r="AE37" i="2"/>
  <c r="AE42" i="2"/>
  <c r="AR43" i="2"/>
  <c r="AE44" i="2"/>
  <c r="AD47" i="2"/>
  <c r="AC47" i="2" s="1"/>
  <c r="AF47" i="2" s="1"/>
  <c r="AJ53" i="2"/>
  <c r="Z49" i="2"/>
  <c r="BD66" i="2"/>
  <c r="AK66" i="2" s="1"/>
  <c r="BH66" i="2" s="1"/>
  <c r="BJ66" i="2" s="1"/>
  <c r="T14" i="9"/>
  <c r="T18" i="9"/>
  <c r="Z12" i="2"/>
  <c r="M13" i="15"/>
  <c r="R13" i="15"/>
  <c r="W13" i="15"/>
  <c r="U4" i="15"/>
  <c r="U8" i="15"/>
  <c r="U12" i="15"/>
  <c r="U19" i="15"/>
  <c r="U23" i="15"/>
  <c r="Z23" i="15"/>
  <c r="AE23" i="15"/>
  <c r="AJ23" i="15"/>
  <c r="AO23" i="15"/>
  <c r="AT23" i="15"/>
  <c r="AY23" i="15"/>
  <c r="BD23" i="15"/>
  <c r="AT34" i="15"/>
  <c r="U38" i="15"/>
  <c r="AT38" i="15"/>
  <c r="G10" i="13"/>
  <c r="X11" i="14"/>
  <c r="V22" i="14"/>
  <c r="AD22" i="14"/>
  <c r="AI22" i="14"/>
  <c r="AV22" i="14"/>
  <c r="AA15" i="14"/>
  <c r="X18" i="14"/>
  <c r="V33" i="14"/>
  <c r="AG33" i="14"/>
  <c r="AN33" i="14"/>
  <c r="AH30" i="14"/>
  <c r="AQ32" i="14"/>
  <c r="AO44" i="14"/>
  <c r="AV44" i="14"/>
  <c r="AK39" i="14"/>
  <c r="AA41" i="14"/>
  <c r="AQ42" i="14"/>
  <c r="U52" i="14"/>
  <c r="Z52" i="14"/>
  <c r="AG52" i="14"/>
  <c r="AR52" i="14"/>
  <c r="U57" i="14"/>
  <c r="Z57" i="14"/>
  <c r="Z57" i="2"/>
  <c r="Z58" i="2"/>
  <c r="AQ75" i="2"/>
  <c r="Z66" i="2"/>
  <c r="AD68" i="2"/>
  <c r="AC68" i="2" s="1"/>
  <c r="AF68" i="2" s="1"/>
  <c r="I13" i="15"/>
  <c r="N13" i="15"/>
  <c r="S13" i="15"/>
  <c r="U5" i="15"/>
  <c r="U9" i="15"/>
  <c r="AJ9" i="15"/>
  <c r="O27" i="15"/>
  <c r="T27" i="15"/>
  <c r="Y27" i="15"/>
  <c r="AD27" i="15"/>
  <c r="AN27" i="15"/>
  <c r="AS27" i="15"/>
  <c r="AX27" i="15"/>
  <c r="K31" i="15"/>
  <c r="Q41" i="15"/>
  <c r="U33" i="15"/>
  <c r="AT33" i="15"/>
  <c r="U37" i="15"/>
  <c r="AT37" i="15"/>
  <c r="AJ39" i="15"/>
  <c r="AT11" i="14"/>
  <c r="W22" i="14"/>
  <c r="AP22" i="14"/>
  <c r="AX22" i="14"/>
  <c r="X13" i="14"/>
  <c r="X15" i="14"/>
  <c r="AQ16" i="14"/>
  <c r="AT17" i="14"/>
  <c r="AT19" i="14"/>
  <c r="AK20" i="14"/>
  <c r="AT21" i="14"/>
  <c r="W33" i="14"/>
  <c r="BA33" i="14"/>
  <c r="Y33" i="14"/>
  <c r="AT24" i="14"/>
  <c r="X26" i="14"/>
  <c r="AH26" i="14"/>
  <c r="X28" i="14"/>
  <c r="AQ28" i="14"/>
  <c r="AA29" i="14"/>
  <c r="AK30" i="14"/>
  <c r="AQ30" i="14"/>
  <c r="AH31" i="14"/>
  <c r="AT32" i="14"/>
  <c r="AU32" i="14" s="1"/>
  <c r="AE44" i="14"/>
  <c r="AJ44" i="14"/>
  <c r="AP44" i="14"/>
  <c r="AX44" i="14"/>
  <c r="X35" i="14"/>
  <c r="AA39" i="14"/>
  <c r="AT39" i="14"/>
  <c r="AK41" i="14"/>
  <c r="AT42" i="14"/>
  <c r="AU42" i="14" s="1"/>
  <c r="C42" i="14" s="1"/>
  <c r="AD52" i="14"/>
  <c r="AN52" i="14"/>
  <c r="AS52" i="14"/>
  <c r="BA52" i="14"/>
  <c r="AA46" i="14"/>
  <c r="AK48" i="14"/>
  <c r="AT50" i="14"/>
  <c r="U75" i="2"/>
  <c r="BD67" i="2"/>
  <c r="AK67" i="2" s="1"/>
  <c r="BH67" i="2" s="1"/>
  <c r="BJ67" i="2" s="1"/>
  <c r="BD68" i="2"/>
  <c r="AK68" i="2" s="1"/>
  <c r="BH68" i="2" s="1"/>
  <c r="BJ68" i="2" s="1"/>
  <c r="BD70" i="2"/>
  <c r="AK70" i="2" s="1"/>
  <c r="BH70" i="2" s="1"/>
  <c r="BJ70" i="2" s="1"/>
  <c r="T13" i="15"/>
  <c r="U6" i="15"/>
  <c r="U10" i="15"/>
  <c r="L27" i="15"/>
  <c r="Q27" i="15"/>
  <c r="U21" i="15"/>
  <c r="U25" i="15"/>
  <c r="Z25" i="15"/>
  <c r="AE25" i="15"/>
  <c r="AJ25" i="15"/>
  <c r="AO25" i="15"/>
  <c r="AT25" i="15"/>
  <c r="AY25" i="15"/>
  <c r="BD25" i="15"/>
  <c r="R41" i="15"/>
  <c r="AL41" i="15"/>
  <c r="AQ41" i="15"/>
  <c r="AV41" i="15"/>
  <c r="U32" i="15"/>
  <c r="AE32" i="15"/>
  <c r="AJ32" i="15"/>
  <c r="AO32" i="15"/>
  <c r="AT32" i="15"/>
  <c r="U36" i="15"/>
  <c r="AT36" i="15"/>
  <c r="AY36" i="15"/>
  <c r="BD38" i="15"/>
  <c r="U40" i="15"/>
  <c r="AT40" i="15"/>
  <c r="AY40" i="15"/>
  <c r="AM22" i="14"/>
  <c r="AT12" i="14"/>
  <c r="AY22" i="14"/>
  <c r="AK13" i="14"/>
  <c r="AQ13" i="14"/>
  <c r="AT14" i="14"/>
  <c r="X17" i="14"/>
  <c r="AK17" i="14"/>
  <c r="AQ17" i="14"/>
  <c r="X19" i="14"/>
  <c r="AK19" i="14"/>
  <c r="AH20" i="14"/>
  <c r="X21" i="14"/>
  <c r="AP33" i="14"/>
  <c r="AV33" i="14"/>
  <c r="AQ29" i="14"/>
  <c r="AK31" i="14"/>
  <c r="AL31" i="14" s="1"/>
  <c r="AQ31" i="14"/>
  <c r="T44" i="14"/>
  <c r="AY44" i="14"/>
  <c r="W44" i="14"/>
  <c r="AQ35" i="14"/>
  <c r="AA38" i="14"/>
  <c r="AH38" i="14"/>
  <c r="AT40" i="14"/>
  <c r="X42" i="14"/>
  <c r="W52" i="14"/>
  <c r="AE52" i="14"/>
  <c r="AI52" i="14"/>
  <c r="X49" i="14"/>
  <c r="AK49" i="14"/>
  <c r="AQ49" i="14"/>
  <c r="AE57" i="14"/>
  <c r="AJ57" i="14"/>
  <c r="X54" i="14"/>
  <c r="AK54" i="14"/>
  <c r="AQ54" i="14"/>
  <c r="AH56" i="14"/>
  <c r="AE9" i="8"/>
  <c r="AE11" i="8"/>
  <c r="AE12" i="8"/>
  <c r="AP13" i="8"/>
  <c r="AE14" i="8"/>
  <c r="AP15" i="8"/>
  <c r="AE16" i="8"/>
  <c r="AP17" i="8"/>
  <c r="AE18" i="8"/>
  <c r="AP18" i="8"/>
  <c r="AV67" i="14"/>
  <c r="U33" i="14"/>
  <c r="AT25" i="14"/>
  <c r="AK26" i="14"/>
  <c r="AQ26" i="14"/>
  <c r="AH27" i="14"/>
  <c r="AK28" i="14"/>
  <c r="AH29" i="14"/>
  <c r="AA30" i="14"/>
  <c r="AA31" i="14"/>
  <c r="AI44" i="14"/>
  <c r="AK36" i="14"/>
  <c r="Z44" i="14"/>
  <c r="X38" i="14"/>
  <c r="AA40" i="14"/>
  <c r="AQ40" i="14"/>
  <c r="AK42" i="14"/>
  <c r="AH43" i="14"/>
  <c r="AT43" i="14"/>
  <c r="T52" i="14"/>
  <c r="X48" i="14"/>
  <c r="X50" i="14"/>
  <c r="AK50" i="14"/>
  <c r="AT51" i="14"/>
  <c r="V57" i="14"/>
  <c r="AO57" i="14"/>
  <c r="BA57" i="14"/>
  <c r="AK55" i="14"/>
  <c r="AQ55" i="14"/>
  <c r="Y63" i="14"/>
  <c r="AM63" i="14"/>
  <c r="AY63" i="14"/>
  <c r="W63" i="14"/>
  <c r="AK59" i="14"/>
  <c r="AQ59" i="14"/>
  <c r="AT60" i="14"/>
  <c r="V67" i="14"/>
  <c r="AQ65" i="14"/>
  <c r="W73" i="14"/>
  <c r="AJ73" i="14"/>
  <c r="AP73" i="14"/>
  <c r="AX73" i="14"/>
  <c r="X70" i="14"/>
  <c r="AK70" i="14"/>
  <c r="AQ70" i="14"/>
  <c r="AA71" i="14"/>
  <c r="AY73" i="14"/>
  <c r="V80" i="14"/>
  <c r="AG80" i="14"/>
  <c r="AT75" i="14"/>
  <c r="AY80" i="14"/>
  <c r="AK76" i="14"/>
  <c r="AQ76" i="14"/>
  <c r="AA77" i="14"/>
  <c r="AH77" i="14"/>
  <c r="AT77" i="14"/>
  <c r="AH79" i="14"/>
  <c r="AT79" i="14"/>
  <c r="AQ81" i="14"/>
  <c r="AA82" i="14"/>
  <c r="AH82" i="14"/>
  <c r="AA86" i="14"/>
  <c r="AT86" i="14"/>
  <c r="X88" i="14"/>
  <c r="AK88" i="14"/>
  <c r="X90" i="14"/>
  <c r="AT92" i="14"/>
  <c r="AQ93" i="14"/>
  <c r="AH36" i="14"/>
  <c r="X37" i="14"/>
  <c r="AK37" i="14"/>
  <c r="AD44" i="14"/>
  <c r="AK45" i="14"/>
  <c r="AP52" i="14"/>
  <c r="X46" i="14"/>
  <c r="X47" i="14"/>
  <c r="AY52" i="14"/>
  <c r="AA49" i="14"/>
  <c r="AH49" i="14"/>
  <c r="AA51" i="14"/>
  <c r="AV57" i="14"/>
  <c r="AA54" i="14"/>
  <c r="AT54" i="14"/>
  <c r="X56" i="14"/>
  <c r="AG63" i="14"/>
  <c r="AN63" i="14"/>
  <c r="AS63" i="14"/>
  <c r="BA63" i="14"/>
  <c r="X60" i="14"/>
  <c r="W67" i="14"/>
  <c r="AG67" i="14"/>
  <c r="AS67" i="14"/>
  <c r="AY67" i="14"/>
  <c r="AA66" i="14"/>
  <c r="AH66" i="14"/>
  <c r="AQ68" i="14"/>
  <c r="Y73" i="14"/>
  <c r="AF73" i="14"/>
  <c r="X71" i="14"/>
  <c r="AT74" i="14"/>
  <c r="AH78" i="14"/>
  <c r="X79" i="14"/>
  <c r="AA81" i="14"/>
  <c r="AH81" i="14"/>
  <c r="AK89" i="14"/>
  <c r="AA90" i="14"/>
  <c r="AB90" i="14" s="1"/>
  <c r="C90" i="14" s="1"/>
  <c r="AH90" i="14"/>
  <c r="AY33" i="14"/>
  <c r="X25" i="14"/>
  <c r="AK25" i="14"/>
  <c r="AQ25" i="14"/>
  <c r="AT26" i="14"/>
  <c r="AK27" i="14"/>
  <c r="X29" i="14"/>
  <c r="AK29" i="14"/>
  <c r="X31" i="14"/>
  <c r="X32" i="14"/>
  <c r="AH32" i="14"/>
  <c r="Y44" i="14"/>
  <c r="AM44" i="14"/>
  <c r="AQ34" i="14"/>
  <c r="AH35" i="14"/>
  <c r="X36" i="14"/>
  <c r="AT38" i="14"/>
  <c r="X40" i="14"/>
  <c r="X41" i="14"/>
  <c r="AH41" i="14"/>
  <c r="AH42" i="14"/>
  <c r="X43" i="14"/>
  <c r="AK43" i="14"/>
  <c r="AQ43" i="14"/>
  <c r="X45" i="14"/>
  <c r="AK47" i="14"/>
  <c r="AQ47" i="14"/>
  <c r="AA48" i="14"/>
  <c r="AH48" i="14"/>
  <c r="AA50" i="14"/>
  <c r="AH50" i="14"/>
  <c r="AA55" i="14"/>
  <c r="X58" i="14"/>
  <c r="AK58" i="14"/>
  <c r="AT59" i="14"/>
  <c r="AK60" i="14"/>
  <c r="AQ60" i="14"/>
  <c r="AH61" i="14"/>
  <c r="AT61" i="14"/>
  <c r="AK62" i="14"/>
  <c r="AQ62" i="14"/>
  <c r="AD67" i="14"/>
  <c r="AO67" i="14"/>
  <c r="AA65" i="14"/>
  <c r="AH65" i="14"/>
  <c r="AG73" i="14"/>
  <c r="AS73" i="14"/>
  <c r="BA73" i="14"/>
  <c r="AA70" i="14"/>
  <c r="AH70" i="14"/>
  <c r="X72" i="14"/>
  <c r="AK72" i="14"/>
  <c r="AQ72" i="14"/>
  <c r="AT78" i="14"/>
  <c r="T94" i="14"/>
  <c r="Y94" i="14"/>
  <c r="AH83" i="14"/>
  <c r="AM94" i="14"/>
  <c r="AX94" i="14"/>
  <c r="X84" i="14"/>
  <c r="AK84" i="14"/>
  <c r="AQ84" i="14"/>
  <c r="AA85" i="14"/>
  <c r="AH85" i="14"/>
  <c r="AT85" i="14"/>
  <c r="AA91" i="14"/>
  <c r="AH91" i="14"/>
  <c r="AT91" i="14"/>
  <c r="BD40" i="2"/>
  <c r="BD49" i="2"/>
  <c r="BD50" i="2"/>
  <c r="BD52" i="2"/>
  <c r="AR60" i="2"/>
  <c r="K4" i="15"/>
  <c r="K8" i="15"/>
  <c r="U17" i="15"/>
  <c r="W27" i="15"/>
  <c r="Z21" i="15"/>
  <c r="AE21" i="15"/>
  <c r="AJ21" i="15"/>
  <c r="AO21" i="15"/>
  <c r="AT21" i="15"/>
  <c r="AY21" i="15"/>
  <c r="BD21" i="15"/>
  <c r="U24" i="15"/>
  <c r="AD19" i="2"/>
  <c r="AR19" i="2"/>
  <c r="AR21" i="2"/>
  <c r="Z22" i="2"/>
  <c r="AL34" i="2"/>
  <c r="BD24" i="2"/>
  <c r="BA34" i="2"/>
  <c r="AD27" i="2"/>
  <c r="AD29" i="2"/>
  <c r="AR30" i="2"/>
  <c r="AE31" i="2"/>
  <c r="AL45" i="2"/>
  <c r="AE39" i="2"/>
  <c r="Z40" i="2"/>
  <c r="AR41" i="2"/>
  <c r="BD41" i="2"/>
  <c r="W42" i="2"/>
  <c r="AE43" i="2"/>
  <c r="AA53" i="2"/>
  <c r="AI53" i="2"/>
  <c r="AO53" i="2"/>
  <c r="BA53" i="2"/>
  <c r="Z50" i="2"/>
  <c r="BD51" i="2"/>
  <c r="AR54" i="2"/>
  <c r="BD54" i="2"/>
  <c r="AR55" i="2"/>
  <c r="AD56" i="2"/>
  <c r="AC56" i="2" s="1"/>
  <c r="AF56" i="2" s="1"/>
  <c r="AD59" i="2"/>
  <c r="AD60" i="2"/>
  <c r="AC60" i="2" s="1"/>
  <c r="AF60" i="2" s="1"/>
  <c r="BD61" i="2"/>
  <c r="AJ75" i="2"/>
  <c r="BG75" i="2"/>
  <c r="Z67" i="2"/>
  <c r="BD72" i="2"/>
  <c r="AK72" i="2" s="1"/>
  <c r="BH72" i="2" s="1"/>
  <c r="BJ72" i="2" s="1"/>
  <c r="J13" i="15"/>
  <c r="O13" i="15"/>
  <c r="AE4" i="15"/>
  <c r="Z6" i="15"/>
  <c r="AE6" i="15"/>
  <c r="AJ6" i="15"/>
  <c r="Z10" i="15"/>
  <c r="AE10" i="15"/>
  <c r="AJ10" i="15"/>
  <c r="Z12" i="15"/>
  <c r="AE12" i="15"/>
  <c r="AJ12" i="15"/>
  <c r="H27" i="15"/>
  <c r="M27" i="15"/>
  <c r="R27" i="15"/>
  <c r="V27" i="15"/>
  <c r="AE17" i="15"/>
  <c r="AJ17" i="15"/>
  <c r="AK27" i="15"/>
  <c r="AP27" i="15"/>
  <c r="AU27" i="15"/>
  <c r="BD17" i="15"/>
  <c r="Z19" i="15"/>
  <c r="AE19" i="15"/>
  <c r="AJ19" i="15"/>
  <c r="AO19" i="15"/>
  <c r="AT19" i="15"/>
  <c r="AY19" i="15"/>
  <c r="BD19" i="15"/>
  <c r="U22" i="15"/>
  <c r="AO22" i="15"/>
  <c r="AD22" i="2"/>
  <c r="AR22" i="2"/>
  <c r="BD22" i="2"/>
  <c r="AM34" i="2"/>
  <c r="AR25" i="2"/>
  <c r="AR27" i="2"/>
  <c r="AE29" i="2"/>
  <c r="AC29" i="2" s="1"/>
  <c r="AF29" i="2" s="1"/>
  <c r="Z32" i="2"/>
  <c r="BD33" i="2"/>
  <c r="AM45" i="2"/>
  <c r="AT45" i="2"/>
  <c r="AJ45" i="2"/>
  <c r="AP45" i="2"/>
  <c r="AV45" i="2"/>
  <c r="W37" i="2"/>
  <c r="AR37" i="2"/>
  <c r="AE38" i="2"/>
  <c r="AR38" i="2"/>
  <c r="AR40" i="2"/>
  <c r="AE41" i="2"/>
  <c r="AR42" i="2"/>
  <c r="BD42" i="2"/>
  <c r="Z43" i="2"/>
  <c r="BD43" i="2"/>
  <c r="BD44" i="2"/>
  <c r="U53" i="2"/>
  <c r="AB53" i="2"/>
  <c r="BB53" i="2"/>
  <c r="Z51" i="2"/>
  <c r="W52" i="2"/>
  <c r="AD54" i="2"/>
  <c r="AC54" i="2" s="1"/>
  <c r="AF54" i="2" s="1"/>
  <c r="AD55" i="2"/>
  <c r="AC55" i="2" s="1"/>
  <c r="AF55" i="2" s="1"/>
  <c r="AR57" i="2"/>
  <c r="BD57" i="2"/>
  <c r="AR59" i="2"/>
  <c r="Z60" i="2"/>
  <c r="BD62" i="2"/>
  <c r="AM75" i="2"/>
  <c r="AZ75" i="2"/>
  <c r="Z69" i="2"/>
  <c r="Z71" i="2"/>
  <c r="BD71" i="2"/>
  <c r="U3" i="15"/>
  <c r="K5" i="15"/>
  <c r="K9" i="15"/>
  <c r="P11" i="15"/>
  <c r="P18" i="15"/>
  <c r="U20" i="15"/>
  <c r="AO20" i="15"/>
  <c r="AT20" i="15"/>
  <c r="AY20" i="15"/>
  <c r="Z29" i="2"/>
  <c r="BD29" i="2"/>
  <c r="W33" i="2"/>
  <c r="Z38" i="2"/>
  <c r="Z41" i="2"/>
  <c r="BD47" i="2"/>
  <c r="Z48" i="2"/>
  <c r="BD48" i="2"/>
  <c r="BD64" i="2"/>
  <c r="AK64" i="2" s="1"/>
  <c r="BH64" i="2" s="1"/>
  <c r="BJ64" i="2" s="1"/>
  <c r="P32" i="15"/>
  <c r="K34" i="15"/>
  <c r="AY35" i="15"/>
  <c r="BD35" i="15"/>
  <c r="K36" i="15"/>
  <c r="AJ36" i="15"/>
  <c r="AO36" i="15"/>
  <c r="Z38" i="15"/>
  <c r="K39" i="15"/>
  <c r="AY39" i="15"/>
  <c r="BD39" i="15"/>
  <c r="K40" i="15"/>
  <c r="AJ40" i="15"/>
  <c r="AO40" i="15"/>
  <c r="AR22" i="14"/>
  <c r="U31" i="15"/>
  <c r="Z37" i="15"/>
  <c r="AE37" i="15"/>
  <c r="AO37" i="15"/>
  <c r="AH14" i="14"/>
  <c r="AH18" i="14"/>
  <c r="AD33" i="14"/>
  <c r="AI33" i="14"/>
  <c r="AX33" i="14"/>
  <c r="P20" i="15"/>
  <c r="P22" i="15"/>
  <c r="P24" i="15"/>
  <c r="P26" i="15"/>
  <c r="M41" i="15"/>
  <c r="AK41" i="15"/>
  <c r="AP41" i="15"/>
  <c r="AT31" i="15"/>
  <c r="AX41" i="15"/>
  <c r="AY32" i="15"/>
  <c r="AO33" i="15"/>
  <c r="U34" i="15"/>
  <c r="AO34" i="15"/>
  <c r="Z36" i="15"/>
  <c r="K37" i="15"/>
  <c r="AY37" i="15"/>
  <c r="BD37" i="15"/>
  <c r="K38" i="15"/>
  <c r="AJ38" i="15"/>
  <c r="AO38" i="15"/>
  <c r="Z40" i="15"/>
  <c r="AA11" i="14"/>
  <c r="AH11" i="14"/>
  <c r="T22" i="14"/>
  <c r="X12" i="14"/>
  <c r="AE22" i="14"/>
  <c r="AJ22" i="14"/>
  <c r="AK14" i="14"/>
  <c r="AK16" i="14"/>
  <c r="AA17" i="14"/>
  <c r="AH17" i="14"/>
  <c r="AK18" i="14"/>
  <c r="AK21" i="14"/>
  <c r="AO22" i="14"/>
  <c r="AE33" i="14"/>
  <c r="AJ33" i="14"/>
  <c r="AO33" i="14"/>
  <c r="AS33" i="14"/>
  <c r="AA24" i="14"/>
  <c r="AH24" i="14"/>
  <c r="AT22" i="15"/>
  <c r="AY22" i="15"/>
  <c r="AO24" i="15"/>
  <c r="AT24" i="15"/>
  <c r="AY24" i="15"/>
  <c r="AO26" i="15"/>
  <c r="AT26" i="15"/>
  <c r="AY26" i="15"/>
  <c r="AY31" i="15"/>
  <c r="AY33" i="15"/>
  <c r="AY34" i="15"/>
  <c r="Z35" i="15"/>
  <c r="AE35" i="15"/>
  <c r="AJ35" i="15"/>
  <c r="AO35" i="15"/>
  <c r="BD36" i="15"/>
  <c r="AJ37" i="15"/>
  <c r="AE38" i="15"/>
  <c r="AY38" i="15"/>
  <c r="Z39" i="15"/>
  <c r="AE39" i="15"/>
  <c r="AO39" i="15"/>
  <c r="BD40" i="15"/>
  <c r="U22" i="14"/>
  <c r="AF22" i="14"/>
  <c r="AH13" i="14"/>
  <c r="AA14" i="14"/>
  <c r="AH16" i="14"/>
  <c r="AA19" i="14"/>
  <c r="AH19" i="14"/>
  <c r="Z33" i="14"/>
  <c r="AK23" i="14"/>
  <c r="AT23" i="14"/>
  <c r="T33" i="14"/>
  <c r="AA25" i="14"/>
  <c r="AH25" i="14"/>
  <c r="AA27" i="14"/>
  <c r="AA28" i="14"/>
  <c r="AH28" i="14"/>
  <c r="AX57" i="14"/>
  <c r="AD63" i="14"/>
  <c r="BA67" i="14"/>
  <c r="AE67" i="14"/>
  <c r="AQ50" i="14"/>
  <c r="AA53" i="14"/>
  <c r="AQ53" i="14"/>
  <c r="AT58" i="14"/>
  <c r="X59" i="14"/>
  <c r="Y67" i="14"/>
  <c r="AJ67" i="14"/>
  <c r="AP67" i="14"/>
  <c r="U73" i="14"/>
  <c r="Z73" i="14"/>
  <c r="AQ69" i="14"/>
  <c r="AD80" i="14"/>
  <c r="AH75" i="14"/>
  <c r="AN80" i="14"/>
  <c r="Z94" i="14"/>
  <c r="AG94" i="14"/>
  <c r="AN94" i="14"/>
  <c r="AK87" i="14"/>
  <c r="AT88" i="14"/>
  <c r="AQ89" i="14"/>
  <c r="AA45" i="14"/>
  <c r="AV52" i="14"/>
  <c r="AF52" i="14"/>
  <c r="AJ52" i="14"/>
  <c r="AM52" i="14"/>
  <c r="AT48" i="14"/>
  <c r="AT49" i="14"/>
  <c r="W57" i="14"/>
  <c r="AD57" i="14"/>
  <c r="AH53" i="14"/>
  <c r="AN57" i="14"/>
  <c r="AR57" i="14"/>
  <c r="AH55" i="14"/>
  <c r="AT55" i="14"/>
  <c r="AK56" i="14"/>
  <c r="AQ56" i="14"/>
  <c r="T63" i="14"/>
  <c r="AE63" i="14"/>
  <c r="AJ63" i="14"/>
  <c r="AP63" i="14"/>
  <c r="AV63" i="14"/>
  <c r="AA60" i="14"/>
  <c r="AK61" i="14"/>
  <c r="AQ61" i="14"/>
  <c r="AH62" i="14"/>
  <c r="Z67" i="14"/>
  <c r="AF67" i="14"/>
  <c r="AM67" i="14"/>
  <c r="AX67" i="14"/>
  <c r="X65" i="14"/>
  <c r="AN67" i="14"/>
  <c r="AT66" i="14"/>
  <c r="V73" i="14"/>
  <c r="AD73" i="14"/>
  <c r="AH69" i="14"/>
  <c r="AN73" i="14"/>
  <c r="AT69" i="14"/>
  <c r="AT70" i="14"/>
  <c r="AK71" i="14"/>
  <c r="AQ71" i="14"/>
  <c r="AA72" i="14"/>
  <c r="AH72" i="14"/>
  <c r="AM73" i="14"/>
  <c r="T80" i="14"/>
  <c r="Y80" i="14"/>
  <c r="AE80" i="14"/>
  <c r="AK75" i="14"/>
  <c r="AO80" i="14"/>
  <c r="AS80" i="14"/>
  <c r="BA80" i="14"/>
  <c r="AA76" i="14"/>
  <c r="AK78" i="14"/>
  <c r="AK79" i="14"/>
  <c r="V94" i="14"/>
  <c r="AD94" i="14"/>
  <c r="AI94" i="14"/>
  <c r="AO94" i="14"/>
  <c r="AS94" i="14"/>
  <c r="BA94" i="14"/>
  <c r="X86" i="14"/>
  <c r="AH87" i="14"/>
  <c r="AT87" i="14"/>
  <c r="AQ88" i="14"/>
  <c r="X91" i="14"/>
  <c r="T57" i="14"/>
  <c r="AK53" i="14"/>
  <c r="AY57" i="14"/>
  <c r="AG57" i="14"/>
  <c r="X55" i="14"/>
  <c r="AA56" i="14"/>
  <c r="AP57" i="14"/>
  <c r="AH58" i="14"/>
  <c r="AR63" i="14"/>
  <c r="AX63" i="14"/>
  <c r="AH59" i="14"/>
  <c r="Z63" i="14"/>
  <c r="X62" i="14"/>
  <c r="AK66" i="14"/>
  <c r="AK68" i="14"/>
  <c r="AL68" i="14" s="1"/>
  <c r="AE73" i="14"/>
  <c r="AK69" i="14"/>
  <c r="AO73" i="14"/>
  <c r="T73" i="14"/>
  <c r="AA74" i="14"/>
  <c r="AH74" i="14"/>
  <c r="AJ80" i="14"/>
  <c r="AP80" i="14"/>
  <c r="AV80" i="14"/>
  <c r="AT76" i="14"/>
  <c r="AK77" i="14"/>
  <c r="AQ77" i="14"/>
  <c r="AA79" i="14"/>
  <c r="AK81" i="14"/>
  <c r="AE94" i="14"/>
  <c r="AJ94" i="14"/>
  <c r="AP94" i="14"/>
  <c r="AV94" i="14"/>
  <c r="AA84" i="14"/>
  <c r="AH84" i="14"/>
  <c r="AT84" i="14"/>
  <c r="X89" i="14"/>
  <c r="AT90" i="14"/>
  <c r="AK91" i="14"/>
  <c r="AQ91" i="14"/>
  <c r="AA92" i="14"/>
  <c r="AH92" i="14"/>
  <c r="AK93" i="14"/>
  <c r="AE15" i="8"/>
  <c r="AE17" i="8"/>
  <c r="AE19" i="8"/>
  <c r="AE21" i="8"/>
  <c r="AP23" i="8"/>
  <c r="AD12" i="2"/>
  <c r="Z13" i="2"/>
  <c r="AD16" i="2"/>
  <c r="W24" i="2"/>
  <c r="AB34" i="2"/>
  <c r="AD28" i="2"/>
  <c r="W31" i="2"/>
  <c r="AD33" i="2"/>
  <c r="V45" i="2"/>
  <c r="AB45" i="2"/>
  <c r="BE45" i="2"/>
  <c r="AI45" i="2"/>
  <c r="AD37" i="2"/>
  <c r="W40" i="2"/>
  <c r="AD41" i="2"/>
  <c r="AD42" i="2"/>
  <c r="AD46" i="2"/>
  <c r="AC46" i="2" s="1"/>
  <c r="AE53" i="2"/>
  <c r="Z47" i="2"/>
  <c r="AD48" i="2"/>
  <c r="AD49" i="2"/>
  <c r="AC49" i="2" s="1"/>
  <c r="AF49" i="2" s="1"/>
  <c r="AD50" i="2"/>
  <c r="AC50" i="2" s="1"/>
  <c r="AF50" i="2" s="1"/>
  <c r="Z56" i="2"/>
  <c r="AD58" i="2"/>
  <c r="AC58" i="2" s="1"/>
  <c r="AF58" i="2" s="1"/>
  <c r="W59" i="2"/>
  <c r="Z61" i="2"/>
  <c r="AD62" i="2"/>
  <c r="AC62" i="2" s="1"/>
  <c r="AF62" i="2" s="1"/>
  <c r="AD65" i="2"/>
  <c r="AC65" i="2" s="1"/>
  <c r="AF65" i="2" s="1"/>
  <c r="AD71" i="2"/>
  <c r="AC71" i="2" s="1"/>
  <c r="AF71" i="2" s="1"/>
  <c r="AB75" i="2"/>
  <c r="AE13" i="8"/>
  <c r="AP10" i="8"/>
  <c r="AP12" i="8"/>
  <c r="AP14" i="8"/>
  <c r="AP16" i="8"/>
  <c r="AE23" i="8"/>
  <c r="V23" i="2"/>
  <c r="AA23" i="2"/>
  <c r="AI23" i="2"/>
  <c r="W14" i="2"/>
  <c r="AE15" i="2"/>
  <c r="AD15" i="2"/>
  <c r="AE19" i="2"/>
  <c r="AH34" i="2"/>
  <c r="AE28" i="2"/>
  <c r="X45" i="2"/>
  <c r="BG45" i="2"/>
  <c r="Z36" i="2"/>
  <c r="W38" i="2"/>
  <c r="W39" i="2"/>
  <c r="W44" i="2"/>
  <c r="Z46" i="2"/>
  <c r="AH53" i="2"/>
  <c r="AD51" i="2"/>
  <c r="AC51" i="2" s="1"/>
  <c r="AF51" i="2" s="1"/>
  <c r="W54" i="2"/>
  <c r="W55" i="2"/>
  <c r="AF57" i="2"/>
  <c r="V75" i="2"/>
  <c r="Z65" i="2"/>
  <c r="Z68" i="2"/>
  <c r="Z74" i="2"/>
  <c r="W64" i="2"/>
  <c r="X75" i="2"/>
  <c r="AD64" i="2"/>
  <c r="AC64" i="2" s="1"/>
  <c r="AE8" i="15"/>
  <c r="AP9" i="8"/>
  <c r="AP11" i="8"/>
  <c r="W12" i="2"/>
  <c r="Y23" i="2"/>
  <c r="AD13" i="2"/>
  <c r="BE23" i="2"/>
  <c r="W16" i="2"/>
  <c r="AE17" i="2"/>
  <c r="AD17" i="2"/>
  <c r="AE18" i="2"/>
  <c r="AE20" i="2"/>
  <c r="AE22" i="2"/>
  <c r="AJ34" i="2"/>
  <c r="BG34" i="2"/>
  <c r="W26" i="2"/>
  <c r="W28" i="2"/>
  <c r="Z30" i="2"/>
  <c r="AE32" i="2"/>
  <c r="AA45" i="2"/>
  <c r="W36" i="2"/>
  <c r="Z39" i="2"/>
  <c r="W41" i="2"/>
  <c r="W46" i="2"/>
  <c r="AE75" i="2"/>
  <c r="AD66" i="2"/>
  <c r="AC66" i="2" s="1"/>
  <c r="AF66" i="2" s="1"/>
  <c r="AD67" i="2"/>
  <c r="AC67" i="2" s="1"/>
  <c r="AF67" i="2" s="1"/>
  <c r="W68" i="2"/>
  <c r="AD69" i="2"/>
  <c r="AC69" i="2" s="1"/>
  <c r="AF69" i="2" s="1"/>
  <c r="AG13" i="15"/>
  <c r="Z7" i="15"/>
  <c r="AA75" i="2"/>
  <c r="AH75" i="2"/>
  <c r="W67" i="2"/>
  <c r="W69" i="2"/>
  <c r="G13" i="15"/>
  <c r="Y13" i="15"/>
  <c r="AC13" i="15"/>
  <c r="AH13" i="15"/>
  <c r="H13" i="15"/>
  <c r="Z5" i="15"/>
  <c r="AE5" i="15"/>
  <c r="AF13" i="15"/>
  <c r="AJ5" i="15"/>
  <c r="K7" i="15"/>
  <c r="Z9" i="15"/>
  <c r="AE9" i="15"/>
  <c r="K11" i="15"/>
  <c r="I27" i="15"/>
  <c r="AB27" i="15"/>
  <c r="AG27" i="15"/>
  <c r="BA27" i="15"/>
  <c r="K18" i="15"/>
  <c r="AI27" i="15"/>
  <c r="BC27" i="15"/>
  <c r="K20" i="15"/>
  <c r="K22" i="15"/>
  <c r="K24" i="15"/>
  <c r="K26" i="15"/>
  <c r="H41" i="15"/>
  <c r="Z31" i="15"/>
  <c r="AE31" i="15"/>
  <c r="AF41" i="15"/>
  <c r="BC41" i="15"/>
  <c r="Z32" i="15"/>
  <c r="BD32" i="15"/>
  <c r="K33" i="15"/>
  <c r="Z33" i="15"/>
  <c r="AJ33" i="15"/>
  <c r="AJ34" i="15"/>
  <c r="K35" i="15"/>
  <c r="AI75" i="2"/>
  <c r="BE75" i="2"/>
  <c r="AD70" i="2"/>
  <c r="AC70" i="2" s="1"/>
  <c r="AF70" i="2" s="1"/>
  <c r="AD72" i="2"/>
  <c r="AC72" i="2" s="1"/>
  <c r="AF72" i="2" s="1"/>
  <c r="AD74" i="2"/>
  <c r="AC74" i="2" s="1"/>
  <c r="AF74" i="2" s="1"/>
  <c r="V13" i="15"/>
  <c r="Z3" i="15"/>
  <c r="AD13" i="15"/>
  <c r="AI13" i="15"/>
  <c r="Z4" i="15"/>
  <c r="AB13" i="15"/>
  <c r="Z8" i="15"/>
  <c r="Z11" i="15"/>
  <c r="AE11" i="15"/>
  <c r="AJ11" i="15"/>
  <c r="J27" i="15"/>
  <c r="X27" i="15"/>
  <c r="AC27" i="15"/>
  <c r="AH27" i="15"/>
  <c r="BB27" i="15"/>
  <c r="Z18" i="15"/>
  <c r="AE18" i="15"/>
  <c r="AJ18" i="15"/>
  <c r="BD18" i="15"/>
  <c r="Z20" i="15"/>
  <c r="AE20" i="15"/>
  <c r="AJ20" i="15"/>
  <c r="BD20" i="15"/>
  <c r="Z22" i="15"/>
  <c r="AE22" i="15"/>
  <c r="AJ22" i="15"/>
  <c r="BD22" i="15"/>
  <c r="Z24" i="15"/>
  <c r="AE24" i="15"/>
  <c r="AJ24" i="15"/>
  <c r="BD24" i="15"/>
  <c r="Z26" i="15"/>
  <c r="AE26" i="15"/>
  <c r="AJ26" i="15"/>
  <c r="BD26" i="15"/>
  <c r="I41" i="15"/>
  <c r="W41" i="15"/>
  <c r="AB41" i="15"/>
  <c r="AG41" i="15"/>
  <c r="AZ41" i="15"/>
  <c r="AE33" i="15"/>
  <c r="BD33" i="15"/>
  <c r="AE34" i="15"/>
  <c r="BD34" i="15"/>
  <c r="AJ4" i="15"/>
  <c r="X13" i="15"/>
  <c r="K6" i="15"/>
  <c r="AE7" i="15"/>
  <c r="AJ7" i="15"/>
  <c r="AJ8" i="15"/>
  <c r="K10" i="15"/>
  <c r="K12" i="15"/>
  <c r="K17" i="15"/>
  <c r="K19" i="15"/>
  <c r="K21" i="15"/>
  <c r="K23" i="15"/>
  <c r="K25" i="15"/>
  <c r="X41" i="15"/>
  <c r="AC41" i="15"/>
  <c r="BA41" i="15"/>
  <c r="K32" i="15"/>
  <c r="Z34" i="15"/>
  <c r="V41" i="15"/>
  <c r="M7" i="9"/>
  <c r="N12" i="9"/>
  <c r="M6" i="9"/>
  <c r="M10" i="9"/>
  <c r="M14" i="9"/>
  <c r="M18" i="9"/>
  <c r="BD25" i="2"/>
  <c r="BD28" i="2"/>
  <c r="BD32" i="2"/>
  <c r="BD35" i="2"/>
  <c r="M11" i="9"/>
  <c r="N6" i="9"/>
  <c r="M9" i="9"/>
  <c r="N14" i="9"/>
  <c r="M17" i="9"/>
  <c r="P6" i="15"/>
  <c r="P10" i="15"/>
  <c r="P12" i="15"/>
  <c r="P31" i="15"/>
  <c r="P33" i="15"/>
  <c r="P36" i="15"/>
  <c r="P38" i="15"/>
  <c r="P40" i="15"/>
  <c r="N8" i="9"/>
  <c r="N7" i="9"/>
  <c r="N11" i="9"/>
  <c r="N15" i="9"/>
  <c r="N19" i="9"/>
  <c r="Q20" i="9"/>
  <c r="M5" i="9"/>
  <c r="N10" i="9"/>
  <c r="M13" i="9"/>
  <c r="N18" i="9"/>
  <c r="BD16" i="2"/>
  <c r="BD17" i="2"/>
  <c r="BD19" i="2"/>
  <c r="BD21" i="2"/>
  <c r="N5" i="9"/>
  <c r="L6" i="9"/>
  <c r="M8" i="9"/>
  <c r="N9" i="9"/>
  <c r="L10" i="9"/>
  <c r="M12" i="9"/>
  <c r="N13" i="9"/>
  <c r="L14" i="9"/>
  <c r="M16" i="9"/>
  <c r="N17" i="9"/>
  <c r="L18" i="9"/>
  <c r="BD15" i="2"/>
  <c r="BD27" i="2"/>
  <c r="BD30" i="2"/>
  <c r="BD36" i="2"/>
  <c r="BD38" i="2"/>
  <c r="P5" i="15"/>
  <c r="P9" i="15"/>
  <c r="P19" i="15"/>
  <c r="P21" i="15"/>
  <c r="P23" i="15"/>
  <c r="P25" i="15"/>
  <c r="M15" i="9"/>
  <c r="N16" i="9"/>
  <c r="M19" i="9"/>
  <c r="BD14" i="2"/>
  <c r="BD18" i="2"/>
  <c r="BD20" i="2"/>
  <c r="BD37" i="2"/>
  <c r="P3" i="15"/>
  <c r="P4" i="15"/>
  <c r="P7" i="15"/>
  <c r="P8" i="15"/>
  <c r="P34" i="15"/>
  <c r="P35" i="15"/>
  <c r="P37" i="15"/>
  <c r="P39" i="15"/>
  <c r="Y22" i="14"/>
  <c r="AA12" i="14"/>
  <c r="V44" i="14"/>
  <c r="Y52" i="14"/>
  <c r="V63" i="14"/>
  <c r="W94" i="14"/>
  <c r="X23" i="14"/>
  <c r="V52" i="14"/>
  <c r="X53" i="14"/>
  <c r="AA69" i="14"/>
  <c r="X75" i="14"/>
  <c r="AA34" i="14"/>
  <c r="AA58" i="14"/>
  <c r="X69" i="14"/>
  <c r="AA83" i="14"/>
  <c r="X83" i="14"/>
  <c r="V20" i="9"/>
  <c r="AR44" i="2"/>
  <c r="AZ45" i="2"/>
  <c r="AR46" i="2"/>
  <c r="BD46" i="2"/>
  <c r="AR47" i="2"/>
  <c r="AR48" i="2"/>
  <c r="AR49" i="2"/>
  <c r="AL53" i="2"/>
  <c r="AR61" i="2"/>
  <c r="AR62" i="2"/>
  <c r="AR71" i="2"/>
  <c r="W20" i="9"/>
  <c r="AR12" i="2"/>
  <c r="AR13" i="2"/>
  <c r="BD13" i="2"/>
  <c r="AR35" i="2"/>
  <c r="AR69" i="2"/>
  <c r="Y5" i="9"/>
  <c r="P17" i="15"/>
  <c r="AY17" i="15"/>
  <c r="AO31" i="15"/>
  <c r="AU41" i="15"/>
  <c r="AK12" i="14"/>
  <c r="AH23" i="14"/>
  <c r="L13" i="15"/>
  <c r="L41" i="15"/>
  <c r="AH12" i="14"/>
  <c r="AH34" i="14"/>
  <c r="AF44" i="14"/>
  <c r="AK34" i="14"/>
  <c r="AO17" i="15"/>
  <c r="AG44" i="14"/>
  <c r="AH37" i="14"/>
  <c r="AT17" i="15"/>
  <c r="AH54" i="14"/>
  <c r="AI63" i="14"/>
  <c r="AK64" i="14"/>
  <c r="AI67" i="14"/>
  <c r="AF94" i="14"/>
  <c r="AI57" i="14"/>
  <c r="AF63" i="14"/>
  <c r="AH64" i="14"/>
  <c r="AI73" i="14"/>
  <c r="AI80" i="14"/>
  <c r="AK83" i="14"/>
  <c r="AP8" i="8"/>
  <c r="W13" i="2"/>
  <c r="AE13" i="2"/>
  <c r="W18" i="2"/>
  <c r="W19" i="2"/>
  <c r="W20" i="2"/>
  <c r="AE21" i="2"/>
  <c r="W22" i="2"/>
  <c r="U23" i="2"/>
  <c r="V34" i="2"/>
  <c r="AA34" i="2"/>
  <c r="Z24" i="2"/>
  <c r="W25" i="2"/>
  <c r="AD26" i="2"/>
  <c r="Z28" i="2"/>
  <c r="W29" i="2"/>
  <c r="AD30" i="2"/>
  <c r="AE8" i="8"/>
  <c r="AD21" i="2"/>
  <c r="AE26" i="2"/>
  <c r="Z27" i="2"/>
  <c r="AE30" i="2"/>
  <c r="AD31" i="2"/>
  <c r="Z31" i="2"/>
  <c r="W32" i="2"/>
  <c r="X34" i="2"/>
  <c r="AD24" i="2"/>
  <c r="AE24" i="2"/>
  <c r="W43" i="2"/>
  <c r="U45" i="2"/>
  <c r="Y45" i="2"/>
  <c r="X53" i="2"/>
  <c r="AD32" i="2"/>
  <c r="Z35" i="2"/>
  <c r="AD35" i="2"/>
  <c r="AD39" i="2"/>
  <c r="W35" i="2"/>
  <c r="AD36" i="2"/>
  <c r="AD40" i="2"/>
  <c r="Z42" i="2"/>
  <c r="Z33" i="2"/>
  <c r="Z37" i="2"/>
  <c r="AD73" i="2"/>
  <c r="AC73" i="2" s="1"/>
  <c r="AF73" i="2" s="1"/>
  <c r="Z73" i="2"/>
  <c r="G27" i="15"/>
  <c r="AA27" i="15"/>
  <c r="AJ31" i="15"/>
  <c r="BD31" i="15"/>
  <c r="K3" i="15"/>
  <c r="AE3" i="15"/>
  <c r="Z17" i="15"/>
  <c r="AF27" i="15"/>
  <c r="AZ27" i="15"/>
  <c r="G41" i="15"/>
  <c r="AA41" i="15"/>
  <c r="AR44" i="14"/>
  <c r="AT34" i="14"/>
  <c r="AO52" i="14"/>
  <c r="AQ45" i="14"/>
  <c r="AR67" i="14"/>
  <c r="AR80" i="14"/>
  <c r="AT45" i="14"/>
  <c r="AQ58" i="14"/>
  <c r="AQ64" i="14"/>
  <c r="AR73" i="14"/>
  <c r="AT83" i="14"/>
  <c r="BD12" i="2"/>
  <c r="AC16" i="2" l="1"/>
  <c r="AF16" i="2" s="1"/>
  <c r="AU53" i="14"/>
  <c r="C53" i="14" s="1"/>
  <c r="AB13" i="14"/>
  <c r="AE24" i="8"/>
  <c r="AP24" i="8"/>
  <c r="U24" i="8"/>
  <c r="AT33" i="14"/>
  <c r="AU11" i="14"/>
  <c r="AC36" i="2"/>
  <c r="AF36" i="2" s="1"/>
  <c r="AL85" i="14"/>
  <c r="AL29" i="14"/>
  <c r="AW63" i="2"/>
  <c r="AW77" i="2" s="1"/>
  <c r="AQ63" i="14"/>
  <c r="AU89" i="14"/>
  <c r="AB82" i="14"/>
  <c r="AH33" i="14"/>
  <c r="AH67" i="14"/>
  <c r="AL92" i="14"/>
  <c r="AL27" i="14"/>
  <c r="AU65" i="14"/>
  <c r="C65" i="14" s="1"/>
  <c r="AK14" i="2"/>
  <c r="BH14" i="2" s="1"/>
  <c r="BJ14" i="2" s="1"/>
  <c r="AT94" i="14"/>
  <c r="AU48" i="14"/>
  <c r="AB50" i="14"/>
  <c r="C50" i="14" s="1"/>
  <c r="AB32" i="14"/>
  <c r="AU93" i="14"/>
  <c r="AU68" i="14"/>
  <c r="C68" i="14" s="1"/>
  <c r="AB16" i="14"/>
  <c r="AL35" i="14"/>
  <c r="AB43" i="14"/>
  <c r="AB35" i="14"/>
  <c r="I14" i="13"/>
  <c r="I15" i="13" s="1"/>
  <c r="V21" i="8"/>
  <c r="AC14" i="2"/>
  <c r="AF14" i="2" s="1"/>
  <c r="R81" i="14"/>
  <c r="S81" i="14" s="1"/>
  <c r="R79" i="14"/>
  <c r="S79" i="14" s="1"/>
  <c r="Q94" i="14"/>
  <c r="Q52" i="14"/>
  <c r="R76" i="14"/>
  <c r="S76" i="14" s="1"/>
  <c r="Q44" i="14"/>
  <c r="Q33" i="14"/>
  <c r="Q57" i="14"/>
  <c r="Q22" i="14"/>
  <c r="Q80" i="14"/>
  <c r="C24" i="16"/>
  <c r="N63" i="2"/>
  <c r="N77" i="2" s="1"/>
  <c r="O63" i="2"/>
  <c r="O77" i="2" s="1"/>
  <c r="I63" i="2"/>
  <c r="I77" i="2" s="1"/>
  <c r="H63" i="2"/>
  <c r="H77" i="2" s="1"/>
  <c r="K63" i="2"/>
  <c r="K77" i="2" s="1"/>
  <c r="K12" i="16"/>
  <c r="L63" i="2"/>
  <c r="R89" i="14"/>
  <c r="S89" i="14" s="1"/>
  <c r="R91" i="14"/>
  <c r="S91" i="14" s="1"/>
  <c r="R83" i="14"/>
  <c r="S83" i="14" s="1"/>
  <c r="R85" i="14"/>
  <c r="S85" i="14" s="1"/>
  <c r="R93" i="14"/>
  <c r="S93" i="14" s="1"/>
  <c r="R86" i="14"/>
  <c r="S86" i="14" s="1"/>
  <c r="AK60" i="2"/>
  <c r="BH60" i="2" s="1"/>
  <c r="BJ60" i="2" s="1"/>
  <c r="U95" i="14"/>
  <c r="M95" i="14"/>
  <c r="P95" i="14"/>
  <c r="L95" i="14"/>
  <c r="K95" i="14"/>
  <c r="T95" i="14"/>
  <c r="AM95" i="14"/>
  <c r="AP95" i="14"/>
  <c r="AD95" i="14"/>
  <c r="AS95" i="14"/>
  <c r="AJ95" i="14"/>
  <c r="AR95" i="14"/>
  <c r="W95" i="14"/>
  <c r="V95" i="14"/>
  <c r="AN95" i="14"/>
  <c r="Y95" i="14"/>
  <c r="AO95" i="14"/>
  <c r="AE95" i="14"/>
  <c r="AY95" i="14"/>
  <c r="AV95" i="14"/>
  <c r="AG95" i="14"/>
  <c r="O95" i="14"/>
  <c r="AF95" i="14"/>
  <c r="AX95" i="14"/>
  <c r="AI95" i="14"/>
  <c r="BA95" i="14"/>
  <c r="Z95" i="14"/>
  <c r="J95" i="14"/>
  <c r="R84" i="14"/>
  <c r="S84" i="14" s="1"/>
  <c r="BG63" i="2"/>
  <c r="BG77" i="2" s="1"/>
  <c r="R92" i="14"/>
  <c r="S92" i="14" s="1"/>
  <c r="AK17" i="2"/>
  <c r="BH17" i="2" s="1"/>
  <c r="BJ17" i="2" s="1"/>
  <c r="R90" i="14"/>
  <c r="S90" i="14" s="1"/>
  <c r="AL54" i="14"/>
  <c r="AT44" i="14"/>
  <c r="AK73" i="14"/>
  <c r="R78" i="14"/>
  <c r="S78" i="14" s="1"/>
  <c r="R82" i="14"/>
  <c r="S82" i="14" s="1"/>
  <c r="R88" i="14"/>
  <c r="S88" i="14" s="1"/>
  <c r="R11" i="14"/>
  <c r="N94" i="14"/>
  <c r="AK49" i="2"/>
  <c r="BH49" i="2" s="1"/>
  <c r="BJ49" i="2" s="1"/>
  <c r="AC12" i="2"/>
  <c r="AF12" i="2" s="1"/>
  <c r="AB89" i="14"/>
  <c r="C89" i="14" s="1"/>
  <c r="AB62" i="14"/>
  <c r="AA80" i="14"/>
  <c r="AK15" i="2"/>
  <c r="BH15" i="2" s="1"/>
  <c r="BJ15" i="2" s="1"/>
  <c r="AU64" i="14"/>
  <c r="C64" i="14" s="1"/>
  <c r="AK36" i="2"/>
  <c r="BH36" i="2" s="1"/>
  <c r="BJ36" i="2" s="1"/>
  <c r="AL38" i="14"/>
  <c r="AT22" i="14"/>
  <c r="AC27" i="2"/>
  <c r="AF27" i="2" s="1"/>
  <c r="AC43" i="2"/>
  <c r="AF43" i="2" s="1"/>
  <c r="AU47" i="14"/>
  <c r="AU29" i="14"/>
  <c r="AU75" i="14"/>
  <c r="C75" i="14" s="1"/>
  <c r="AU62" i="14"/>
  <c r="AB42" i="14"/>
  <c r="AU14" i="14"/>
  <c r="AU20" i="14"/>
  <c r="AL50" i="14"/>
  <c r="AB46" i="14"/>
  <c r="AL20" i="14"/>
  <c r="C20" i="14" s="1"/>
  <c r="AB15" i="14"/>
  <c r="AU27" i="14"/>
  <c r="AU36" i="14"/>
  <c r="C36" i="14" s="1"/>
  <c r="AT73" i="14"/>
  <c r="AC38" i="2"/>
  <c r="AF38" i="2" s="1"/>
  <c r="AB51" i="14"/>
  <c r="C51" i="14" s="1"/>
  <c r="X80" i="14"/>
  <c r="AU90" i="14"/>
  <c r="AU87" i="14"/>
  <c r="AA33" i="14"/>
  <c r="AU19" i="14"/>
  <c r="AT63" i="14"/>
  <c r="AB72" i="14"/>
  <c r="X73" i="14"/>
  <c r="AB28" i="14"/>
  <c r="AB14" i="14"/>
  <c r="AU72" i="14"/>
  <c r="C72" i="14" s="1"/>
  <c r="AL65" i="14"/>
  <c r="AU38" i="14"/>
  <c r="C38" i="14" s="1"/>
  <c r="AL89" i="14"/>
  <c r="AL82" i="14"/>
  <c r="AB30" i="14"/>
  <c r="AU35" i="14"/>
  <c r="AU31" i="14"/>
  <c r="AU12" i="14"/>
  <c r="AB26" i="14"/>
  <c r="AU46" i="14"/>
  <c r="AU78" i="14"/>
  <c r="C78" i="14" s="1"/>
  <c r="O20" i="9"/>
  <c r="AC31" i="2"/>
  <c r="AF31" i="2" s="1"/>
  <c r="AU77" i="14"/>
  <c r="C77" i="14" s="1"/>
  <c r="AU83" i="14"/>
  <c r="X44" i="14"/>
  <c r="AC20" i="2"/>
  <c r="AF20" i="2" s="1"/>
  <c r="AC37" i="2"/>
  <c r="AF37" i="2" s="1"/>
  <c r="AC42" i="2"/>
  <c r="AF42" i="2" s="1"/>
  <c r="AB74" i="14"/>
  <c r="AU71" i="14"/>
  <c r="C71" i="14" s="1"/>
  <c r="AU66" i="14"/>
  <c r="C66" i="14" s="1"/>
  <c r="AU79" i="14"/>
  <c r="C79" i="14" s="1"/>
  <c r="R75" i="14"/>
  <c r="S75" i="14" s="1"/>
  <c r="AK29" i="2"/>
  <c r="BH29" i="2" s="1"/>
  <c r="BJ29" i="2" s="1"/>
  <c r="AK63" i="14"/>
  <c r="AH57" i="14"/>
  <c r="AL28" i="14"/>
  <c r="AU18" i="14"/>
  <c r="R23" i="14"/>
  <c r="AK39" i="2"/>
  <c r="BH39" i="2" s="1"/>
  <c r="BJ39" i="2" s="1"/>
  <c r="R60" i="14"/>
  <c r="S60" i="14" s="1"/>
  <c r="R50" i="14"/>
  <c r="S50" i="14" s="1"/>
  <c r="R48" i="14"/>
  <c r="S48" i="14" s="1"/>
  <c r="N80" i="14"/>
  <c r="R61" i="14"/>
  <c r="S61" i="14" s="1"/>
  <c r="R30" i="14"/>
  <c r="R32" i="14"/>
  <c r="R58" i="14"/>
  <c r="S58" i="14" s="1"/>
  <c r="N73" i="14"/>
  <c r="R54" i="14"/>
  <c r="S54" i="14" s="1"/>
  <c r="R69" i="14"/>
  <c r="S69" i="14" s="1"/>
  <c r="R49" i="14"/>
  <c r="S49" i="14" s="1"/>
  <c r="R43" i="14"/>
  <c r="S43" i="14" s="1"/>
  <c r="R17" i="14"/>
  <c r="AL59" i="14"/>
  <c r="C59" i="14" s="1"/>
  <c r="AB93" i="14"/>
  <c r="C93" i="14" s="1"/>
  <c r="AL87" i="14"/>
  <c r="AU34" i="14"/>
  <c r="C34" i="14" s="1"/>
  <c r="AZ63" i="2"/>
  <c r="AZ77" i="2" s="1"/>
  <c r="AK33" i="2"/>
  <c r="BH33" i="2" s="1"/>
  <c r="BJ33" i="2" s="1"/>
  <c r="AK55" i="2"/>
  <c r="BH55" i="2" s="1"/>
  <c r="BJ55" i="2" s="1"/>
  <c r="AU84" i="14"/>
  <c r="AB79" i="14"/>
  <c r="AA63" i="14"/>
  <c r="AL58" i="14"/>
  <c r="C58" i="14" s="1"/>
  <c r="AB91" i="14"/>
  <c r="C91" i="14" s="1"/>
  <c r="AB27" i="14"/>
  <c r="AK80" i="14"/>
  <c r="AK57" i="14"/>
  <c r="AK20" i="2"/>
  <c r="BH20" i="2" s="1"/>
  <c r="BJ20" i="2" s="1"/>
  <c r="AB76" i="14"/>
  <c r="AH22" i="14"/>
  <c r="R72" i="14"/>
  <c r="S72" i="14" s="1"/>
  <c r="R77" i="14"/>
  <c r="S77" i="14" s="1"/>
  <c r="R42" i="14"/>
  <c r="S42" i="14" s="1"/>
  <c r="R74" i="14"/>
  <c r="S74" i="14" s="1"/>
  <c r="R47" i="14"/>
  <c r="S47" i="14" s="1"/>
  <c r="R59" i="14"/>
  <c r="S59" i="14" s="1"/>
  <c r="L77" i="2"/>
  <c r="S39" i="2"/>
  <c r="T39" i="2" s="1"/>
  <c r="R45" i="14"/>
  <c r="S45" i="14" s="1"/>
  <c r="S43" i="2"/>
  <c r="T43" i="2" s="1"/>
  <c r="AU60" i="14"/>
  <c r="AA44" i="14"/>
  <c r="AU15" i="14"/>
  <c r="S26" i="2"/>
  <c r="T26" i="2" s="1"/>
  <c r="R68" i="14"/>
  <c r="S68" i="14" s="1"/>
  <c r="AB18" i="14"/>
  <c r="AB87" i="14"/>
  <c r="C87" i="14" s="1"/>
  <c r="AL51" i="14"/>
  <c r="AL90" i="14"/>
  <c r="R41" i="14"/>
  <c r="S41" i="14" s="1"/>
  <c r="R26" i="14"/>
  <c r="R35" i="14"/>
  <c r="S35" i="14" s="1"/>
  <c r="N63" i="14"/>
  <c r="R63" i="14" s="1"/>
  <c r="S63" i="14" s="1"/>
  <c r="R39" i="14"/>
  <c r="S39" i="14" s="1"/>
  <c r="R62" i="14"/>
  <c r="S62" i="14" s="1"/>
  <c r="AC40" i="2"/>
  <c r="AF40" i="2" s="1"/>
  <c r="AB75" i="14"/>
  <c r="AB23" i="14"/>
  <c r="AK27" i="2"/>
  <c r="BH27" i="2" s="1"/>
  <c r="BJ27" i="2" s="1"/>
  <c r="AU76" i="14"/>
  <c r="C76" i="14" s="1"/>
  <c r="AL79" i="14"/>
  <c r="AB45" i="14"/>
  <c r="C45" i="14" s="1"/>
  <c r="AB25" i="14"/>
  <c r="S57" i="2"/>
  <c r="T57" i="2" s="1"/>
  <c r="R36" i="14"/>
  <c r="S36" i="14" s="1"/>
  <c r="T17" i="2"/>
  <c r="N52" i="14"/>
  <c r="R14" i="14"/>
  <c r="R21" i="14"/>
  <c r="AC22" i="2"/>
  <c r="AF22" i="2" s="1"/>
  <c r="AB92" i="14"/>
  <c r="C92" i="14" s="1"/>
  <c r="AQ73" i="14"/>
  <c r="AU70" i="14"/>
  <c r="C70" i="14" s="1"/>
  <c r="AU55" i="14"/>
  <c r="C55" i="14" s="1"/>
  <c r="AU23" i="14"/>
  <c r="AL24" i="14"/>
  <c r="AK59" i="2"/>
  <c r="BH59" i="2" s="1"/>
  <c r="BJ59" i="2" s="1"/>
  <c r="AB77" i="14"/>
  <c r="AU74" i="14"/>
  <c r="C74" i="14" s="1"/>
  <c r="AL76" i="14"/>
  <c r="AU51" i="14"/>
  <c r="AU28" i="14"/>
  <c r="AU24" i="14"/>
  <c r="AU21" i="14"/>
  <c r="V12" i="8"/>
  <c r="V18" i="8"/>
  <c r="R18" i="14"/>
  <c r="AL84" i="14"/>
  <c r="AQ33" i="14"/>
  <c r="AL21" i="14"/>
  <c r="C21" i="14" s="1"/>
  <c r="AL32" i="14"/>
  <c r="AU86" i="14"/>
  <c r="AU81" i="14"/>
  <c r="C81" i="14" s="1"/>
  <c r="AB39" i="14"/>
  <c r="P36" i="2"/>
  <c r="R13" i="14"/>
  <c r="N33" i="14"/>
  <c r="R40" i="14"/>
  <c r="S40" i="14" s="1"/>
  <c r="R70" i="14"/>
  <c r="S70" i="14" s="1"/>
  <c r="T18" i="2"/>
  <c r="N67" i="14"/>
  <c r="R71" i="14"/>
  <c r="S71" i="14" s="1"/>
  <c r="R31" i="14"/>
  <c r="P10" i="14"/>
  <c r="R51" i="14"/>
  <c r="S51" i="14" s="1"/>
  <c r="R27" i="14"/>
  <c r="R38" i="14"/>
  <c r="S38" i="14" s="1"/>
  <c r="S41" i="2"/>
  <c r="T41" i="2" s="1"/>
  <c r="R34" i="14"/>
  <c r="S34" i="14" s="1"/>
  <c r="S32" i="2"/>
  <c r="T32" i="2" s="1"/>
  <c r="S31" i="2"/>
  <c r="T31" i="2" s="1"/>
  <c r="T21" i="2"/>
  <c r="R24" i="14"/>
  <c r="N57" i="14"/>
  <c r="AL45" i="14"/>
  <c r="AK43" i="2"/>
  <c r="BH43" i="2" s="1"/>
  <c r="BJ43" i="2" s="1"/>
  <c r="AK26" i="2"/>
  <c r="BH26" i="2" s="1"/>
  <c r="BJ26" i="2" s="1"/>
  <c r="P33" i="2"/>
  <c r="R55" i="14"/>
  <c r="S55" i="14" s="1"/>
  <c r="R64" i="14"/>
  <c r="S64" i="14" s="1"/>
  <c r="P25" i="2"/>
  <c r="R56" i="14"/>
  <c r="S56" i="14" s="1"/>
  <c r="R28" i="14"/>
  <c r="R65" i="14"/>
  <c r="S65" i="14" s="1"/>
  <c r="R53" i="14"/>
  <c r="S53" i="14" s="1"/>
  <c r="R37" i="14"/>
  <c r="S37" i="14" s="1"/>
  <c r="S28" i="2"/>
  <c r="T28" i="2" s="1"/>
  <c r="S36" i="2"/>
  <c r="T36" i="2" s="1"/>
  <c r="S27" i="2"/>
  <c r="T27" i="2" s="1"/>
  <c r="V13" i="8"/>
  <c r="N44" i="14"/>
  <c r="J10" i="14"/>
  <c r="P37" i="2"/>
  <c r="S44" i="2"/>
  <c r="T44" i="2" s="1"/>
  <c r="P41" i="2"/>
  <c r="P29" i="2"/>
  <c r="T20" i="2"/>
  <c r="P40" i="2"/>
  <c r="K10" i="14"/>
  <c r="L10" i="14"/>
  <c r="R46" i="14"/>
  <c r="S46" i="14" s="1"/>
  <c r="T48" i="2"/>
  <c r="T42" i="2"/>
  <c r="T51" i="2"/>
  <c r="AK54" i="2"/>
  <c r="BH54" i="2" s="1"/>
  <c r="BJ54" i="2" s="1"/>
  <c r="T61" i="2"/>
  <c r="T60" i="2"/>
  <c r="T68" i="2"/>
  <c r="AU41" i="14"/>
  <c r="C41" i="14" s="1"/>
  <c r="AC25" i="2"/>
  <c r="AF25" i="2" s="1"/>
  <c r="P30" i="2"/>
  <c r="F63" i="2"/>
  <c r="F77" i="2" s="1"/>
  <c r="AM63" i="2"/>
  <c r="AM77" i="2" s="1"/>
  <c r="AL43" i="14"/>
  <c r="AU54" i="14"/>
  <c r="C54" i="14" s="1"/>
  <c r="X22" i="14"/>
  <c r="AB78" i="14"/>
  <c r="M45" i="2"/>
  <c r="AH73" i="14"/>
  <c r="AJ63" i="2"/>
  <c r="AJ77" i="2" s="1"/>
  <c r="AK94" i="14"/>
  <c r="AY10" i="14"/>
  <c r="AL61" i="14"/>
  <c r="C61" i="14" s="1"/>
  <c r="AU49" i="14"/>
  <c r="AL13" i="14"/>
  <c r="C13" i="14" s="1"/>
  <c r="AK51" i="2"/>
  <c r="BH51" i="2" s="1"/>
  <c r="BJ51" i="2" s="1"/>
  <c r="AU85" i="14"/>
  <c r="AL88" i="14"/>
  <c r="AH80" i="14"/>
  <c r="M10" i="14"/>
  <c r="T19" i="2"/>
  <c r="S38" i="2"/>
  <c r="T38" i="2" s="1"/>
  <c r="S14" i="2"/>
  <c r="T14" i="2" s="1"/>
  <c r="R20" i="14"/>
  <c r="AQ52" i="14"/>
  <c r="AC39" i="2"/>
  <c r="AF39" i="2" s="1"/>
  <c r="AL37" i="14"/>
  <c r="Y20" i="9"/>
  <c r="AA52" i="14"/>
  <c r="AL77" i="14"/>
  <c r="AL66" i="14"/>
  <c r="AL17" i="14"/>
  <c r="C17" i="14" s="1"/>
  <c r="AP63" i="2"/>
  <c r="AP77" i="2" s="1"/>
  <c r="AL60" i="14"/>
  <c r="C60" i="14" s="1"/>
  <c r="S55" i="2"/>
  <c r="T55" i="2" s="1"/>
  <c r="P31" i="2"/>
  <c r="V15" i="8"/>
  <c r="V22" i="8"/>
  <c r="R15" i="14"/>
  <c r="AK31" i="2"/>
  <c r="BH31" i="2" s="1"/>
  <c r="BJ31" i="2" s="1"/>
  <c r="S40" i="2"/>
  <c r="T40" i="2" s="1"/>
  <c r="P27" i="2"/>
  <c r="T47" i="2"/>
  <c r="V16" i="8"/>
  <c r="R16" i="14"/>
  <c r="G45" i="2"/>
  <c r="T70" i="2"/>
  <c r="S30" i="2"/>
  <c r="T30" i="2" s="1"/>
  <c r="R25" i="14"/>
  <c r="V11" i="8"/>
  <c r="R66" i="14"/>
  <c r="S66" i="14" s="1"/>
  <c r="T71" i="2"/>
  <c r="M53" i="2"/>
  <c r="T74" i="2"/>
  <c r="O10" i="14"/>
  <c r="R29" i="14"/>
  <c r="T64" i="2"/>
  <c r="Q45" i="2"/>
  <c r="T67" i="2"/>
  <c r="C63" i="2"/>
  <c r="C77" i="2" s="1"/>
  <c r="V19" i="8"/>
  <c r="P26" i="2"/>
  <c r="AB54" i="14"/>
  <c r="P39" i="2"/>
  <c r="P38" i="2"/>
  <c r="V17" i="8"/>
  <c r="T69" i="2"/>
  <c r="T73" i="2"/>
  <c r="R19" i="14"/>
  <c r="AL70" i="14"/>
  <c r="AU40" i="14"/>
  <c r="C40" i="14" s="1"/>
  <c r="AB41" i="14"/>
  <c r="AC44" i="2"/>
  <c r="AF44" i="2" s="1"/>
  <c r="T20" i="9"/>
  <c r="AK21" i="2"/>
  <c r="BH21" i="2" s="1"/>
  <c r="BJ21" i="2" s="1"/>
  <c r="AU92" i="14"/>
  <c r="AU13" i="14"/>
  <c r="F41" i="15"/>
  <c r="S46" i="2"/>
  <c r="T46" i="2" s="1"/>
  <c r="J45" i="2"/>
  <c r="T50" i="2"/>
  <c r="S22" i="2"/>
  <c r="T22" i="2" s="1"/>
  <c r="T24" i="8"/>
  <c r="S37" i="2"/>
  <c r="T37" i="2" s="1"/>
  <c r="T72" i="2"/>
  <c r="T66" i="2"/>
  <c r="M75" i="2"/>
  <c r="D63" i="2"/>
  <c r="D77" i="2" s="1"/>
  <c r="AK32" i="2"/>
  <c r="BH32" i="2" s="1"/>
  <c r="BJ32" i="2" s="1"/>
  <c r="AU91" i="14"/>
  <c r="AL62" i="14"/>
  <c r="C62" i="14" s="1"/>
  <c r="AL55" i="14"/>
  <c r="AT67" i="14"/>
  <c r="AL83" i="14"/>
  <c r="AL63" i="2"/>
  <c r="AL77" i="2" s="1"/>
  <c r="AB58" i="14"/>
  <c r="X63" i="14"/>
  <c r="AC18" i="2"/>
  <c r="AF18" i="2" s="1"/>
  <c r="AI63" i="2"/>
  <c r="AI77" i="2" s="1"/>
  <c r="AC33" i="2"/>
  <c r="AF33" i="2" s="1"/>
  <c r="AL93" i="14"/>
  <c r="AU56" i="14"/>
  <c r="C56" i="14" s="1"/>
  <c r="AT57" i="14"/>
  <c r="AK52" i="14"/>
  <c r="AQ67" i="14"/>
  <c r="AU50" i="14"/>
  <c r="AL25" i="14"/>
  <c r="AT63" i="2"/>
  <c r="AT77" i="2" s="1"/>
  <c r="AU30" i="14"/>
  <c r="F27" i="15"/>
  <c r="R34" i="2"/>
  <c r="P32" i="2"/>
  <c r="P43" i="2"/>
  <c r="V20" i="8"/>
  <c r="V10" i="8"/>
  <c r="AK58" i="2"/>
  <c r="BH58" i="2" s="1"/>
  <c r="BJ58" i="2" s="1"/>
  <c r="AK56" i="2"/>
  <c r="BH56" i="2" s="1"/>
  <c r="BJ56" i="2" s="1"/>
  <c r="P28" i="2"/>
  <c r="S58" i="2"/>
  <c r="T58" i="2" s="1"/>
  <c r="P47" i="2"/>
  <c r="P53" i="2" s="1"/>
  <c r="T52" i="2"/>
  <c r="V9" i="8"/>
  <c r="E63" i="2"/>
  <c r="E77" i="2" s="1"/>
  <c r="V14" i="8"/>
  <c r="T15" i="2"/>
  <c r="F13" i="15"/>
  <c r="T49" i="2"/>
  <c r="S33" i="2"/>
  <c r="T33" i="2" s="1"/>
  <c r="S29" i="2"/>
  <c r="T29" i="2" s="1"/>
  <c r="S25" i="2"/>
  <c r="T25" i="2" s="1"/>
  <c r="T59" i="2"/>
  <c r="G34" i="2"/>
  <c r="K24" i="8"/>
  <c r="S65" i="2"/>
  <c r="T54" i="2"/>
  <c r="M34" i="2"/>
  <c r="G23" i="2"/>
  <c r="G53" i="2"/>
  <c r="W75" i="2"/>
  <c r="Q53" i="2"/>
  <c r="R75" i="2"/>
  <c r="J23" i="2"/>
  <c r="S56" i="2"/>
  <c r="T56" i="2" s="1"/>
  <c r="P75" i="2"/>
  <c r="P44" i="2"/>
  <c r="K20" i="9"/>
  <c r="G75" i="2"/>
  <c r="R12" i="14"/>
  <c r="S35" i="2"/>
  <c r="P12" i="2"/>
  <c r="S16" i="2"/>
  <c r="T16" i="2" s="1"/>
  <c r="X67" i="14"/>
  <c r="AB20" i="14"/>
  <c r="AB21" i="14"/>
  <c r="AB81" i="14"/>
  <c r="AB66" i="14"/>
  <c r="AU82" i="14"/>
  <c r="C82" i="14" s="1"/>
  <c r="AB68" i="14"/>
  <c r="S62" i="2"/>
  <c r="T62" i="2" s="1"/>
  <c r="R45" i="2"/>
  <c r="P35" i="2"/>
  <c r="P24" i="2"/>
  <c r="Q34" i="2"/>
  <c r="S12" i="2"/>
  <c r="AL40" i="14"/>
  <c r="AB36" i="14"/>
  <c r="AA57" i="14"/>
  <c r="AL15" i="14"/>
  <c r="C15" i="14" s="1"/>
  <c r="AB64" i="14"/>
  <c r="N22" i="14"/>
  <c r="T13" i="2"/>
  <c r="P13" i="2"/>
  <c r="P23" i="2" s="1"/>
  <c r="Q23" i="2"/>
  <c r="V8" i="8"/>
  <c r="J34" i="2"/>
  <c r="S24" i="2"/>
  <c r="M23" i="2"/>
  <c r="AA63" i="2"/>
  <c r="AA77" i="2" s="1"/>
  <c r="J25" i="16" s="1"/>
  <c r="J24" i="16" s="1"/>
  <c r="AK30" i="2"/>
  <c r="BH30" i="2" s="1"/>
  <c r="BJ30" i="2" s="1"/>
  <c r="AU61" i="14"/>
  <c r="AQ22" i="14"/>
  <c r="AK52" i="2"/>
  <c r="BH52" i="2" s="1"/>
  <c r="BJ52" i="2" s="1"/>
  <c r="AB88" i="14"/>
  <c r="C88" i="14" s="1"/>
  <c r="AU63" i="2"/>
  <c r="AU77" i="2" s="1"/>
  <c r="AB85" i="14"/>
  <c r="C85" i="14" s="1"/>
  <c r="AK69" i="2"/>
  <c r="BH69" i="2" s="1"/>
  <c r="AB34" i="14"/>
  <c r="X52" i="14"/>
  <c r="AB60" i="14"/>
  <c r="AB17" i="14"/>
  <c r="AB11" i="14"/>
  <c r="AK40" i="2"/>
  <c r="BH40" i="2" s="1"/>
  <c r="BJ40" i="2" s="1"/>
  <c r="AC15" i="2"/>
  <c r="AF15" i="2" s="1"/>
  <c r="AK22" i="2"/>
  <c r="BH22" i="2" s="1"/>
  <c r="BJ22" i="2" s="1"/>
  <c r="AK25" i="2"/>
  <c r="BH25" i="2" s="1"/>
  <c r="BJ25" i="2" s="1"/>
  <c r="AK61" i="2"/>
  <c r="BH61" i="2" s="1"/>
  <c r="BJ61" i="2" s="1"/>
  <c r="AR23" i="2"/>
  <c r="AK44" i="2"/>
  <c r="BH44" i="2" s="1"/>
  <c r="BJ44" i="2" s="1"/>
  <c r="AB84" i="14"/>
  <c r="C84" i="14" s="1"/>
  <c r="AB56" i="14"/>
  <c r="AL71" i="14"/>
  <c r="X57" i="14"/>
  <c r="AB59" i="14"/>
  <c r="AL19" i="14"/>
  <c r="C19" i="14" s="1"/>
  <c r="AT41" i="15"/>
  <c r="AB55" i="14"/>
  <c r="AB65" i="14"/>
  <c r="AA73" i="14"/>
  <c r="AB19" i="14"/>
  <c r="AB24" i="14"/>
  <c r="AK22" i="14"/>
  <c r="AL11" i="14"/>
  <c r="AB37" i="14"/>
  <c r="AL48" i="14"/>
  <c r="AL42" i="14"/>
  <c r="AL49" i="14"/>
  <c r="AL30" i="14"/>
  <c r="AK50" i="2"/>
  <c r="BH50" i="2" s="1"/>
  <c r="BJ50" i="2" s="1"/>
  <c r="AR34" i="2"/>
  <c r="AL86" i="14"/>
  <c r="AL26" i="14"/>
  <c r="AH52" i="14"/>
  <c r="AK33" i="14"/>
  <c r="AK24" i="2"/>
  <c r="BH24" i="2" s="1"/>
  <c r="AK19" i="2"/>
  <c r="BH19" i="2" s="1"/>
  <c r="BJ19" i="2" s="1"/>
  <c r="AK18" i="2"/>
  <c r="BH18" i="2" s="1"/>
  <c r="BJ18" i="2" s="1"/>
  <c r="AK28" i="2"/>
  <c r="BH28" i="2" s="1"/>
  <c r="BJ28" i="2" s="1"/>
  <c r="AL78" i="14"/>
  <c r="AK38" i="2"/>
  <c r="BH38" i="2" s="1"/>
  <c r="BJ38" i="2" s="1"/>
  <c r="AL91" i="14"/>
  <c r="AL81" i="14"/>
  <c r="AL39" i="14"/>
  <c r="AH63" i="14"/>
  <c r="AL23" i="14"/>
  <c r="P19" i="9"/>
  <c r="AK16" i="2"/>
  <c r="BH16" i="2" s="1"/>
  <c r="BJ16" i="2" s="1"/>
  <c r="AL74" i="14"/>
  <c r="AL72" i="14"/>
  <c r="AL56" i="14"/>
  <c r="BB63" i="2"/>
  <c r="BB77" i="2" s="1"/>
  <c r="AL47" i="14"/>
  <c r="AO63" i="2"/>
  <c r="AO77" i="2" s="1"/>
  <c r="P10" i="9"/>
  <c r="AK57" i="2"/>
  <c r="BH57" i="2" s="1"/>
  <c r="BJ57" i="2" s="1"/>
  <c r="AC28" i="2"/>
  <c r="AF28" i="2" s="1"/>
  <c r="AQ63" i="2"/>
  <c r="AQ77" i="2" s="1"/>
  <c r="AK62" i="2"/>
  <c r="BH62" i="2" s="1"/>
  <c r="BJ62" i="2" s="1"/>
  <c r="X94" i="14"/>
  <c r="AB38" i="14"/>
  <c r="AT52" i="14"/>
  <c r="AB86" i="14"/>
  <c r="C86" i="14" s="1"/>
  <c r="AK71" i="2"/>
  <c r="BH71" i="2" s="1"/>
  <c r="BJ71" i="2" s="1"/>
  <c r="P7" i="9"/>
  <c r="U13" i="15"/>
  <c r="AV63" i="2"/>
  <c r="AV77" i="2" s="1"/>
  <c r="AB47" i="14"/>
  <c r="C47" i="14" s="1"/>
  <c r="Z27" i="15"/>
  <c r="AT27" i="15"/>
  <c r="AU39" i="14"/>
  <c r="C39" i="14" s="1"/>
  <c r="AU16" i="14"/>
  <c r="AE13" i="15"/>
  <c r="AK47" i="2"/>
  <c r="BH47" i="2" s="1"/>
  <c r="BJ47" i="2" s="1"/>
  <c r="AC17" i="2"/>
  <c r="AF17" i="2" s="1"/>
  <c r="AT80" i="14"/>
  <c r="Y63" i="2"/>
  <c r="Y77" i="2" s="1"/>
  <c r="F25" i="16" s="1"/>
  <c r="V63" i="2"/>
  <c r="V77" i="2" s="1"/>
  <c r="AG10" i="14"/>
  <c r="AC19" i="2"/>
  <c r="AF19" i="2" s="1"/>
  <c r="AK44" i="14"/>
  <c r="AN10" i="14"/>
  <c r="T10" i="14"/>
  <c r="BD53" i="2"/>
  <c r="W10" i="14"/>
  <c r="P15" i="9"/>
  <c r="W53" i="2"/>
  <c r="P9" i="9"/>
  <c r="P11" i="9"/>
  <c r="AQ94" i="14"/>
  <c r="AB48" i="14"/>
  <c r="C48" i="14" s="1"/>
  <c r="P17" i="9"/>
  <c r="AL16" i="14"/>
  <c r="C16" i="14" s="1"/>
  <c r="AB29" i="14"/>
  <c r="P8" i="9"/>
  <c r="AL14" i="14"/>
  <c r="C14" i="14" s="1"/>
  <c r="U41" i="15"/>
  <c r="U63" i="2"/>
  <c r="U77" i="2" s="1"/>
  <c r="AS10" i="14"/>
  <c r="AU69" i="14"/>
  <c r="C69" i="14" s="1"/>
  <c r="AL41" i="14"/>
  <c r="AU17" i="14"/>
  <c r="W34" i="2"/>
  <c r="AL34" i="14"/>
  <c r="X33" i="14"/>
  <c r="P13" i="9"/>
  <c r="AY41" i="15"/>
  <c r="AL18" i="14"/>
  <c r="C18" i="14" s="1"/>
  <c r="BD23" i="2"/>
  <c r="AH63" i="2"/>
  <c r="AH77" i="2" s="1"/>
  <c r="AL69" i="14"/>
  <c r="AQ80" i="14"/>
  <c r="AM10" i="14"/>
  <c r="BA10" i="14"/>
  <c r="AB49" i="14"/>
  <c r="C49" i="14" s="1"/>
  <c r="AQ44" i="14"/>
  <c r="Z53" i="2"/>
  <c r="AB63" i="2"/>
  <c r="AL36" i="14"/>
  <c r="L20" i="9"/>
  <c r="BE63" i="2"/>
  <c r="BE77" i="2" s="1"/>
  <c r="Z10" i="14"/>
  <c r="AA67" i="14"/>
  <c r="AC41" i="2"/>
  <c r="AF41" i="2" s="1"/>
  <c r="AB70" i="14"/>
  <c r="AU59" i="14"/>
  <c r="AU43" i="14"/>
  <c r="C43" i="14" s="1"/>
  <c r="AB40" i="14"/>
  <c r="AU25" i="14"/>
  <c r="C25" i="14" s="1"/>
  <c r="P6" i="9"/>
  <c r="AJ27" i="15"/>
  <c r="BA63" i="2"/>
  <c r="BA77" i="2" s="1"/>
  <c r="AB71" i="14"/>
  <c r="AB31" i="14"/>
  <c r="AD10" i="14"/>
  <c r="AU26" i="14"/>
  <c r="AP10" i="14"/>
  <c r="AQ57" i="14"/>
  <c r="BD27" i="15"/>
  <c r="AC48" i="2"/>
  <c r="AF48" i="2" s="1"/>
  <c r="AD53" i="2"/>
  <c r="AX10" i="14"/>
  <c r="P12" i="9"/>
  <c r="M20" i="9"/>
  <c r="AV10" i="14"/>
  <c r="AB53" i="14"/>
  <c r="AB12" i="14"/>
  <c r="AK41" i="2"/>
  <c r="BH41" i="2" s="1"/>
  <c r="BJ41" i="2" s="1"/>
  <c r="K13" i="15"/>
  <c r="AC32" i="2"/>
  <c r="AF32" i="2" s="1"/>
  <c r="AE45" i="2"/>
  <c r="AH94" i="14"/>
  <c r="AO27" i="15"/>
  <c r="AU58" i="14"/>
  <c r="BD41" i="15"/>
  <c r="AC21" i="2"/>
  <c r="AF21" i="2" s="1"/>
  <c r="AO41" i="15"/>
  <c r="AK48" i="2"/>
  <c r="BH48" i="2" s="1"/>
  <c r="BJ48" i="2" s="1"/>
  <c r="AK37" i="2"/>
  <c r="BH37" i="2" s="1"/>
  <c r="BJ37" i="2" s="1"/>
  <c r="P16" i="9"/>
  <c r="P14" i="9"/>
  <c r="P5" i="9"/>
  <c r="AE27" i="15"/>
  <c r="AL53" i="14"/>
  <c r="AL75" i="14"/>
  <c r="AU88" i="14"/>
  <c r="U10" i="14"/>
  <c r="AJ10" i="14"/>
  <c r="U27" i="15"/>
  <c r="AJ41" i="15"/>
  <c r="Z75" i="2"/>
  <c r="AK67" i="14"/>
  <c r="AY27" i="15"/>
  <c r="AR45" i="2"/>
  <c r="P18" i="9"/>
  <c r="K41" i="15"/>
  <c r="AJ13" i="15"/>
  <c r="Z23" i="2"/>
  <c r="AE10" i="14"/>
  <c r="AK42" i="2"/>
  <c r="BH42" i="2" s="1"/>
  <c r="BJ42" i="2" s="1"/>
  <c r="BD45" i="2"/>
  <c r="Z13" i="15"/>
  <c r="AE41" i="15"/>
  <c r="Z41" i="15"/>
  <c r="W45" i="2"/>
  <c r="AD23" i="2"/>
  <c r="BD34" i="2"/>
  <c r="K27" i="15"/>
  <c r="X63" i="2"/>
  <c r="X77" i="2" s="1"/>
  <c r="G25" i="16" s="1"/>
  <c r="G24" i="16" s="1"/>
  <c r="AC30" i="2"/>
  <c r="AF30" i="2" s="1"/>
  <c r="AB69" i="14"/>
  <c r="N20" i="9"/>
  <c r="P27" i="15"/>
  <c r="AK46" i="2"/>
  <c r="P13" i="15"/>
  <c r="AK13" i="2"/>
  <c r="AA22" i="14"/>
  <c r="Y10" i="14"/>
  <c r="V10" i="14"/>
  <c r="P41" i="15"/>
  <c r="AB83" i="14"/>
  <c r="C83" i="14" s="1"/>
  <c r="AA94" i="14"/>
  <c r="AL64" i="14"/>
  <c r="AL12" i="14"/>
  <c r="C12" i="14" s="1"/>
  <c r="AR75" i="2"/>
  <c r="AK35" i="2"/>
  <c r="BH35" i="2" s="1"/>
  <c r="AF10" i="14"/>
  <c r="AI10" i="14"/>
  <c r="AR53" i="2"/>
  <c r="AH44" i="14"/>
  <c r="Z45" i="2"/>
  <c r="AE34" i="2"/>
  <c r="AD34" i="2"/>
  <c r="AC24" i="2"/>
  <c r="AF46" i="2"/>
  <c r="AC26" i="2"/>
  <c r="AF26" i="2" s="1"/>
  <c r="Z34" i="2"/>
  <c r="AU45" i="14"/>
  <c r="AR10" i="14"/>
  <c r="AC75" i="2"/>
  <c r="AF64" i="2"/>
  <c r="AF75" i="2" s="1"/>
  <c r="AD75" i="2"/>
  <c r="AE23" i="2"/>
  <c r="AC13" i="2"/>
  <c r="AO10" i="14"/>
  <c r="AD45" i="2"/>
  <c r="AC35" i="2"/>
  <c r="W23" i="2"/>
  <c r="AK12" i="2"/>
  <c r="AU33" i="14" l="1"/>
  <c r="AU63" i="14"/>
  <c r="AL67" i="14"/>
  <c r="AL33" i="14"/>
  <c r="AL22" i="14"/>
  <c r="C22" i="14" s="1"/>
  <c r="AU94" i="14"/>
  <c r="C11" i="14"/>
  <c r="R94" i="14"/>
  <c r="S94" i="14" s="1"/>
  <c r="AC81" i="14"/>
  <c r="Q95" i="14"/>
  <c r="E25" i="16"/>
  <c r="F24" i="16"/>
  <c r="E24" i="16" s="1"/>
  <c r="AW89" i="14"/>
  <c r="E13" i="16"/>
  <c r="H13" i="16"/>
  <c r="Q63" i="2"/>
  <c r="Q77" i="2" s="1"/>
  <c r="R63" i="2"/>
  <c r="R77" i="2" s="1"/>
  <c r="J63" i="2"/>
  <c r="J77" i="2" s="1"/>
  <c r="M63" i="2"/>
  <c r="M77" i="2" s="1"/>
  <c r="AB77" i="2"/>
  <c r="I25" i="16"/>
  <c r="AC68" i="14"/>
  <c r="AC82" i="14"/>
  <c r="AA95" i="14"/>
  <c r="AK95" i="14"/>
  <c r="X95" i="14"/>
  <c r="AT95" i="14"/>
  <c r="AQ95" i="14"/>
  <c r="N95" i="14"/>
  <c r="AH95" i="14"/>
  <c r="AL73" i="14"/>
  <c r="AU22" i="14"/>
  <c r="AU44" i="14"/>
  <c r="AL57" i="14"/>
  <c r="AC11" i="14"/>
  <c r="AB80" i="14"/>
  <c r="AW82" i="14"/>
  <c r="AW87" i="14"/>
  <c r="AB33" i="14"/>
  <c r="AB73" i="14"/>
  <c r="AU73" i="14"/>
  <c r="C73" i="14" s="1"/>
  <c r="AW90" i="14"/>
  <c r="AL63" i="14"/>
  <c r="C63" i="14" s="1"/>
  <c r="AB44" i="14"/>
  <c r="AW50" i="14"/>
  <c r="AW75" i="14"/>
  <c r="AW32" i="14"/>
  <c r="C32" i="14" s="1"/>
  <c r="R73" i="14"/>
  <c r="S73" i="14" s="1"/>
  <c r="AW68" i="14"/>
  <c r="AL94" i="14"/>
  <c r="AW72" i="14"/>
  <c r="AW31" i="14"/>
  <c r="C31" i="14" s="1"/>
  <c r="AW38" i="14"/>
  <c r="R67" i="14"/>
  <c r="S67" i="14" s="1"/>
  <c r="AW14" i="14"/>
  <c r="R80" i="14"/>
  <c r="S80" i="14" s="1"/>
  <c r="AW43" i="14"/>
  <c r="AW58" i="14"/>
  <c r="AW93" i="14"/>
  <c r="R57" i="14"/>
  <c r="S57" i="14" s="1"/>
  <c r="AL80" i="14"/>
  <c r="AW42" i="14"/>
  <c r="N10" i="14"/>
  <c r="AB63" i="14"/>
  <c r="AC63" i="14" s="1"/>
  <c r="AW92" i="14"/>
  <c r="AW35" i="14"/>
  <c r="C35" i="14" s="1"/>
  <c r="AW61" i="14"/>
  <c r="R52" i="14"/>
  <c r="AW74" i="14"/>
  <c r="AW76" i="14"/>
  <c r="AW27" i="14"/>
  <c r="C27" i="14" s="1"/>
  <c r="AW79" i="14"/>
  <c r="R44" i="14"/>
  <c r="AW26" i="14"/>
  <c r="C26" i="14" s="1"/>
  <c r="AW77" i="14"/>
  <c r="AW60" i="14"/>
  <c r="R33" i="14"/>
  <c r="C33" i="14" s="1"/>
  <c r="AW46" i="14"/>
  <c r="S53" i="2"/>
  <c r="T53" i="2" s="1"/>
  <c r="AW78" i="14"/>
  <c r="AW62" i="14"/>
  <c r="AU67" i="14"/>
  <c r="C67" i="14" s="1"/>
  <c r="AW18" i="14"/>
  <c r="AW47" i="14"/>
  <c r="V24" i="8"/>
  <c r="AW45" i="14"/>
  <c r="AW40" i="14"/>
  <c r="AW23" i="14"/>
  <c r="C23" i="14" s="1"/>
  <c r="AW71" i="14"/>
  <c r="AW21" i="14"/>
  <c r="AW13" i="14"/>
  <c r="AW51" i="14"/>
  <c r="AW66" i="14"/>
  <c r="AW54" i="14"/>
  <c r="AU52" i="14"/>
  <c r="AW37" i="14"/>
  <c r="AW29" i="14"/>
  <c r="C29" i="14" s="1"/>
  <c r="AW84" i="14"/>
  <c r="AW41" i="14"/>
  <c r="AB52" i="14"/>
  <c r="AC52" i="14" s="1"/>
  <c r="AU57" i="14"/>
  <c r="C57" i="14" s="1"/>
  <c r="AB67" i="14"/>
  <c r="AW65" i="14"/>
  <c r="P34" i="2"/>
  <c r="AW25" i="14"/>
  <c r="AW70" i="14"/>
  <c r="AW24" i="14"/>
  <c r="C24" i="14" s="1"/>
  <c r="AB57" i="14"/>
  <c r="AW85" i="14"/>
  <c r="AW17" i="14"/>
  <c r="AW36" i="14"/>
  <c r="AW28" i="14"/>
  <c r="C28" i="14" s="1"/>
  <c r="AW91" i="14"/>
  <c r="AW64" i="14"/>
  <c r="AW83" i="14"/>
  <c r="AW48" i="14"/>
  <c r="AW81" i="14"/>
  <c r="AW20" i="14"/>
  <c r="P45" i="2"/>
  <c r="AW15" i="14"/>
  <c r="AL52" i="14"/>
  <c r="AW55" i="14"/>
  <c r="AW88" i="14"/>
  <c r="S23" i="2"/>
  <c r="T23" i="2" s="1"/>
  <c r="AW11" i="14"/>
  <c r="AW19" i="14"/>
  <c r="X10" i="14"/>
  <c r="AT10" i="14"/>
  <c r="AW30" i="14"/>
  <c r="C30" i="14" s="1"/>
  <c r="S75" i="2"/>
  <c r="T75" i="2" s="1"/>
  <c r="T65" i="2"/>
  <c r="G63" i="2"/>
  <c r="G77" i="2" s="1"/>
  <c r="T24" i="2"/>
  <c r="S34" i="2"/>
  <c r="T34" i="2" s="1"/>
  <c r="T12" i="2"/>
  <c r="R22" i="14"/>
  <c r="Q10" i="14"/>
  <c r="S45" i="2"/>
  <c r="T45" i="2" s="1"/>
  <c r="T35" i="2"/>
  <c r="AK53" i="2"/>
  <c r="AK23" i="2"/>
  <c r="AW86" i="14"/>
  <c r="AW59" i="14"/>
  <c r="AW34" i="14"/>
  <c r="AW49" i="14"/>
  <c r="AW56" i="14"/>
  <c r="AK34" i="2"/>
  <c r="AW39" i="14"/>
  <c r="AU80" i="14"/>
  <c r="C80" i="14" s="1"/>
  <c r="BH13" i="2"/>
  <c r="BH23" i="2" s="1"/>
  <c r="AW12" i="14"/>
  <c r="AF53" i="2"/>
  <c r="AK10" i="14"/>
  <c r="AK75" i="2"/>
  <c r="AB94" i="14"/>
  <c r="AW69" i="14"/>
  <c r="AR63" i="2"/>
  <c r="AR77" i="2" s="1"/>
  <c r="AW16" i="14"/>
  <c r="AQ10" i="14"/>
  <c r="BD63" i="2"/>
  <c r="BD77" i="2" s="1"/>
  <c r="P20" i="9"/>
  <c r="AE63" i="2"/>
  <c r="AE77" i="2" s="1"/>
  <c r="AC53" i="2"/>
  <c r="AK45" i="2"/>
  <c r="W63" i="2"/>
  <c r="W77" i="2" s="1"/>
  <c r="AW53" i="14"/>
  <c r="BH46" i="2"/>
  <c r="BJ46" i="2" s="1"/>
  <c r="BJ53" i="2" s="1"/>
  <c r="AD63" i="2"/>
  <c r="AD77" i="2" s="1"/>
  <c r="AB22" i="14"/>
  <c r="AA10" i="14"/>
  <c r="BJ69" i="2"/>
  <c r="BJ75" i="2" s="1"/>
  <c r="BH75" i="2"/>
  <c r="BH45" i="2"/>
  <c r="BJ35" i="2"/>
  <c r="BJ45" i="2" s="1"/>
  <c r="AH10" i="14"/>
  <c r="AL44" i="14"/>
  <c r="AC45" i="2"/>
  <c r="AF35" i="2"/>
  <c r="AF45" i="2" s="1"/>
  <c r="AC34" i="2"/>
  <c r="AF24" i="2"/>
  <c r="AF34" i="2" s="1"/>
  <c r="BH34" i="2"/>
  <c r="BJ24" i="2"/>
  <c r="BJ34" i="2" s="1"/>
  <c r="AC23" i="2"/>
  <c r="AF13" i="2"/>
  <c r="AF23" i="2" s="1"/>
  <c r="Z63" i="2"/>
  <c r="Z77" i="2" s="1"/>
  <c r="BH12" i="2"/>
  <c r="AU10" i="14" l="1"/>
  <c r="R10" i="14"/>
  <c r="AC22" i="14"/>
  <c r="C94" i="14"/>
  <c r="AW94" i="14"/>
  <c r="K13" i="16"/>
  <c r="H25" i="16"/>
  <c r="K25" i="16" s="1"/>
  <c r="I24" i="16"/>
  <c r="H24" i="16" s="1"/>
  <c r="K24" i="16" s="1"/>
  <c r="S44" i="14"/>
  <c r="C44" i="14"/>
  <c r="S52" i="14"/>
  <c r="C52" i="14"/>
  <c r="P63" i="2"/>
  <c r="P77" i="2" s="1"/>
  <c r="S63" i="2"/>
  <c r="AC57" i="14"/>
  <c r="AC94" i="14"/>
  <c r="AC67" i="14"/>
  <c r="AC33" i="14"/>
  <c r="AC44" i="14"/>
  <c r="AC73" i="14"/>
  <c r="AC80" i="14"/>
  <c r="AB95" i="14"/>
  <c r="R95" i="14"/>
  <c r="AU95" i="14"/>
  <c r="AL95" i="14"/>
  <c r="AW44" i="14"/>
  <c r="AW73" i="14"/>
  <c r="AW33" i="14"/>
  <c r="AW80" i="14"/>
  <c r="AW63" i="14"/>
  <c r="AW67" i="14"/>
  <c r="AW57" i="14"/>
  <c r="AW52" i="14"/>
  <c r="AK63" i="2"/>
  <c r="AK77" i="2" s="1"/>
  <c r="BJ13" i="2"/>
  <c r="BJ23" i="2" s="1"/>
  <c r="BH53" i="2"/>
  <c r="BH63" i="2" s="1"/>
  <c r="BH77" i="2" s="1"/>
  <c r="AF63" i="2"/>
  <c r="AF77" i="2" s="1"/>
  <c r="AB10" i="14"/>
  <c r="AW22" i="14"/>
  <c r="AL10" i="14"/>
  <c r="AC63" i="2"/>
  <c r="AC77" i="2" s="1"/>
  <c r="BJ12" i="2"/>
  <c r="C10" i="14" l="1"/>
  <c r="C95" i="14" s="1"/>
  <c r="AC95" i="14"/>
  <c r="AW95" i="14"/>
  <c r="BJ63" i="2"/>
  <c r="BJ77" i="2" s="1"/>
  <c r="AC10" i="14"/>
  <c r="T63" i="2"/>
  <c r="S77" i="2"/>
  <c r="T77" i="2" s="1"/>
  <c r="AW10" i="14"/>
  <c r="F95" i="14" l="1"/>
  <c r="I19" i="14"/>
  <c r="S19" i="14" s="1"/>
  <c r="I14" i="14"/>
  <c r="S14" i="14" s="1"/>
  <c r="I15" i="14"/>
  <c r="S15" i="14" s="1"/>
  <c r="I16" i="14"/>
  <c r="S16" i="14" s="1"/>
  <c r="I12" i="14"/>
  <c r="S12" i="14" s="1"/>
  <c r="I11" i="14"/>
  <c r="S11" i="14" s="1"/>
  <c r="I13" i="14"/>
  <c r="S13" i="14" s="1"/>
  <c r="I17" i="14"/>
  <c r="S17" i="14" s="1"/>
  <c r="I21" i="14"/>
  <c r="S21" i="14" s="1"/>
  <c r="I20" i="14"/>
  <c r="S20" i="14" s="1"/>
  <c r="I18" i="14"/>
  <c r="S18" i="14" s="1"/>
  <c r="I22" i="14" l="1"/>
  <c r="S22" i="14" s="1"/>
  <c r="I23" i="14"/>
  <c r="S23" i="14" s="1"/>
  <c r="I31" i="14"/>
  <c r="S31" i="14" s="1"/>
  <c r="I27" i="14"/>
  <c r="S27" i="14" s="1"/>
  <c r="I29" i="14"/>
  <c r="S29" i="14" s="1"/>
  <c r="I25" i="14"/>
  <c r="S25" i="14" s="1"/>
  <c r="I26" i="14"/>
  <c r="S26" i="14" s="1"/>
  <c r="I24" i="14"/>
  <c r="S24" i="14" s="1"/>
  <c r="I28" i="14"/>
  <c r="S28" i="14" s="1"/>
  <c r="I30" i="14"/>
  <c r="S30" i="14" s="1"/>
  <c r="E33" i="14"/>
  <c r="E10" i="14" s="1"/>
  <c r="I32" i="14"/>
  <c r="S32" i="14" s="1"/>
  <c r="E95" i="14" l="1"/>
  <c r="I33" i="14"/>
  <c r="S33" i="14" l="1"/>
  <c r="I10" i="14"/>
  <c r="S95" i="14" s="1"/>
  <c r="I95" i="14"/>
  <c r="S10" i="14" l="1"/>
</calcChain>
</file>

<file path=xl/comments1.xml><?xml version="1.0" encoding="utf-8"?>
<comments xmlns="http://schemas.openxmlformats.org/spreadsheetml/2006/main">
  <authors>
    <author>Бахарев</author>
  </authors>
  <commentList>
    <comment ref="H2325" authorId="0" shapeId="0">
      <text>
        <r>
          <rPr>
            <b/>
            <sz val="9"/>
            <color indexed="81"/>
            <rFont val="Tahoma"/>
            <family val="2"/>
            <charset val="204"/>
          </rPr>
          <t>Бахареod</t>
        </r>
      </text>
    </comment>
  </commentList>
</comments>
</file>

<file path=xl/sharedStrings.xml><?xml version="1.0" encoding="utf-8"?>
<sst xmlns="http://schemas.openxmlformats.org/spreadsheetml/2006/main" count="34500" uniqueCount="6238">
  <si>
    <t>№ п/п</t>
  </si>
  <si>
    <t>Т.р.</t>
  </si>
  <si>
    <t>Должность</t>
  </si>
  <si>
    <t>Младшие специалисты</t>
  </si>
  <si>
    <t>По перечню</t>
  </si>
  <si>
    <t>обс</t>
  </si>
  <si>
    <t>ВУС</t>
  </si>
  <si>
    <t>Зв. по Штату</t>
  </si>
  <si>
    <t>Доп. ВУС</t>
  </si>
  <si>
    <t>Код звания</t>
  </si>
  <si>
    <t>Образование</t>
  </si>
  <si>
    <t>№,дата приказа  зачисление списки части</t>
  </si>
  <si>
    <t>№,дата приказа на должность</t>
  </si>
  <si>
    <t>Особая отметка</t>
  </si>
  <si>
    <t>Личный номер</t>
  </si>
  <si>
    <t>№ по алф</t>
  </si>
  <si>
    <t>Зв.факт</t>
  </si>
  <si>
    <t>ФИО</t>
  </si>
  <si>
    <t>Дата рождения</t>
  </si>
  <si>
    <t>Права</t>
  </si>
  <si>
    <t>Вид отрыва</t>
  </si>
  <si>
    <t>Номер приказа</t>
  </si>
  <si>
    <t>Цель убытия</t>
  </si>
  <si>
    <t>Основание об убытие</t>
  </si>
  <si>
    <t>С какого числа</t>
  </si>
  <si>
    <t>По какое число(включительно)</t>
  </si>
  <si>
    <t>Регион призыва (ВК)</t>
  </si>
  <si>
    <t>Национальность</t>
  </si>
  <si>
    <t>Откуда прибыл, КМБ</t>
  </si>
  <si>
    <t>Дата призыва, заключения контракта</t>
  </si>
  <si>
    <t>Дата окончания службы</t>
  </si>
  <si>
    <t>Женщины</t>
  </si>
  <si>
    <t>Опыт вождения</t>
  </si>
  <si>
    <t>Период призыва</t>
  </si>
  <si>
    <t>Призыв, к/с, с/с, о, п;</t>
  </si>
  <si>
    <t>Деления: 1-офицеры; 2-прапорщики; 3-сержанты; 4-ряд.,ефр.; ГП-гражданский персонал.</t>
  </si>
  <si>
    <t>Батальон</t>
  </si>
  <si>
    <t>Техника</t>
  </si>
  <si>
    <t>Категория техники</t>
  </si>
  <si>
    <t>БТГр</t>
  </si>
  <si>
    <t>№ п/п Ф4</t>
  </si>
  <si>
    <t>Водители</t>
  </si>
  <si>
    <t>Мех-воды</t>
  </si>
  <si>
    <t>Наводчики-операторы</t>
  </si>
  <si>
    <t>КОМАНДОВАНИЕ</t>
  </si>
  <si>
    <t>УПРАВЛЕНИЕ</t>
  </si>
  <si>
    <t>Командир полка</t>
  </si>
  <si>
    <t>п</t>
  </si>
  <si>
    <t>0210002</t>
  </si>
  <si>
    <t>п-к</t>
  </si>
  <si>
    <t>Высшее</t>
  </si>
  <si>
    <t>№971 от 22.12.2020</t>
  </si>
  <si>
    <t>Ф-835159</t>
  </si>
  <si>
    <t>Куликов Дмитрий Евгеньевич</t>
  </si>
  <si>
    <t>ком-ка</t>
  </si>
  <si>
    <t>№153 от 10.08.2022</t>
  </si>
  <si>
    <t>г. Белгород</t>
  </si>
  <si>
    <t>Специальная командировка</t>
  </si>
  <si>
    <t>Приказ ком. в/ч №734 от 08.08.2022</t>
  </si>
  <si>
    <t>Республика Татарстан</t>
  </si>
  <si>
    <t>ВК Московского района г.Казань</t>
  </si>
  <si>
    <t>нет</t>
  </si>
  <si>
    <t>о</t>
  </si>
  <si>
    <t>Управление</t>
  </si>
  <si>
    <t>Заместитель командира полка</t>
  </si>
  <si>
    <t>п/п-к</t>
  </si>
  <si>
    <t>В</t>
  </si>
  <si>
    <t>Заместитель командира полка по военно-политической работе</t>
  </si>
  <si>
    <t>3801002</t>
  </si>
  <si>
    <t>Альхимович Андрей Петрович</t>
  </si>
  <si>
    <t>Неизвестная местность</t>
  </si>
  <si>
    <t>Выполнение специальных задач</t>
  </si>
  <si>
    <t>инструктор (по военно-политической подготовке и информированию)</t>
  </si>
  <si>
    <t>0302016</t>
  </si>
  <si>
    <t>ГП</t>
  </si>
  <si>
    <t>да</t>
  </si>
  <si>
    <t>Юрисконсульт</t>
  </si>
  <si>
    <t>0305016</t>
  </si>
  <si>
    <t>к-н</t>
  </si>
  <si>
    <t>ОТДЕЛЕНИЕ КАДРОВ</t>
  </si>
  <si>
    <t>Начальник - отдела кадров</t>
  </si>
  <si>
    <t>2905003</t>
  </si>
  <si>
    <t>Помощник начальника отдела</t>
  </si>
  <si>
    <t>ст. л-т</t>
  </si>
  <si>
    <t>901628А</t>
  </si>
  <si>
    <t>ефр</t>
  </si>
  <si>
    <t>Оператор</t>
  </si>
  <si>
    <t>ряд</t>
  </si>
  <si>
    <t>ШТАБ</t>
  </si>
  <si>
    <t>Начальник штаба - заместитель командира полка</t>
  </si>
  <si>
    <t>Заместитель начальника штаба</t>
  </si>
  <si>
    <t>0210003</t>
  </si>
  <si>
    <t>м-р</t>
  </si>
  <si>
    <t>№576 от 12.12.2020</t>
  </si>
  <si>
    <t>Гайнанов Вадим Магамурович</t>
  </si>
  <si>
    <t>в/ч полевая почта 75548 г. Богучар</t>
  </si>
  <si>
    <t>ВК г. Казань</t>
  </si>
  <si>
    <t>Заместитель начальника штаба по службе войск и безопасности военной службы</t>
  </si>
  <si>
    <t>№138 от 11.10.2022</t>
  </si>
  <si>
    <t>Ф-862132</t>
  </si>
  <si>
    <t>Кунавин Вадим Анатольевич</t>
  </si>
  <si>
    <t>№ 44 от 06.03.2023</t>
  </si>
  <si>
    <t>Начальник разведки - заместитель начальника штаба по разведке</t>
  </si>
  <si>
    <t>0940003</t>
  </si>
  <si>
    <t>18</t>
  </si>
  <si>
    <t>Начальник связи - заместитель начальника штаба по связи</t>
  </si>
  <si>
    <t>1210003</t>
  </si>
  <si>
    <t>№172 от 05.11.2020</t>
  </si>
  <si>
    <t>Х-204452</t>
  </si>
  <si>
    <t>Попов Павел Николаевич</t>
  </si>
  <si>
    <t>Тамбовская область</t>
  </si>
  <si>
    <t>в/ч 23060 г. Смоленск</t>
  </si>
  <si>
    <t>15</t>
  </si>
  <si>
    <t>Старший помощник начальника штаба</t>
  </si>
  <si>
    <t>2906003</t>
  </si>
  <si>
    <t>Калининградская область</t>
  </si>
  <si>
    <t>Татарин</t>
  </si>
  <si>
    <t>Начальник топографической службы</t>
  </si>
  <si>
    <t>1901003</t>
  </si>
  <si>
    <t>л-т</t>
  </si>
  <si>
    <t>12</t>
  </si>
  <si>
    <t>Офицер (по обеспечению безопасности информации)</t>
  </si>
  <si>
    <t>7502003</t>
  </si>
  <si>
    <t>№173 от 21.07.2022</t>
  </si>
  <si>
    <t>№211 от 07.11.2022</t>
  </si>
  <si>
    <t>Х-724066</t>
  </si>
  <si>
    <t>Лапшин Игорь Андреевич</t>
  </si>
  <si>
    <t>Балтияская государственная академия рыбопромыслового флота</t>
  </si>
  <si>
    <t>в/ч 90151</t>
  </si>
  <si>
    <t>5</t>
  </si>
  <si>
    <t>инструктор (по математическому моделированию)</t>
  </si>
  <si>
    <t>606119А</t>
  </si>
  <si>
    <t>с-т</t>
  </si>
  <si>
    <t>Старший кодировщик</t>
  </si>
  <si>
    <t>+</t>
  </si>
  <si>
    <t>904754А</t>
  </si>
  <si>
    <t>с/с</t>
  </si>
  <si>
    <t>Кодировщик</t>
  </si>
  <si>
    <t>904137А</t>
  </si>
  <si>
    <t>Оператор (по математическому моделированию)</t>
  </si>
  <si>
    <t>606543А</t>
  </si>
  <si>
    <t>№197 от 17.10.2022</t>
  </si>
  <si>
    <t>Делопроизводитель</t>
  </si>
  <si>
    <t>0320027</t>
  </si>
  <si>
    <t>11 классов</t>
  </si>
  <si>
    <t>№95 от 13.05.2022</t>
  </si>
  <si>
    <t>гп</t>
  </si>
  <si>
    <t>№212 от 08.11.2022</t>
  </si>
  <si>
    <t>Бурлуцкая Марина Игоревна</t>
  </si>
  <si>
    <t>СЕКРЕТНАЯ ЧАСТЬ</t>
  </si>
  <si>
    <t>6</t>
  </si>
  <si>
    <t>Начальник секретной части</t>
  </si>
  <si>
    <t>901425А</t>
  </si>
  <si>
    <t>пр-к</t>
  </si>
  <si>
    <t>18МСД №81 от 30.07.2021</t>
  </si>
  <si>
    <t>С-995072</t>
  </si>
  <si>
    <t>Докучаев Владимир Владимирович</t>
  </si>
  <si>
    <t>в/ч 65563</t>
  </si>
  <si>
    <t>СПО</t>
  </si>
  <si>
    <t>№121 от 22.06.2022</t>
  </si>
  <si>
    <t>Косарева Светлана Валерьевна</t>
  </si>
  <si>
    <t>РОДА ВОЙСК И СЛУЖБЫ</t>
  </si>
  <si>
    <t>19</t>
  </si>
  <si>
    <t>Начальник артиллерии</t>
  </si>
  <si>
    <t>0304003</t>
  </si>
  <si>
    <t>Начальник противовоздушной обороны</t>
  </si>
  <si>
    <t>0419003</t>
  </si>
  <si>
    <t>№65 от 07.06.2021</t>
  </si>
  <si>
    <t>Х-527374</t>
  </si>
  <si>
    <t>Курдюков Александр Михайлович</t>
  </si>
  <si>
    <t>Смоленская область</t>
  </si>
  <si>
    <t>ВК Промышленного района г. Смоленск</t>
  </si>
  <si>
    <t>16</t>
  </si>
  <si>
    <t>Начальник инженерной службы</t>
  </si>
  <si>
    <t>1010003</t>
  </si>
  <si>
    <t>№142 от 17.10.2022</t>
  </si>
  <si>
    <t>Х-509079</t>
  </si>
  <si>
    <t>Беззаботный Вадим Анатольевич</t>
  </si>
  <si>
    <t>отпуск</t>
  </si>
  <si>
    <t>Начальник службы радиационной, химической и биологической защиты</t>
  </si>
  <si>
    <t>1110003</t>
  </si>
  <si>
    <t>№ 249 от 21.12.2021</t>
  </si>
  <si>
    <t>Пр. БФ № 376 от 07.12.2021</t>
  </si>
  <si>
    <t>Э-931028</t>
  </si>
  <si>
    <t>Ефремов Максим Владимирович</t>
  </si>
  <si>
    <t>в/ч 06017 город Балтийск</t>
  </si>
  <si>
    <t>Начальник медицинской службы</t>
  </si>
  <si>
    <t>9010003</t>
  </si>
  <si>
    <t>к-н м/с</t>
  </si>
  <si>
    <t>ТЕХНИЧЕСКАЯ ЧАСТЬ</t>
  </si>
  <si>
    <t>Заместитель командира полка по вооружению - начальник технической части</t>
  </si>
  <si>
    <t>4201002</t>
  </si>
  <si>
    <t>Техник (по безопасности движения) - начальник контрольно-технического пункта</t>
  </si>
  <si>
    <t>849945А</t>
  </si>
  <si>
    <t>№92 от 06.05.2022</t>
  </si>
  <si>
    <t>ВЕ-380596</t>
  </si>
  <si>
    <t>Малеванов Владимир Олегович</t>
  </si>
  <si>
    <t>Начальник службы ракетно-артиллерийского вооружения</t>
  </si>
  <si>
    <t>4301003</t>
  </si>
  <si>
    <t>№177 от 10.00.2021</t>
  </si>
  <si>
    <t>Воробьева Светлана Владимировна</t>
  </si>
  <si>
    <t>БРОНЕТАНКОВАЯ СЛУЖБА</t>
  </si>
  <si>
    <t>Начальник бронетанковой службы</t>
  </si>
  <si>
    <t>4201003</t>
  </si>
  <si>
    <t>№10 от 29.12.2020</t>
  </si>
  <si>
    <t>Ф-696896</t>
  </si>
  <si>
    <t>Абулханов Тлеген Ержанович</t>
  </si>
  <si>
    <t>№192 от 10.10.2022</t>
  </si>
  <si>
    <t>Омская область</t>
  </si>
  <si>
    <t>Казах</t>
  </si>
  <si>
    <t>ВК Омской области</t>
  </si>
  <si>
    <t>АВТОМОБИЛЬНАЯ СЛУЖБА</t>
  </si>
  <si>
    <t>Начальник автомобильной службы</t>
  </si>
  <si>
    <t>5601003</t>
  </si>
  <si>
    <t>№96 от 04.07.2022</t>
  </si>
  <si>
    <t>№137 от 18.07.2022</t>
  </si>
  <si>
    <t>СУ-446830</t>
  </si>
  <si>
    <t>Гурьянов Илья Андреевич</t>
  </si>
  <si>
    <t>г. Вольск</t>
  </si>
  <si>
    <t xml:space="preserve">филиал Военной академии материально-технического обеспечения (г. Вольск, Саратовская область) </t>
  </si>
  <si>
    <t>№138 от 19.07.2022</t>
  </si>
  <si>
    <t>Маслова Светлана Михайловна</t>
  </si>
  <si>
    <t>ТЫЛ</t>
  </si>
  <si>
    <t>Заместитель командира полка по тылу - начальник тыла</t>
  </si>
  <si>
    <t>2301002</t>
  </si>
  <si>
    <t>№315 от 12.11.2020</t>
  </si>
  <si>
    <t>Э-078447</t>
  </si>
  <si>
    <t>Сердюков Дмитрий Павлович</t>
  </si>
  <si>
    <t>Волгоградская область</t>
  </si>
  <si>
    <t>ВК г. Волгоград</t>
  </si>
  <si>
    <t>2701026</t>
  </si>
  <si>
    <t>№25 от 15.02.2021</t>
  </si>
  <si>
    <t>Петченко Мария Владимировна</t>
  </si>
  <si>
    <t>СЛУЖБА ГОРЮЧЕГО И СМАЗОЧНЫХ МАТЕРИАЛОВ</t>
  </si>
  <si>
    <t>Начальник службы горючего и смазочных материалов</t>
  </si>
  <si>
    <t>2410003</t>
  </si>
  <si>
    <t>№253 от 18.03.2021</t>
  </si>
  <si>
    <t>Э-055919</t>
  </si>
  <si>
    <t>Борисов Илья Владимирович</t>
  </si>
  <si>
    <t>№199 от 19.10.2022</t>
  </si>
  <si>
    <t>Владикавказ, Алания</t>
  </si>
  <si>
    <t>ВК РСО Алания</t>
  </si>
  <si>
    <t>№116 от 24.06.2021</t>
  </si>
  <si>
    <t>ПРОДОВОЛЬСТВЕННАЯ СЛУЖБА</t>
  </si>
  <si>
    <t>Начальник продовольственной службы</t>
  </si>
  <si>
    <t>2503003</t>
  </si>
  <si>
    <t>Чорненькая Любовь Алексеевна</t>
  </si>
  <si>
    <t>ВЕЩЕВАЯ СЛУЖБА</t>
  </si>
  <si>
    <t>Начальник вещевой службы</t>
  </si>
  <si>
    <t>2504003</t>
  </si>
  <si>
    <t>№46 от 16.03.2021</t>
  </si>
  <si>
    <t>Буненкова Елена Владимировна</t>
  </si>
  <si>
    <t>Начальник группы (начальник психологической службы)</t>
  </si>
  <si>
    <t>3802013</t>
  </si>
  <si>
    <t>Высшее, военный университет Министерства обороны Российской Федерации</t>
  </si>
  <si>
    <t>№139 от 26.07.2021</t>
  </si>
  <si>
    <t>МО РФ №61 от 19.06.2021</t>
  </si>
  <si>
    <t>СУ-012717</t>
  </si>
  <si>
    <t>Яковлев Александр Аркадьевич</t>
  </si>
  <si>
    <t>Военный университет Министерства обороны Российской Федерации</t>
  </si>
  <si>
    <t>Психолог</t>
  </si>
  <si>
    <t>0303016</t>
  </si>
  <si>
    <t>№114 от 09.06.2022</t>
  </si>
  <si>
    <t>Фомичева Екатерина Сергеевна</t>
  </si>
  <si>
    <t xml:space="preserve"> 1 МОТОСТРЕЛКОВЫЙ БАТАЛЬОН</t>
  </si>
  <si>
    <t>Командир батальона</t>
  </si>
  <si>
    <t>Упр. 1 МСБ</t>
  </si>
  <si>
    <t>1 МСБ</t>
  </si>
  <si>
    <t>Заместитель командира батальона по военно-политической работе</t>
  </si>
  <si>
    <t>3801003</t>
  </si>
  <si>
    <t>Заместитель командира батальона по вооружению</t>
  </si>
  <si>
    <t>4202003</t>
  </si>
  <si>
    <t>Начальник штаба - заместитель командира батальона</t>
  </si>
  <si>
    <t>инструктор</t>
  </si>
  <si>
    <t>187119А</t>
  </si>
  <si>
    <t>1 МОТОСТРЕЛКОВАЯ РОТА</t>
  </si>
  <si>
    <t>14</t>
  </si>
  <si>
    <t>Командир роты</t>
  </si>
  <si>
    <t>1 МСР</t>
  </si>
  <si>
    <t>Заместитель командира роты по военно-политической работе</t>
  </si>
  <si>
    <t>3802003</t>
  </si>
  <si>
    <t>Старший техник</t>
  </si>
  <si>
    <t>824878А</t>
  </si>
  <si>
    <t>ст. пр-к</t>
  </si>
  <si>
    <t>Старшина</t>
  </si>
  <si>
    <t>868908А</t>
  </si>
  <si>
    <t>Фельдшер</t>
  </si>
  <si>
    <t>879962А</t>
  </si>
  <si>
    <t>Командир отделения - командир боевой машины</t>
  </si>
  <si>
    <t>121182А</t>
  </si>
  <si>
    <t>Механик - водитель</t>
  </si>
  <si>
    <t>121259А</t>
  </si>
  <si>
    <t>№ 82 от 28.04.2023</t>
  </si>
  <si>
    <t>ряд.</t>
  </si>
  <si>
    <t>Глебов Никита Сергеевич</t>
  </si>
  <si>
    <t>в/ч 38838</t>
  </si>
  <si>
    <t>2-22</t>
  </si>
  <si>
    <t>Заместитель командира боевой машины - наводчик-оператор</t>
  </si>
  <si>
    <t>121100А</t>
  </si>
  <si>
    <t>Радиотелефонист</t>
  </si>
  <si>
    <t>423641А</t>
  </si>
  <si>
    <t>№237 от 09.12.2022</t>
  </si>
  <si>
    <t>Учебная командировка</t>
  </si>
  <si>
    <t>515543А</t>
  </si>
  <si>
    <t>1 МОТОСТРЕЛКОВЫЙ ВЗВОД</t>
  </si>
  <si>
    <t>Командир взвода</t>
  </si>
  <si>
    <t>1 мотострелковое отделение</t>
  </si>
  <si>
    <t>Заместитель командира взвода - командир боевой машины</t>
  </si>
  <si>
    <t>121097А</t>
  </si>
  <si>
    <t>144</t>
  </si>
  <si>
    <t>121791А</t>
  </si>
  <si>
    <t>Старший стрелок</t>
  </si>
  <si>
    <t>100868А</t>
  </si>
  <si>
    <t>9 классов</t>
  </si>
  <si>
    <t>№235 от 07.12.2022</t>
  </si>
  <si>
    <t>№18 от 27.01.2023</t>
  </si>
  <si>
    <t>Рапорт старшины 2 МСР №204 от 27.01.2023</t>
  </si>
  <si>
    <t>Наводчик</t>
  </si>
  <si>
    <t>101281А</t>
  </si>
  <si>
    <t>Номер расчета</t>
  </si>
  <si>
    <t>101533А</t>
  </si>
  <si>
    <t>Гранатометчик</t>
  </si>
  <si>
    <t>103061А</t>
  </si>
  <si>
    <t>Стрелок</t>
  </si>
  <si>
    <t>100915А</t>
  </si>
  <si>
    <t>Стрелок - помощник гранатометчика</t>
  </si>
  <si>
    <t>2 мотострелковое отделение</t>
  </si>
  <si>
    <t>3 мотострелковое отделение</t>
  </si>
  <si>
    <t>2 МОТОСТРЕЛКОВЫЙ ВЗВОД</t>
  </si>
  <si>
    <t>Ильин Виталий Викторович</t>
  </si>
  <si>
    <t>3 МОТОСТРЕЛКОВЫЙ ВЗВОД</t>
  </si>
  <si>
    <t>2 МОТОСТРЕЛКОВАЯ РОТА</t>
  </si>
  <si>
    <t>2 МСР</t>
  </si>
  <si>
    <t>№227 от 26.11.2022</t>
  </si>
  <si>
    <t>Мурадов Дмитрий Алексеевич</t>
  </si>
  <si>
    <t>3 МОТОСТРЕЛКОВАЯ РОТА</t>
  </si>
  <si>
    <t>3 МСР</t>
  </si>
  <si>
    <t xml:space="preserve"> </t>
  </si>
  <si>
    <t>1 МИНОМЕТНАЯ БАТАРЕЯ</t>
  </si>
  <si>
    <t>Командир батареи</t>
  </si>
  <si>
    <t>0304053</t>
  </si>
  <si>
    <t>1 МБ</t>
  </si>
  <si>
    <t>1 МИНОМЕТНЫЙ ВЗВОД</t>
  </si>
  <si>
    <t>Командир взвода - старший офицер на батарее</t>
  </si>
  <si>
    <t>Заместитель командира взвода - командир миномета</t>
  </si>
  <si>
    <t>143097А</t>
  </si>
  <si>
    <t>Старший наводчик</t>
  </si>
  <si>
    <t>143803А</t>
  </si>
  <si>
    <t>Старший водитель</t>
  </si>
  <si>
    <t>837702А</t>
  </si>
  <si>
    <t>143533А</t>
  </si>
  <si>
    <t>Командир миномета</t>
  </si>
  <si>
    <t>143178А</t>
  </si>
  <si>
    <t>Водитель</t>
  </si>
  <si>
    <t>837037А</t>
  </si>
  <si>
    <t>2 МИНОМЕТНЫЙ ВЗВОД</t>
  </si>
  <si>
    <t>Мастер - номер расчета</t>
  </si>
  <si>
    <t>715244А</t>
  </si>
  <si>
    <t>русский</t>
  </si>
  <si>
    <t>Тракторн. С</t>
  </si>
  <si>
    <t>Водитель - гранатометчик</t>
  </si>
  <si>
    <t>061</t>
  </si>
  <si>
    <t>*</t>
  </si>
  <si>
    <t>ВЗВОД УПРАВЛЕНИЯ</t>
  </si>
  <si>
    <t>Старший вычислитель</t>
  </si>
  <si>
    <t>605714А</t>
  </si>
  <si>
    <t>Отделение артиллерийской разведки</t>
  </si>
  <si>
    <t>Командир отделения</t>
  </si>
  <si>
    <t>146182А</t>
  </si>
  <si>
    <t>Разведчик</t>
  </si>
  <si>
    <t>146646А</t>
  </si>
  <si>
    <t>Дальномерщик</t>
  </si>
  <si>
    <t>626067А</t>
  </si>
  <si>
    <t>Отделение связи</t>
  </si>
  <si>
    <t>Заместитель командира взвода - командир отделения</t>
  </si>
  <si>
    <t>423097А</t>
  </si>
  <si>
    <t>Старший радиотелефонист</t>
  </si>
  <si>
    <t>423842А</t>
  </si>
  <si>
    <t>1 ГРАНАТОМЕТНЫЙ ВЗВОД</t>
  </si>
  <si>
    <t>1 ГРВ</t>
  </si>
  <si>
    <t>1 гранатометное отделение</t>
  </si>
  <si>
    <t>102097А</t>
  </si>
  <si>
    <t>Старший механик - водитель</t>
  </si>
  <si>
    <t>102803А</t>
  </si>
  <si>
    <t>Чкаловск</t>
  </si>
  <si>
    <t>Наводчик - оператор</t>
  </si>
  <si>
    <t>121282А</t>
  </si>
  <si>
    <t>102533А</t>
  </si>
  <si>
    <t>2 гранатометное отделение</t>
  </si>
  <si>
    <t>102182А</t>
  </si>
  <si>
    <t>3 гранатометное отделение</t>
  </si>
  <si>
    <t>госп</t>
  </si>
  <si>
    <t>1 ВЗВОД ПТУР</t>
  </si>
  <si>
    <t>0306003</t>
  </si>
  <si>
    <t>1 ВПТУР</t>
  </si>
  <si>
    <t>1 отделение</t>
  </si>
  <si>
    <t>139182А</t>
  </si>
  <si>
    <t>Старший оператор</t>
  </si>
  <si>
    <t>139810А</t>
  </si>
  <si>
    <t>139543А</t>
  </si>
  <si>
    <t>2 отделение</t>
  </si>
  <si>
    <t>3 отделение</t>
  </si>
  <si>
    <t>1 ВЗВОД СВЯЗИ</t>
  </si>
  <si>
    <t>Начальник связи - командир взвода</t>
  </si>
  <si>
    <t>1212003</t>
  </si>
  <si>
    <t>1 ВС</t>
  </si>
  <si>
    <t>Командно-штабная машина (Р-149МА1)</t>
  </si>
  <si>
    <t>Начальник радиостанции</t>
  </si>
  <si>
    <t>420414А</t>
  </si>
  <si>
    <t>Механик - радиотелефонист</t>
  </si>
  <si>
    <t>473256А</t>
  </si>
  <si>
    <t>Радиотелеграфист</t>
  </si>
  <si>
    <t>420640А</t>
  </si>
  <si>
    <t>Водитель - электрик</t>
  </si>
  <si>
    <t>124037А</t>
  </si>
  <si>
    <t>423182А</t>
  </si>
  <si>
    <t>Механик-водитель-гранатометчик</t>
  </si>
  <si>
    <t>Телефонист - линейный надсмотрщик</t>
  </si>
  <si>
    <t>403942А</t>
  </si>
  <si>
    <t>1 МЕДИЦИНСКИЙ ВЗВОД</t>
  </si>
  <si>
    <t>Командир взвода - врач</t>
  </si>
  <si>
    <t>9003003</t>
  </si>
  <si>
    <t>ст.л-т м/с</t>
  </si>
  <si>
    <t>1 МВ</t>
  </si>
  <si>
    <t>Медицинское отделение</t>
  </si>
  <si>
    <t>878182А</t>
  </si>
  <si>
    <t>Санитарный инструктор</t>
  </si>
  <si>
    <t>878659А</t>
  </si>
  <si>
    <t xml:space="preserve">Санитар </t>
  </si>
  <si>
    <t>878658А</t>
  </si>
  <si>
    <t>Водитель - санитар</t>
  </si>
  <si>
    <t>ВЗВОД ОБЕСПЕЧЕНИЯ</t>
  </si>
  <si>
    <t>837147А</t>
  </si>
  <si>
    <t xml:space="preserve"> 1 ВО б</t>
  </si>
  <si>
    <t>Эвакуационное отделение</t>
  </si>
  <si>
    <t>824182А</t>
  </si>
  <si>
    <t>Старший мастер</t>
  </si>
  <si>
    <t>824774А</t>
  </si>
  <si>
    <t>Механик - водитель - крановщик</t>
  </si>
  <si>
    <t>Отделение технического обслуживания</t>
  </si>
  <si>
    <t>Командир отделения - старший мастер (по топливной аппаратуре)</t>
  </si>
  <si>
    <t>851182А</t>
  </si>
  <si>
    <t>855786А</t>
  </si>
  <si>
    <t>Водитель - вулканизаторщик</t>
  </si>
  <si>
    <t>1 Автомобильное отделение</t>
  </si>
  <si>
    <t>837182А</t>
  </si>
  <si>
    <t>Водитель - радиотелефонист</t>
  </si>
  <si>
    <t>2 Автомобильное отделение</t>
  </si>
  <si>
    <t>Водитель - заправщик</t>
  </si>
  <si>
    <t>846037А</t>
  </si>
  <si>
    <t>Хозяйственное отделение</t>
  </si>
  <si>
    <t>869182А</t>
  </si>
  <si>
    <t>Старший повар</t>
  </si>
  <si>
    <t>869827А</t>
  </si>
  <si>
    <t>Повар</t>
  </si>
  <si>
    <t>869569А</t>
  </si>
  <si>
    <t>Пекарь</t>
  </si>
  <si>
    <t>870557А</t>
  </si>
  <si>
    <t>2 МОТОСТРЕЛКОВЫЙ БАТАЛЬОН</t>
  </si>
  <si>
    <t>Упр. 2 МСБ</t>
  </si>
  <si>
    <t>2 МСБ</t>
  </si>
  <si>
    <t>Инструктор</t>
  </si>
  <si>
    <t>4 МОТОСТРЕЛКОВАЯ РОТА</t>
  </si>
  <si>
    <t>4 МСР</t>
  </si>
  <si>
    <t>в/ч 71717</t>
  </si>
  <si>
    <t>Такелажные работы</t>
  </si>
  <si>
    <t>№129 от 04.07.2022</t>
  </si>
  <si>
    <t>в/ч 77165</t>
  </si>
  <si>
    <t>полигон</t>
  </si>
  <si>
    <t>Барсуковка</t>
  </si>
  <si>
    <t>07.07.2023</t>
  </si>
  <si>
    <t>B</t>
  </si>
  <si>
    <t>наряд</t>
  </si>
  <si>
    <t>5 МОТОСТРЕЛКОВАЯ РОТА</t>
  </si>
  <si>
    <t>5 МСР</t>
  </si>
  <si>
    <t>Служебная командировка</t>
  </si>
  <si>
    <t>6 МОТОСТРЕЛКОВАЯ РОТА</t>
  </si>
  <si>
    <t>6 МСР</t>
  </si>
  <si>
    <t>2 МИНОМЕТНАЯ БАТАРЕЯ</t>
  </si>
  <si>
    <t>2 МБ</t>
  </si>
  <si>
    <t>C</t>
  </si>
  <si>
    <t>2 ГРВ</t>
  </si>
  <si>
    <t>Дагестанец</t>
  </si>
  <si>
    <t>2 ВЗВОД ПТУР</t>
  </si>
  <si>
    <t>2 ВЗВОД СВЯЗИ</t>
  </si>
  <si>
    <t>2 ВС</t>
  </si>
  <si>
    <t>2 МЕДИЦИНСКИЙ ВЗВОД</t>
  </si>
  <si>
    <t>2 МВ</t>
  </si>
  <si>
    <t>2 ВЗВОД ОБЕСПЕЧЕНИЯ</t>
  </si>
  <si>
    <t>2 ВО б</t>
  </si>
  <si>
    <t xml:space="preserve"> 3 МОТОСТРЕЛКОВЫЙ БАТАЛЬОН</t>
  </si>
  <si>
    <t>Упр. 3 МСБ</t>
  </si>
  <si>
    <t>3 МСБ</t>
  </si>
  <si>
    <t>7 МОТОСТРЕЛКОВАЯ РОТА</t>
  </si>
  <si>
    <t>7 МСР</t>
  </si>
  <si>
    <t>8 МОТОСТРЕЛКОВАЯ РОТА</t>
  </si>
  <si>
    <t>8 МСР</t>
  </si>
  <si>
    <t>9 МСР</t>
  </si>
  <si>
    <t>3 МИНОМЕТНАЯ БАТАРЕЯ</t>
  </si>
  <si>
    <t>3 МБ</t>
  </si>
  <si>
    <t>3 ГРВ</t>
  </si>
  <si>
    <t>3 ВЗВОД ПТУР</t>
  </si>
  <si>
    <t>ВЗВОД СВЯЗИ</t>
  </si>
  <si>
    <t xml:space="preserve">3 ВС </t>
  </si>
  <si>
    <t>3 МВ</t>
  </si>
  <si>
    <t>ТАНКОВЫЙ БАТАЛЬОН</t>
  </si>
  <si>
    <t>0211003</t>
  </si>
  <si>
    <t>Упр. ТБ</t>
  </si>
  <si>
    <t>ТБ</t>
  </si>
  <si>
    <t>Заместитель командира батальона по  военно-политической работе</t>
  </si>
  <si>
    <t xml:space="preserve">Начальник штаба - заместитель командира батальона </t>
  </si>
  <si>
    <t xml:space="preserve">инструктор </t>
  </si>
  <si>
    <t>1 ТАНКОВАЯ РОТА</t>
  </si>
  <si>
    <t>заг</t>
  </si>
  <si>
    <t>1 ТР</t>
  </si>
  <si>
    <t>Заместитель командира роты по вооружению</t>
  </si>
  <si>
    <t>9</t>
  </si>
  <si>
    <t>Командир танка</t>
  </si>
  <si>
    <t>117215А</t>
  </si>
  <si>
    <t>ст. с-т</t>
  </si>
  <si>
    <t>117790А</t>
  </si>
  <si>
    <t>1 ТАНКОВЫЙ ВЗВОД</t>
  </si>
  <si>
    <t>4</t>
  </si>
  <si>
    <t>2</t>
  </si>
  <si>
    <t>117282А</t>
  </si>
  <si>
    <t>7</t>
  </si>
  <si>
    <t>3</t>
  </si>
  <si>
    <t>117258А</t>
  </si>
  <si>
    <t>2 ТАНКОВЫЙ ВЗВОД</t>
  </si>
  <si>
    <t>10</t>
  </si>
  <si>
    <t>3 ТАНКОВЫЙ ВЗВОД</t>
  </si>
  <si>
    <t>2 ТАНКОВАЯ РОТА</t>
  </si>
  <si>
    <t>2 ТР</t>
  </si>
  <si>
    <t>3 ТАНКОВАЯ РОТА</t>
  </si>
  <si>
    <t>3 ТР</t>
  </si>
  <si>
    <t xml:space="preserve">ВС </t>
  </si>
  <si>
    <t>Старший радиотелефонист - гранатометчик</t>
  </si>
  <si>
    <t>ВО</t>
  </si>
  <si>
    <t xml:space="preserve">Старший водитель </t>
  </si>
  <si>
    <t>846702А</t>
  </si>
  <si>
    <t>Старший водитель-заправщик</t>
  </si>
  <si>
    <t>МЕДИЦИНСКИЙ ПУНКТ</t>
  </si>
  <si>
    <t>Начальник медицинского пункта - фельдшер</t>
  </si>
  <si>
    <t>879395А</t>
  </si>
  <si>
    <t>МП</t>
  </si>
  <si>
    <t xml:space="preserve"> ГАУБИЧНАЯ САМОХОДНО-АРТИЛЛЕРИЙСКАЯ БАТАРЕЯ</t>
  </si>
  <si>
    <t>0304083</t>
  </si>
  <si>
    <t>ГСАБатр</t>
  </si>
  <si>
    <t>118878А</t>
  </si>
  <si>
    <t>ШТУРМОВОЙ ОТРЯД "ШТУРМ"</t>
  </si>
  <si>
    <t>Командир отряда</t>
  </si>
  <si>
    <t/>
  </si>
  <si>
    <t>ШТУ</t>
  </si>
  <si>
    <t>Заместитель командира отряда</t>
  </si>
  <si>
    <t>Офицер (по наведению и целеуказанию)</t>
  </si>
  <si>
    <t>Разведчик (корректировщик)</t>
  </si>
  <si>
    <t>405</t>
  </si>
  <si>
    <t>МОТОСТРЕЛКОВАЯ РОТА</t>
  </si>
  <si>
    <t>мср</t>
  </si>
  <si>
    <t>ВВК</t>
  </si>
  <si>
    <t>к/с</t>
  </si>
  <si>
    <t>406</t>
  </si>
  <si>
    <t>Соколов Дмитрий Андреевич</t>
  </si>
  <si>
    <t>№81 от 22.04.2022</t>
  </si>
  <si>
    <t>МТ-219258</t>
  </si>
  <si>
    <t>Цыдыпов Болот Цыремпилович</t>
  </si>
  <si>
    <t>Бурят</t>
  </si>
  <si>
    <t>мл. с-т</t>
  </si>
  <si>
    <t>Тетерин Денис Анатольевич</t>
  </si>
  <si>
    <t>Механик-водитель</t>
  </si>
  <si>
    <t xml:space="preserve">ефр </t>
  </si>
  <si>
    <t>Мулин Александр Николаевич</t>
  </si>
  <si>
    <t>Гранатометное отделение</t>
  </si>
  <si>
    <t>грв</t>
  </si>
  <si>
    <t>Отделение противотанковых управляемых ракет</t>
  </si>
  <si>
    <t>опур</t>
  </si>
  <si>
    <t>Огнеметное отделение</t>
  </si>
  <si>
    <t>ого</t>
  </si>
  <si>
    <t>Огнеметчик</t>
  </si>
  <si>
    <t>Минометный взвод</t>
  </si>
  <si>
    <t>Воробьев Алексей Олегович</t>
  </si>
  <si>
    <t>мв</t>
  </si>
  <si>
    <t>ТАНКОВЫЙ ВЗВОД</t>
  </si>
  <si>
    <t>1 экипаж</t>
  </si>
  <si>
    <t>тв</t>
  </si>
  <si>
    <t>2 экипаж</t>
  </si>
  <si>
    <t>Березин Егор Сергеевич</t>
  </si>
  <si>
    <t>3 экипаж</t>
  </si>
  <si>
    <t>Гаубичный самоходно - артиллерийский взвод</t>
  </si>
  <si>
    <t>гсав</t>
  </si>
  <si>
    <t>Расчет (орудия)</t>
  </si>
  <si>
    <t>Заместитель командира взвода - командир орудия</t>
  </si>
  <si>
    <t>Номер расчета - гранатометчик</t>
  </si>
  <si>
    <t>Командир орудия</t>
  </si>
  <si>
    <t xml:space="preserve">Номер расчета </t>
  </si>
  <si>
    <t>Разведывательное отделение</t>
  </si>
  <si>
    <t>ро</t>
  </si>
  <si>
    <t>Старший разведчик</t>
  </si>
  <si>
    <t>Разведчик - радиотелефонист</t>
  </si>
  <si>
    <t>Разведчик - гранатометчик</t>
  </si>
  <si>
    <t>Разведчик - пулеметчик</t>
  </si>
  <si>
    <t>Разведчик - снайпер</t>
  </si>
  <si>
    <t>Инженерно - саперное отделение</t>
  </si>
  <si>
    <t>исо</t>
  </si>
  <si>
    <t>Старший сапер</t>
  </si>
  <si>
    <t>Сапер</t>
  </si>
  <si>
    <t>Командир отделения - санитар</t>
  </si>
  <si>
    <t>МедО</t>
  </si>
  <si>
    <t>1 ГАУБИЧНЫЙ САМОХОДНО-АРТИЛЛЕРИЙСКИЙ ВЗВОД</t>
  </si>
  <si>
    <t>7600</t>
  </si>
  <si>
    <t>132097А</t>
  </si>
  <si>
    <t>118790А</t>
  </si>
  <si>
    <t>132803А</t>
  </si>
  <si>
    <t>132533А</t>
  </si>
  <si>
    <t>132181А</t>
  </si>
  <si>
    <t>118258А</t>
  </si>
  <si>
    <t>10.09.2002</t>
  </si>
  <si>
    <t>ОТДЕЛЕНИЕ УПРАВЛЕНИЯ (СТАРШЕГО ОФИЦЕРА НА БАТАРЕЕ)</t>
  </si>
  <si>
    <t>Командир отделения - вычислитель</t>
  </si>
  <si>
    <t>605182А</t>
  </si>
  <si>
    <t>045</t>
  </si>
  <si>
    <t xml:space="preserve">Радиотелефонист </t>
  </si>
  <si>
    <t>Оператор - топогеодезист</t>
  </si>
  <si>
    <t>674543А</t>
  </si>
  <si>
    <t>948</t>
  </si>
  <si>
    <t>Механик - водитель - электрик</t>
  </si>
  <si>
    <t>843259А</t>
  </si>
  <si>
    <t>995</t>
  </si>
  <si>
    <t>2 ГАУБИЧНЫЙ САМОХОДНО-АРТИЛЛЕРИЙСКИЙ ВЗВОД</t>
  </si>
  <si>
    <t>181</t>
  </si>
  <si>
    <t>132182А</t>
  </si>
  <si>
    <t>714244А</t>
  </si>
  <si>
    <t>533</t>
  </si>
  <si>
    <t>ВЗВОД УПРАВЛЕНИЯ БАТАРЕИ</t>
  </si>
  <si>
    <t>ОТДЕЛЕНИЕ УПРАВЛЕНИЯ (КОМАНДИРА БАТАРЕИ)</t>
  </si>
  <si>
    <t>Командир отделения - топогеодезист</t>
  </si>
  <si>
    <t>674182А</t>
  </si>
  <si>
    <t>Старший разведчик - дальномерщик</t>
  </si>
  <si>
    <t>146847А</t>
  </si>
  <si>
    <t>067</t>
  </si>
  <si>
    <t>ОТДЕЛЕНИЕ УПРАВЛЕНИЯ</t>
  </si>
  <si>
    <t>146097А</t>
  </si>
  <si>
    <t>182</t>
  </si>
  <si>
    <t>Разведчик - дальномерщик</t>
  </si>
  <si>
    <t>626646А</t>
  </si>
  <si>
    <t>ЗЕНИТНАЯ РАКЕТНАЯ БАТАРЕЯ</t>
  </si>
  <si>
    <t>ЗРБатр</t>
  </si>
  <si>
    <t>1 ЗЕНИТНЫЙ РАКЕТНЫЙ ВЗВОД</t>
  </si>
  <si>
    <t>104097А</t>
  </si>
  <si>
    <t>Стрелок - зенитчик</t>
  </si>
  <si>
    <t>104916А</t>
  </si>
  <si>
    <t>843791А</t>
  </si>
  <si>
    <t>104182А</t>
  </si>
  <si>
    <t>2 ЗЕНИТНЫЙ РАКЕТНЫЙ ВЗВОД</t>
  </si>
  <si>
    <t>3 ЗЕНИТНЫЙ РАКЕТНЫЙ ВЗВОД (ПЗРК)</t>
  </si>
  <si>
    <t>Расчет АСУ</t>
  </si>
  <si>
    <t>Начальник расчета</t>
  </si>
  <si>
    <t>616422А</t>
  </si>
  <si>
    <t>616810А</t>
  </si>
  <si>
    <t>Оператор - радиотелефонист</t>
  </si>
  <si>
    <t>616543А</t>
  </si>
  <si>
    <t>ИНЖЕНЕРНО -  САПЕРАНЯ РОТА</t>
  </si>
  <si>
    <t>ИСР</t>
  </si>
  <si>
    <t>ст.пр-к</t>
  </si>
  <si>
    <t>ИНЖЕНЕРНО - САПЕРНЫЙ ВЗВОД</t>
  </si>
  <si>
    <t>ИСВ</t>
  </si>
  <si>
    <t>Старший сапер -  моторист</t>
  </si>
  <si>
    <t>166855А</t>
  </si>
  <si>
    <t>166662А</t>
  </si>
  <si>
    <t xml:space="preserve">Минный заградитель(гусеничный ГМЗ-3) </t>
  </si>
  <si>
    <t>Командир машины</t>
  </si>
  <si>
    <t>178177А</t>
  </si>
  <si>
    <t>178258А</t>
  </si>
  <si>
    <t xml:space="preserve">Оператор </t>
  </si>
  <si>
    <t>Отделение подвоза боеприпасов</t>
  </si>
  <si>
    <t>ИНЖЕНЕРНО - ТЕХНИЧЕСКИЙ ВЗВОД</t>
  </si>
  <si>
    <t>ИТВ</t>
  </si>
  <si>
    <t>Инженерно - позиционное отделение</t>
  </si>
  <si>
    <t>180097А</t>
  </si>
  <si>
    <t>184791А</t>
  </si>
  <si>
    <t>Командир  машины</t>
  </si>
  <si>
    <t>184994А</t>
  </si>
  <si>
    <t>180259А</t>
  </si>
  <si>
    <t>Водитель - экскаваторщик</t>
  </si>
  <si>
    <t>Водитель - крановщик</t>
  </si>
  <si>
    <t>838037А</t>
  </si>
  <si>
    <t>1 отделение механизированных мостов</t>
  </si>
  <si>
    <t>Командир отделения - механик водитель</t>
  </si>
  <si>
    <t>176182А</t>
  </si>
  <si>
    <t>176791А</t>
  </si>
  <si>
    <t>Сапер - гранатометчик</t>
  </si>
  <si>
    <t>176259А</t>
  </si>
  <si>
    <t>2 отделение механизированных мостов</t>
  </si>
  <si>
    <t>Фильтровальная станция</t>
  </si>
  <si>
    <t>Начальник фильтрованльной станции</t>
  </si>
  <si>
    <t>174486А</t>
  </si>
  <si>
    <t>Механик</t>
  </si>
  <si>
    <t>174256А</t>
  </si>
  <si>
    <t>Водитель - моторист</t>
  </si>
  <si>
    <t>1 отделение электросснабжения</t>
  </si>
  <si>
    <t>659182А</t>
  </si>
  <si>
    <t>Старший электрик - дизелист</t>
  </si>
  <si>
    <t>659899А</t>
  </si>
  <si>
    <t>Электрик - дизелист</t>
  </si>
  <si>
    <t>659995А</t>
  </si>
  <si>
    <t>2 отделение электросснабжения</t>
  </si>
  <si>
    <t>ВЗВОД РАДИАЦИОННОЙ,ХИМИЧЕСКОЙ И БИОЛОГИЧЕСКОЙ ЗАЩИТЫ</t>
  </si>
  <si>
    <t>ВРХБЗ</t>
  </si>
  <si>
    <t>Отделение радиационной и химической разведки</t>
  </si>
  <si>
    <t>187097А</t>
  </si>
  <si>
    <t>Старший химик</t>
  </si>
  <si>
    <t>187893А</t>
  </si>
  <si>
    <t>Водитель - химик</t>
  </si>
  <si>
    <t>Отделение аэрозольного противодействия</t>
  </si>
  <si>
    <t>192182А</t>
  </si>
  <si>
    <t>Химик</t>
  </si>
  <si>
    <t>192976А</t>
  </si>
  <si>
    <t>193182М</t>
  </si>
  <si>
    <t>Старший огнеметчик</t>
  </si>
  <si>
    <t>193808М</t>
  </si>
  <si>
    <t>193540М</t>
  </si>
  <si>
    <t>837037М</t>
  </si>
  <si>
    <t>РОТА УПРАВЛЕНИЯ</t>
  </si>
  <si>
    <t>РУ</t>
  </si>
  <si>
    <t xml:space="preserve">Старший техник </t>
  </si>
  <si>
    <t>778878А</t>
  </si>
  <si>
    <t>Аппаратная(МК ЗВКС)</t>
  </si>
  <si>
    <t>Начальник аппаратной - техник</t>
  </si>
  <si>
    <t>476289А</t>
  </si>
  <si>
    <t>Техник</t>
  </si>
  <si>
    <t>465945А</t>
  </si>
  <si>
    <t>465543А</t>
  </si>
  <si>
    <t>ВЗВОД УПРАВЛЕНИЯ (КП)</t>
  </si>
  <si>
    <t>Командир взвода - начальник станции</t>
  </si>
  <si>
    <t>ВУКП</t>
  </si>
  <si>
    <t>Станция спутниковой связи (Р-441-О)</t>
  </si>
  <si>
    <t>Старший механик</t>
  </si>
  <si>
    <t>465786А</t>
  </si>
  <si>
    <t>465256А</t>
  </si>
  <si>
    <t>Радиостанция (Р-166-0,5)</t>
  </si>
  <si>
    <t>427413А</t>
  </si>
  <si>
    <t>Старший радиотелеграфист</t>
  </si>
  <si>
    <t>427840А</t>
  </si>
  <si>
    <t>427640А</t>
  </si>
  <si>
    <t>Командно - штабная машина (Р-149АКШ - 1)</t>
  </si>
  <si>
    <t>1 командно - штабная машина(Р - 149МА1)</t>
  </si>
  <si>
    <t>2 командно - штабная машина(Р - 149МА1)</t>
  </si>
  <si>
    <t>3 командно - штабная машина(Р - 149МА1)</t>
  </si>
  <si>
    <t>4 командно - штабная машина(Р - 149МА1)</t>
  </si>
  <si>
    <t>Аппаратная (П-240И)</t>
  </si>
  <si>
    <t>Начальник аппаратной</t>
  </si>
  <si>
    <t>474289А</t>
  </si>
  <si>
    <t>Старший механик - телефонист</t>
  </si>
  <si>
    <t>474786А</t>
  </si>
  <si>
    <t>Механик - телефонист</t>
  </si>
  <si>
    <t>474256А</t>
  </si>
  <si>
    <t xml:space="preserve">Механик  </t>
  </si>
  <si>
    <t>461256А</t>
  </si>
  <si>
    <t>ВЗВОД УПРАВЛЕНИЯ (ВПУ)</t>
  </si>
  <si>
    <t>ВУВПУ</t>
  </si>
  <si>
    <t>Командно - штабная машина (Р-149МА1)</t>
  </si>
  <si>
    <t>Отделение (носимых средстспутниковой связи)</t>
  </si>
  <si>
    <t>Командир отделение</t>
  </si>
  <si>
    <t>465182А</t>
  </si>
  <si>
    <t>Отделение (носимых средстсвязи)</t>
  </si>
  <si>
    <t>Аппаратная (П-391П1М)</t>
  </si>
  <si>
    <t>Начальник обменного пункта</t>
  </si>
  <si>
    <t>485396А</t>
  </si>
  <si>
    <t>Водитель - экспедитор</t>
  </si>
  <si>
    <t>КОМЕНДАНСКИЙ ВЗВОД</t>
  </si>
  <si>
    <t>907147А</t>
  </si>
  <si>
    <t>КВ</t>
  </si>
  <si>
    <t>Комендантское отделение</t>
  </si>
  <si>
    <t>907097А</t>
  </si>
  <si>
    <t>907182А</t>
  </si>
  <si>
    <t>Регулировщик</t>
  </si>
  <si>
    <t>907648А</t>
  </si>
  <si>
    <t>Регулировщик - наводчик</t>
  </si>
  <si>
    <t>Регулировщик - радиотелефонист</t>
  </si>
  <si>
    <t>Водитель - регулировщик</t>
  </si>
  <si>
    <t>Автомобильное отделение</t>
  </si>
  <si>
    <t>с-т.</t>
  </si>
  <si>
    <t>Водитель-гранатометчик</t>
  </si>
  <si>
    <t>ВЗВОД УПРАВЛЕНИЯ(НАЧАЛЬНИКА АРТИЛЛЕРИИ)</t>
  </si>
  <si>
    <t>ВУНА</t>
  </si>
  <si>
    <t>Командир отделения - дальномерщик</t>
  </si>
  <si>
    <t>Оператор - разведчик</t>
  </si>
  <si>
    <t>Радиотелефонист - гранатометчик</t>
  </si>
  <si>
    <t>РЕМОНТНАЯ РОТА</t>
  </si>
  <si>
    <t>РР</t>
  </si>
  <si>
    <t>Заместитель командира роты</t>
  </si>
  <si>
    <t>РЕМОНТНЫЙ ВЗВОД (бронетанковой техники)</t>
  </si>
  <si>
    <t>824147А</t>
  </si>
  <si>
    <t>РВБТ</t>
  </si>
  <si>
    <t>824097А</t>
  </si>
  <si>
    <t>113258А</t>
  </si>
  <si>
    <t>Механик - водитель крановщик</t>
  </si>
  <si>
    <t xml:space="preserve">Мастер </t>
  </si>
  <si>
    <t>824244А</t>
  </si>
  <si>
    <t>1 ремонтное отделение(бронетанковой техники)</t>
  </si>
  <si>
    <t>826256А</t>
  </si>
  <si>
    <t>2 ремонтное отделение(бронетанковой техники)</t>
  </si>
  <si>
    <t>Отделением технического обслуживания</t>
  </si>
  <si>
    <t>РЕМОНТНЫЙ ВЗВОД (автомобильной техники)</t>
  </si>
  <si>
    <t>849147А</t>
  </si>
  <si>
    <t>РВАТ</t>
  </si>
  <si>
    <t>849182А</t>
  </si>
  <si>
    <t>849774А</t>
  </si>
  <si>
    <t>1 ремонтное отделение(автомобильной техники</t>
  </si>
  <si>
    <t>Мастер</t>
  </si>
  <si>
    <t>849244А</t>
  </si>
  <si>
    <t>851244А</t>
  </si>
  <si>
    <t>Водитель - слесарь</t>
  </si>
  <si>
    <t>2 ремонтное отделение(автомобильной техники</t>
  </si>
  <si>
    <t>Командир отделения - старший мастер ( по топливной аппаратуре)</t>
  </si>
  <si>
    <t>Слесарь - монтажинк</t>
  </si>
  <si>
    <t>849669А</t>
  </si>
  <si>
    <t>ВЗВОД СПЕЦИАЛЬНЫХ РАБОТ</t>
  </si>
  <si>
    <t>971147А</t>
  </si>
  <si>
    <t>ВСР</t>
  </si>
  <si>
    <t>Старший мастер - аккумуляторщик</t>
  </si>
  <si>
    <t>663774А</t>
  </si>
  <si>
    <t>Мастер - аккумуляторщик</t>
  </si>
  <si>
    <t>663244А</t>
  </si>
  <si>
    <t>Медник - жестянщик - кузнец</t>
  </si>
  <si>
    <t>970251А</t>
  </si>
  <si>
    <t>Сварщик</t>
  </si>
  <si>
    <t>971664А</t>
  </si>
  <si>
    <t>Компрессорщик</t>
  </si>
  <si>
    <t>982201А</t>
  </si>
  <si>
    <t>Водитель - сварщик</t>
  </si>
  <si>
    <t>Водитель - компрессорщик</t>
  </si>
  <si>
    <t>РЕМОНТЫЙ ВЗВОД(вооружения)</t>
  </si>
  <si>
    <t>714147А</t>
  </si>
  <si>
    <t>РВВ</t>
  </si>
  <si>
    <t>714097А</t>
  </si>
  <si>
    <t>715774А</t>
  </si>
  <si>
    <t>Слесарь</t>
  </si>
  <si>
    <t>969669А</t>
  </si>
  <si>
    <t>Водитель - токарь</t>
  </si>
  <si>
    <t>714182А</t>
  </si>
  <si>
    <t>663182А</t>
  </si>
  <si>
    <t>Начальник электростанции</t>
  </si>
  <si>
    <t>659491А</t>
  </si>
  <si>
    <t>Водитель - аккумаляторщик</t>
  </si>
  <si>
    <t>МЕДИЦИНСКИЙ ПУНКТ (со стационаром на 15 коек)</t>
  </si>
  <si>
    <t>Начальник пункта - врач</t>
  </si>
  <si>
    <t>ст. л-т м/с</t>
  </si>
  <si>
    <t>МП п</t>
  </si>
  <si>
    <t>Врач</t>
  </si>
  <si>
    <t>Фармацевт</t>
  </si>
  <si>
    <t>879959А</t>
  </si>
  <si>
    <t>Медицинская сестра</t>
  </si>
  <si>
    <t>879249А</t>
  </si>
  <si>
    <t>Санитар</t>
  </si>
  <si>
    <t>658</t>
  </si>
  <si>
    <t>Врач - терапевт</t>
  </si>
  <si>
    <t>0601016</t>
  </si>
  <si>
    <t>Врач - стоматолог</t>
  </si>
  <si>
    <t>0601056</t>
  </si>
  <si>
    <t>Медицинский лабораторный техник</t>
  </si>
  <si>
    <t>0601107</t>
  </si>
  <si>
    <t>Медицинская сестра палатная (постовая)</t>
  </si>
  <si>
    <t>0601097</t>
  </si>
  <si>
    <t>Санитарка</t>
  </si>
  <si>
    <t>2 комендантское отделение</t>
  </si>
  <si>
    <t>Инвертарный №:</t>
  </si>
  <si>
    <t>ДСП</t>
  </si>
  <si>
    <t>Войсковая часть:</t>
  </si>
  <si>
    <t>Развернутная строевая записка 79 МСП 10.03.2023</t>
  </si>
  <si>
    <t xml:space="preserve">Развернутая строевая записка 79 МСП </t>
  </si>
  <si>
    <t>Подразделение</t>
  </si>
  <si>
    <t>По штату</t>
  </si>
  <si>
    <t>По списку</t>
  </si>
  <si>
    <t>На лицо</t>
  </si>
  <si>
    <t>Отсутствуют</t>
  </si>
  <si>
    <t>офицеров</t>
  </si>
  <si>
    <t>прапорщиков</t>
  </si>
  <si>
    <t>сержантов</t>
  </si>
  <si>
    <t>солдат</t>
  </si>
  <si>
    <t>ВСЕГО</t>
  </si>
  <si>
    <t>сержантов и солдат</t>
  </si>
  <si>
    <t>% укомпл.</t>
  </si>
  <si>
    <t>больные</t>
  </si>
  <si>
    <t>командировка</t>
  </si>
  <si>
    <t>арест</t>
  </si>
  <si>
    <t>СОЧ</t>
  </si>
  <si>
    <t>ВСЕГО В/СЛ</t>
  </si>
  <si>
    <t>всего</t>
  </si>
  <si>
    <t>в т.ч.:</t>
  </si>
  <si>
    <t>Мед. рота</t>
  </si>
  <si>
    <t>Освобождение</t>
  </si>
  <si>
    <t>госпиталь</t>
  </si>
  <si>
    <t>Полигон Павенково</t>
  </si>
  <si>
    <t>Полигон Армейское</t>
  </si>
  <si>
    <t>Полигон Чехово</t>
  </si>
  <si>
    <t>Прохладное</t>
  </si>
  <si>
    <t xml:space="preserve">Усиление </t>
  </si>
  <si>
    <t>Другие полигоны</t>
  </si>
  <si>
    <t>боевое дежурство</t>
  </si>
  <si>
    <t>САР</t>
  </si>
  <si>
    <t>СВО</t>
  </si>
  <si>
    <t>Учеба</t>
  </si>
  <si>
    <t>Охрана объектов</t>
  </si>
  <si>
    <t>ВСО</t>
  </si>
  <si>
    <t>в/ч 41603</t>
  </si>
  <si>
    <t>В/Ч 90151</t>
  </si>
  <si>
    <t>в/ч 54129</t>
  </si>
  <si>
    <t>по контракту</t>
  </si>
  <si>
    <t>по призыву</t>
  </si>
  <si>
    <t>за 1 МСБ</t>
  </si>
  <si>
    <t>за 2 МСБ</t>
  </si>
  <si>
    <t>за 3 МСБ</t>
  </si>
  <si>
    <t>за ТБ</t>
  </si>
  <si>
    <t>Всего за 79 мсп</t>
  </si>
  <si>
    <t>Всего за ШТУ</t>
  </si>
  <si>
    <t>ЗШ</t>
  </si>
  <si>
    <t>ВСЕГО за в/ч 63940</t>
  </si>
  <si>
    <t>Мобилизованные</t>
  </si>
  <si>
    <t>2 отделение сбора и эвакуации раненых</t>
  </si>
  <si>
    <t>1 отделение сбора и эвакуации раненых</t>
  </si>
  <si>
    <t>3 отделение сбора и эвакуации раненых</t>
  </si>
  <si>
    <t>3 МЕДИЦИНСКИЙ ВЗВОД</t>
  </si>
  <si>
    <t>3 ВПТУР</t>
  </si>
  <si>
    <t>2 ВПТУР</t>
  </si>
  <si>
    <t>3 ВЗВОД ОБЕСПЕЧЕНИЯ</t>
  </si>
  <si>
    <t>3 ВО б</t>
  </si>
  <si>
    <t>1 ВЗВОД ОБЕСПЕЧЕНИЯ</t>
  </si>
  <si>
    <t>ВЗВОД ОБЕСПЕЧЕНИЯ ПОЛКА</t>
  </si>
  <si>
    <t xml:space="preserve"> ВО П</t>
  </si>
  <si>
    <t>СЛУЖБА РАКЕТНО-АРТИЛЛЕРИЙСКОГО ВООруЖЕНИЯ</t>
  </si>
  <si>
    <t>Старший механик (по электрическому и электронному оборудованию) - аккумуляторщик</t>
  </si>
  <si>
    <t>Номер расчета (заряжающий с грунта)</t>
  </si>
  <si>
    <t>Механик (по электрическому и электронному оборудованию)</t>
  </si>
  <si>
    <t>Старший механик ( по электрическому и электронному оборудованию) - аккумуляторщик</t>
  </si>
  <si>
    <t>Ремонтное отделение(артиллерийского вооружения и противотанковых ракетных комплексов</t>
  </si>
  <si>
    <t>Отделение технического обслуживания(артиллерийского и танкового вооружения)</t>
  </si>
  <si>
    <t>Тюлин Николай Михайлович</t>
  </si>
  <si>
    <t>Шаповалов Дмитрий Андреевич</t>
  </si>
  <si>
    <t>Капустин Сергей Владимирович</t>
  </si>
  <si>
    <t>Ильясов Карим Оскарович</t>
  </si>
  <si>
    <t>Высшее, Военно-технический университет при Федералньой службе специалнього строительства</t>
  </si>
  <si>
    <t>18МСД №82 от 30.07.2021</t>
  </si>
  <si>
    <t>Ю-449274</t>
  </si>
  <si>
    <t>Павленко Максим Викторович</t>
  </si>
  <si>
    <t xml:space="preserve">  </t>
  </si>
  <si>
    <t>Русский</t>
  </si>
  <si>
    <t>№103 21.02.2021</t>
  </si>
  <si>
    <t>Ю-060521</t>
  </si>
  <si>
    <t>Тихонов Иван Алексеевич</t>
  </si>
  <si>
    <t>№181 от 23.09.2022</t>
  </si>
  <si>
    <t>Телеграмма ЗГВ № 04 467 от 30 июля 2022 года</t>
  </si>
  <si>
    <t>№125 24.11.2021</t>
  </si>
  <si>
    <t>ЕХ-611616</t>
  </si>
  <si>
    <t>Шныриков Александр Сергеевич</t>
  </si>
  <si>
    <t>МО РФ №0104 от 23.07.2022</t>
  </si>
  <si>
    <t>№118 от 22.08.2022</t>
  </si>
  <si>
    <t>Абаза Павел Викторович</t>
  </si>
  <si>
    <t>№169 от 06.09.2022</t>
  </si>
  <si>
    <t>№380 26.06.2021 МО РФ</t>
  </si>
  <si>
    <t>Х-207586</t>
  </si>
  <si>
    <t>Шамрин Алексей Николаевич</t>
  </si>
  <si>
    <t>№152 25.09.2020</t>
  </si>
  <si>
    <t>ВЕ-266360</t>
  </si>
  <si>
    <t>Петченко Вячеслав Сергеевич</t>
  </si>
  <si>
    <t>№2 13.01.2022</t>
  </si>
  <si>
    <t>УК-666392</t>
  </si>
  <si>
    <t>Козин Алексей Иванович</t>
  </si>
  <si>
    <t>№20 от 30.01.2023</t>
  </si>
  <si>
    <t>Боевое распоряжение 11 АК №115/КП от 25.01.2023</t>
  </si>
  <si>
    <t>№69 28.06.2021</t>
  </si>
  <si>
    <t>ВС-087871</t>
  </si>
  <si>
    <t>Алисюк Илья Алексеевич</t>
  </si>
  <si>
    <t>№ 243 от 18.12.2022</t>
  </si>
  <si>
    <t>Телеграмма ЗГВ 04 467 от 30 июня 2022</t>
  </si>
  <si>
    <t>Маликов Иван Денисович</t>
  </si>
  <si>
    <t>№109 от 02.06.2022</t>
  </si>
  <si>
    <t>МТ-289161</t>
  </si>
  <si>
    <t>Исмагилов Руслан Мансурович</t>
  </si>
  <si>
    <t>ВК Новомосковского и Троицкого АО г. Москва</t>
  </si>
  <si>
    <t>МТ-285889</t>
  </si>
  <si>
    <t>Бабушкин Александр Александрович</t>
  </si>
  <si>
    <t>№84 от 12.06.2022</t>
  </si>
  <si>
    <t>МТ-271733</t>
  </si>
  <si>
    <t>Карпов Александр Геннадьевич</t>
  </si>
  <si>
    <t>ВК Ленинского, Канавинского районов г. Нижний Новгород</t>
  </si>
  <si>
    <t>08.07.2021</t>
  </si>
  <si>
    <t>№26 22.03.2021</t>
  </si>
  <si>
    <t>РА-446254</t>
  </si>
  <si>
    <t>Балмасов Максим Евгеньевич</t>
  </si>
  <si>
    <t>№205 от 27.10.2022</t>
  </si>
  <si>
    <t>№100 от 29.05.2023</t>
  </si>
  <si>
    <t>телеграмма НШ Нруппировки Войск НР 12/ВПУ/7996 Ш от 26.05.2023</t>
  </si>
  <si>
    <t>Кулиев Архан Анарович</t>
  </si>
  <si>
    <t>№129 01.12.2021</t>
  </si>
  <si>
    <t>ЕХ-909743</t>
  </si>
  <si>
    <t>Борунов Артем Сергеевич</t>
  </si>
  <si>
    <t>№33 от 16.02.2023</t>
  </si>
  <si>
    <t>Рапорт военнослужащего №352 от 09.02.2023</t>
  </si>
  <si>
    <t>18МСД №115 от 01.11.2021</t>
  </si>
  <si>
    <t>Х-719171</t>
  </si>
  <si>
    <t>Филиппов Денис Викторович</t>
  </si>
  <si>
    <t>№73 от 17.04.2023</t>
  </si>
  <si>
    <t>в/ч полевая почта 23944</t>
  </si>
  <si>
    <t>кодограмма ЗВО № 31/3723Ш от 16.05.2023</t>
  </si>
  <si>
    <t>МТ-514312</t>
  </si>
  <si>
    <t>Дернов Александр Германович</t>
  </si>
  <si>
    <t>ВК города Великий Устюг и Великоустюгского района Вологодской области</t>
  </si>
  <si>
    <t>№91 23.06.2020</t>
  </si>
  <si>
    <t>ВЕ-380824</t>
  </si>
  <si>
    <t>Мельников Иван Сергеевич</t>
  </si>
  <si>
    <t>№08 от 19.01.2022</t>
  </si>
  <si>
    <t>УК-707875</t>
  </si>
  <si>
    <t>Махаев Алексей Сергеевич</t>
  </si>
  <si>
    <t>Высшее, Рязанское высшее воздушно-десантное училище (военный институт)</t>
  </si>
  <si>
    <t>№185 от 22.09.2021</t>
  </si>
  <si>
    <t>18МСД №96 от 11.09.2021</t>
  </si>
  <si>
    <t>ЕХ-722553</t>
  </si>
  <si>
    <t>Пудовкин Игорь Владимирович</t>
  </si>
  <si>
    <t>в/ч 12563</t>
  </si>
  <si>
    <t>Степанец Дмитрий Александрович</t>
  </si>
  <si>
    <t>№58 27.05.2021</t>
  </si>
  <si>
    <t>УК-705728</t>
  </si>
  <si>
    <t>Максаков Николай Сергеевич</t>
  </si>
  <si>
    <t>Высшее, Новосибирскоевысшее военное командное училище</t>
  </si>
  <si>
    <t>№168 от 31.08.2021</t>
  </si>
  <si>
    <t>МО РФ №0106 от 24.07.2021</t>
  </si>
  <si>
    <t>Э-067346</t>
  </si>
  <si>
    <t>Новосибирская область</t>
  </si>
  <si>
    <t>Кулаков Сергей Евгеньевич</t>
  </si>
  <si>
    <t>№91 от 27.06.2022</t>
  </si>
  <si>
    <t>УК-658222</t>
  </si>
  <si>
    <t>Рязанов Андрей Николаевич</t>
  </si>
  <si>
    <t>№109 от 09.06.2023</t>
  </si>
  <si>
    <t>№196 от 07.10.2021</t>
  </si>
  <si>
    <t>Командующего БФ №282 от 20.10.2021</t>
  </si>
  <si>
    <t>ВЕ-380270</t>
  </si>
  <si>
    <t>Птицын Василий Викторович</t>
  </si>
  <si>
    <t>Красноярский край</t>
  </si>
  <si>
    <t>ВК города Зеленогорск Красноярского края</t>
  </si>
  <si>
    <t>№5 15.01.2021</t>
  </si>
  <si>
    <t>ВС-078578</t>
  </si>
  <si>
    <t xml:space="preserve"> с-т</t>
  </si>
  <si>
    <t>№39 30.11.2020</t>
  </si>
  <si>
    <t>Э-175885</t>
  </si>
  <si>
    <t>Кижайкин Никита Александрович</t>
  </si>
  <si>
    <t>Приказ 18 МСД от 15.12.2022 №280</t>
  </si>
  <si>
    <t>Бизин Борис Вячеславович</t>
  </si>
  <si>
    <t>Кодограмма №98/К от 21.12.2023</t>
  </si>
  <si>
    <t>Высшее, Филиал Военной академии МТО г. Вольск Саратовской обл.</t>
  </si>
  <si>
    <t>№150 от 10.08.2021</t>
  </si>
  <si>
    <t>Командующего БФ №204 от 20.07.2021</t>
  </si>
  <si>
    <t>Э-109191</t>
  </si>
  <si>
    <t>Сагдеев Дмитрий Олегович</t>
  </si>
  <si>
    <t>в/ч 00105, города Балтийск Калининградской обл.</t>
  </si>
  <si>
    <t>Аникаев Никита Павлович</t>
  </si>
  <si>
    <t>№85 от 03.08.2021</t>
  </si>
  <si>
    <t>ЕХ-910230</t>
  </si>
  <si>
    <t>Бровко Роман Иванович</t>
  </si>
  <si>
    <t>МО РФ №0140 от 23.07.2022</t>
  </si>
  <si>
    <t>Котлованов Тимур Викторович</t>
  </si>
  <si>
    <t>Борисов Кирилл Алексеевич</t>
  </si>
  <si>
    <t>№ 232 от 02.12.2022</t>
  </si>
  <si>
    <t>Телеграмма ЗГВ №04 467 от 30 июля 2022 года</t>
  </si>
  <si>
    <t xml:space="preserve"> №50 27.04.2021</t>
  </si>
  <si>
    <t>С-993352</t>
  </si>
  <si>
    <t>Колдаев Александр Олегович</t>
  </si>
  <si>
    <t>в/ч 06017</t>
  </si>
  <si>
    <t>ВЕ-425711</t>
  </si>
  <si>
    <t>Сочнев Евгений Владимирович</t>
  </si>
  <si>
    <t>25 береговая ракетная бригада</t>
  </si>
  <si>
    <t>№72 18.08.2021</t>
  </si>
  <si>
    <t>ВЕ-380626</t>
  </si>
  <si>
    <t>Костюков Михаил Владимирович</t>
  </si>
  <si>
    <t>№171 от 02.09.2021</t>
  </si>
  <si>
    <t>Э-067355</t>
  </si>
  <si>
    <t>Радомский Глеб Александрович</t>
  </si>
  <si>
    <t xml:space="preserve"> №45 23.05.2021</t>
  </si>
  <si>
    <t>С-993891</t>
  </si>
  <si>
    <t>Лебедкин Сергей Николаевич</t>
  </si>
  <si>
    <t>Рапорт военнослужащего №3210 от 20.07.2022</t>
  </si>
  <si>
    <t>№226 от 18.11.2021</t>
  </si>
  <si>
    <t>РА-324244</t>
  </si>
  <si>
    <t>Исамидинов Эльдар Решатович</t>
  </si>
  <si>
    <t>№170 от 01.09.2021</t>
  </si>
  <si>
    <t>Олейник Даниил Алексеевич</t>
  </si>
  <si>
    <t>№74 от 24.05.2022</t>
  </si>
  <si>
    <t>УК-708269</t>
  </si>
  <si>
    <t>Сорокин Алексей Владимирович</t>
  </si>
  <si>
    <t>№51 02.07.2020</t>
  </si>
  <si>
    <t>Х-657134</t>
  </si>
  <si>
    <t>Шелеметьев Сергей Геннадьевич</t>
  </si>
  <si>
    <t>№159 18.12.2020</t>
  </si>
  <si>
    <t>ВЕ-380014</t>
  </si>
  <si>
    <t>Повилайтис Альгис Римантович</t>
  </si>
  <si>
    <t>Высшее, Михайловская военная артиллерийская академия</t>
  </si>
  <si>
    <t>18МСД №79 от 26.07.2021</t>
  </si>
  <si>
    <t>ВЕ-298378</t>
  </si>
  <si>
    <t>№85 от 28.04.2022</t>
  </si>
  <si>
    <t>в/ч 41611, город Гусев</t>
  </si>
  <si>
    <t>Телеграмма № НР 11/4333 от 28 апреля 2022 года.</t>
  </si>
  <si>
    <t>УК-749157</t>
  </si>
  <si>
    <t>Денисов Дмитрий Игоревич</t>
  </si>
  <si>
    <t>№223 от 15.11.2021</t>
  </si>
  <si>
    <t>МТ-250465</t>
  </si>
  <si>
    <t>Булгаков Иван Олегович</t>
  </si>
  <si>
    <t>Никандров Вадим Анатольевич</t>
  </si>
  <si>
    <t>№126 от 07.07.2021</t>
  </si>
  <si>
    <t>Статс-секретаря зам. МО РФ №1068 от 12.10.2021</t>
  </si>
  <si>
    <t>УК-706807</t>
  </si>
  <si>
    <t>Максимчук Даниил Алексеевич</t>
  </si>
  <si>
    <t>ВК г. Советск, Неман и Славск, Неманского и Славского районов Калининградской области</t>
  </si>
  <si>
    <t>Алиев Ренат Тофикович</t>
  </si>
  <si>
    <t>№102 от 31.05.2023</t>
  </si>
  <si>
    <t>№28.05.2021</t>
  </si>
  <si>
    <t>№11 11.03.2021</t>
  </si>
  <si>
    <t>ВЕ-380470</t>
  </si>
  <si>
    <t>Жовнин Дмитрий Юрьевич</t>
  </si>
  <si>
    <t>№279 дсп от 01.12.2022</t>
  </si>
  <si>
    <t>Бородин Андрей Васильевич</t>
  </si>
  <si>
    <t>Высшее, Дальневосточное высшее обшейвойсковое командное училище</t>
  </si>
  <si>
    <t>МТ-219145</t>
  </si>
  <si>
    <t>Малых Юрий Олегович</t>
  </si>
  <si>
    <t>№68 06.08.2021</t>
  </si>
  <si>
    <t>ВЕ-380568</t>
  </si>
  <si>
    <t>Жихарко Дмитрий Николаевич</t>
  </si>
  <si>
    <t>Лапин Вадим Дмитриевич</t>
  </si>
  <si>
    <t>Горелов Илья Александрович</t>
  </si>
  <si>
    <t>№96 24.10.2020</t>
  </si>
  <si>
    <t>ЕХ-978063</t>
  </si>
  <si>
    <t>№98 от 08.07.2022</t>
  </si>
  <si>
    <t>РА-142958</t>
  </si>
  <si>
    <t>Чаевцев Михаил Михайлович</t>
  </si>
  <si>
    <t>г. Санкт-Петербург</t>
  </si>
  <si>
    <t>«Санкт-Петербургский государственный университет телекоммуникаци им. проф. М. А. Бонч-Бруевича»</t>
  </si>
  <si>
    <t>ВЕ-380751</t>
  </si>
  <si>
    <t>Секретарюк Андрей Александрович</t>
  </si>
  <si>
    <t>Статс-секретаря зам. МО РФ №1049 от 07.10.2021</t>
  </si>
  <si>
    <t>УК-706809</t>
  </si>
  <si>
    <t>Муратов Никита Вадимович</t>
  </si>
  <si>
    <t>№23 от 09.02.2022</t>
  </si>
  <si>
    <t>№30 от 18.02.2022</t>
  </si>
  <si>
    <t>УК-706471</t>
  </si>
  <si>
    <t>Рындов Артем Владиславович</t>
  </si>
  <si>
    <t>№88 03.07.2021</t>
  </si>
  <si>
    <t>ВЕ-269897</t>
  </si>
  <si>
    <t>Белобородов Юрий Васильевич</t>
  </si>
  <si>
    <t>МТ-516523</t>
  </si>
  <si>
    <t>Михайлов Дмитрий Вячеславович</t>
  </si>
  <si>
    <t>№8 от 13.01.2023</t>
  </si>
  <si>
    <t>Рапорт ВрИО командира сводной роты №89 от 13.01.2023</t>
  </si>
  <si>
    <t>ВК г. Вязьма, Вяземского и Угранского районов Смоленской обл.</t>
  </si>
  <si>
    <t>№145 от 03.08.2021</t>
  </si>
  <si>
    <t>18МСД №69 от 28.06.2021</t>
  </si>
  <si>
    <t>ВЕ-281686</t>
  </si>
  <si>
    <t>Вараксин Владимир Андреевич</t>
  </si>
  <si>
    <t>в/ч 38838 город Гусев Калиннградской области</t>
  </si>
  <si>
    <t>Светлов Александр Сергеевич</t>
  </si>
  <si>
    <t>№2 от 01.12.2020</t>
  </si>
  <si>
    <t>Статс-секретаря зам. МО РФ №466 от 11.05.2021</t>
  </si>
  <si>
    <t>УК-705343</t>
  </si>
  <si>
    <t>Савицкий Владислав Валентинович</t>
  </si>
  <si>
    <t>Юнолайнен Андрей Сергеевич</t>
  </si>
  <si>
    <t>№94 17.10.2020</t>
  </si>
  <si>
    <t>Х-715285</t>
  </si>
  <si>
    <t>№58 24.07.2020</t>
  </si>
  <si>
    <t>Х-707142</t>
  </si>
  <si>
    <t>Бартеньев Сергей Викторович</t>
  </si>
  <si>
    <t>№39 03.02.2022</t>
  </si>
  <si>
    <t>город Лиски, Воронежская область</t>
  </si>
  <si>
    <t>№12 15.10.2020</t>
  </si>
  <si>
    <t>ЕХ-846587</t>
  </si>
  <si>
    <t>Катников Иван Александрович</t>
  </si>
  <si>
    <t>№3 16.01.2021</t>
  </si>
  <si>
    <t>ЕХ-737114</t>
  </si>
  <si>
    <t>Иванченов Андрей Дмитриевич</t>
  </si>
  <si>
    <t>№49 от 17.03.2022</t>
  </si>
  <si>
    <t>УК-842045</t>
  </si>
  <si>
    <t>Юдин Андрей Дмитриевич</t>
  </si>
  <si>
    <t>№664 01.09.2020</t>
  </si>
  <si>
    <t>РА-195283</t>
  </si>
  <si>
    <t>Кузякин Григорий Михайлович</t>
  </si>
  <si>
    <t>№131 17.12.2021</t>
  </si>
  <si>
    <t>ЕХ-677744</t>
  </si>
  <si>
    <t>Силевич Максим Игоревич</t>
  </si>
  <si>
    <t>№ 245 от 15.12.2021</t>
  </si>
  <si>
    <t>МТ-151973</t>
  </si>
  <si>
    <t>Анкаугье Роман Дмитриевич</t>
  </si>
  <si>
    <t>с. Сиреники Провиденского района Чуктоского Автономного округа</t>
  </si>
  <si>
    <t>Чукча</t>
  </si>
  <si>
    <t>30632-Б</t>
  </si>
  <si>
    <t>Х-720808</t>
  </si>
  <si>
    <t>Летягин Павел Александрович</t>
  </si>
  <si>
    <t>№1 от 04.01.2023</t>
  </si>
  <si>
    <t>№691 30.09.2020 МО РФ</t>
  </si>
  <si>
    <t>МТ-128170</t>
  </si>
  <si>
    <t>Маланов Баян-Мунко Баясхаланович</t>
  </si>
  <si>
    <t>МТ-098958</t>
  </si>
  <si>
    <t>Андреев Александр Дмитриевич</t>
  </si>
  <si>
    <t>№86 18.09.2021</t>
  </si>
  <si>
    <t>ЕХ-981728</t>
  </si>
  <si>
    <t>18МСД №67 от 23.06.2021</t>
  </si>
  <si>
    <t>ВЕ-293207</t>
  </si>
  <si>
    <t>Филиппов Александр Валерьевич</t>
  </si>
  <si>
    <t>Хазиахметов Данис Равилевич</t>
  </si>
  <si>
    <t>№900 23.11.2020 МО РФ</t>
  </si>
  <si>
    <t>Э-049865</t>
  </si>
  <si>
    <t>Ульяхметов Владимир Сергеевич</t>
  </si>
  <si>
    <t>№103 от 01.06.2023</t>
  </si>
  <si>
    <t>№104 08.07.2020</t>
  </si>
  <si>
    <t>ЕХ-911175</t>
  </si>
  <si>
    <t>Хрулев Савва Викторович</t>
  </si>
  <si>
    <t>Переподготовка</t>
  </si>
  <si>
    <t>Шишков Сергей Александрович</t>
  </si>
  <si>
    <t>№7 от 04.02.2021</t>
  </si>
  <si>
    <t>Х-155657</t>
  </si>
  <si>
    <t>Соловьев Павел Сергеевич</t>
  </si>
  <si>
    <t>ЕХ-680757</t>
  </si>
  <si>
    <t>Дебков Александр Сергеевич</t>
  </si>
  <si>
    <t>МТ-476109</t>
  </si>
  <si>
    <t>не пришло</t>
  </si>
  <si>
    <t>Смоловский Андрей Викторович</t>
  </si>
  <si>
    <t>№82 17.09.2020</t>
  </si>
  <si>
    <t>ВЕ-380316</t>
  </si>
  <si>
    <t>Елисеев Арсений Юрьевич</t>
  </si>
  <si>
    <t>Галимов Айрат Ильгизович</t>
  </si>
  <si>
    <t>№141 от 28.07.2021</t>
  </si>
  <si>
    <t>18МСД №72 от 02.07.2021</t>
  </si>
  <si>
    <t>Х-570791</t>
  </si>
  <si>
    <t>Швачко Антон Андреевич</t>
  </si>
  <si>
    <t>Дубковский Евгений Викторович</t>
  </si>
  <si>
    <t>СУ-188367</t>
  </si>
  <si>
    <t>Беляев Станислав Викторович</t>
  </si>
  <si>
    <t>Высоцкий Евгений Валерьевич</t>
  </si>
  <si>
    <t>№92 27.08.2021</t>
  </si>
  <si>
    <t>УК-560751</t>
  </si>
  <si>
    <t>Кочетков Роман Николаевич</t>
  </si>
  <si>
    <t>№87 от 07.06.2022</t>
  </si>
  <si>
    <t>МТ-497699</t>
  </si>
  <si>
    <t>г. Смоленск</t>
  </si>
  <si>
    <t>Военную академию войсковой противовоздушной обороны (г. Смоленск)</t>
  </si>
  <si>
    <t>Шидловский Матвей Анатольевич</t>
  </si>
  <si>
    <t>Орешков Николай Игоревич</t>
  </si>
  <si>
    <t>№173 11.11.2020</t>
  </si>
  <si>
    <t>МТ-098580</t>
  </si>
  <si>
    <t>Ежов Игорь Владимирович</t>
  </si>
  <si>
    <t>Т-348072</t>
  </si>
  <si>
    <t>Королев Данила Александрович</t>
  </si>
  <si>
    <t>ВК г. Калининград Калининградской области, в/ч 88730</t>
  </si>
  <si>
    <t>№ 247 от 17.12.2021</t>
  </si>
  <si>
    <t>№ 12 от 25.01.2022</t>
  </si>
  <si>
    <t>УК-707528</t>
  </si>
  <si>
    <t>Лебедев Андрей Сергеевич</t>
  </si>
  <si>
    <t>№58 24.07.2019</t>
  </si>
  <si>
    <t>ЕХ-911124</t>
  </si>
  <si>
    <t>Ерохин Алексей Юрьевич</t>
  </si>
  <si>
    <t>№ 242 от 10.12.2021</t>
  </si>
  <si>
    <t>№ 243 от 13.12.2021</t>
  </si>
  <si>
    <t>УК-755346</t>
  </si>
  <si>
    <t>Смирнов Максим Александрович</t>
  </si>
  <si>
    <t>МТ-272596</t>
  </si>
  <si>
    <t>Сысоров Александр Викторович</t>
  </si>
  <si>
    <t>Нижегородская область</t>
  </si>
  <si>
    <t>ВК Сеченского р-на, Нижегородской области</t>
  </si>
  <si>
    <t>МТ-260464</t>
  </si>
  <si>
    <t>Курдюков Денис Алексеевич</t>
  </si>
  <si>
    <t>ВК Калининградской обл. по г. Калининград</t>
  </si>
  <si>
    <t>МТ-272997</t>
  </si>
  <si>
    <t>Комаров Антон Михайлович</t>
  </si>
  <si>
    <t>ВК Сормовского и Московского районов, г. Нижний Новгород.</t>
  </si>
  <si>
    <t>МТ-272597</t>
  </si>
  <si>
    <t>Тимохин Артем Владимирович</t>
  </si>
  <si>
    <t>МТ-272995</t>
  </si>
  <si>
    <t>Камцев Владимир Александрович</t>
  </si>
  <si>
    <t>Орловская область</t>
  </si>
  <si>
    <t>ВК Кромского и Троснянского районов Орловской области</t>
  </si>
  <si>
    <t>№136 01.03.2020</t>
  </si>
  <si>
    <t>ЕХ-540453</t>
  </si>
  <si>
    <t>Исяндавлетов Айнур Галимович</t>
  </si>
  <si>
    <t>№58 от 12.04.2023</t>
  </si>
  <si>
    <t>Клошанов Геннадий Александрович</t>
  </si>
  <si>
    <t>Черненок Александр Александрович</t>
  </si>
  <si>
    <t>№136 01.03.2021</t>
  </si>
  <si>
    <t>РА-090720</t>
  </si>
  <si>
    <t>Соколов Михаил Александрович</t>
  </si>
  <si>
    <t>№124 от 05.07.2021</t>
  </si>
  <si>
    <t>№436 07.07.2020</t>
  </si>
  <si>
    <t>ВС-492369</t>
  </si>
  <si>
    <t>Раденко Константин Васильевич</t>
  </si>
  <si>
    <t>№44 17.03.2022</t>
  </si>
  <si>
    <t>УК-705221</t>
  </si>
  <si>
    <t>Рыбаков Михаил Михайлович</t>
  </si>
  <si>
    <t>№4 18.12.2020</t>
  </si>
  <si>
    <t>ЕХ-909372</t>
  </si>
  <si>
    <t>Винников Иван Владимирович</t>
  </si>
  <si>
    <t>Х-717763</t>
  </si>
  <si>
    <t>Лось Иван Николаевич</t>
  </si>
  <si>
    <t>Телеграмма ЗГВ №04 467 от 30.07.2022</t>
  </si>
  <si>
    <t>№187 от 24.09.2021</t>
  </si>
  <si>
    <t>МТ-258225</t>
  </si>
  <si>
    <t>Андрушевский Руслан Витальевич</t>
  </si>
  <si>
    <t>Воронежская область</t>
  </si>
  <si>
    <t>в/ч 88730</t>
  </si>
  <si>
    <t>№77 02.09.2020</t>
  </si>
  <si>
    <t>ВЕ-380646</t>
  </si>
  <si>
    <t>Тахватулин Александр Валерьевич</t>
  </si>
  <si>
    <t>УК-706544</t>
  </si>
  <si>
    <t>Бондарь Вальдемар</t>
  </si>
  <si>
    <t>ВК г. Гусев, Краснознаменск, и Нестеров, Гусевскому, Краснознаменскому и Нестеровскому районам Калининградской области</t>
  </si>
  <si>
    <t>№233 от 29.11.2021</t>
  </si>
  <si>
    <t>УК-733988</t>
  </si>
  <si>
    <t>Корнейчук Павел Алексеевич</t>
  </si>
  <si>
    <t>ВК Московского и Железнодорожного районов г. Рязань Рязанской области</t>
  </si>
  <si>
    <t>30616-4</t>
  </si>
  <si>
    <t>Ф-980186</t>
  </si>
  <si>
    <t>Маканин Вадим Викторович</t>
  </si>
  <si>
    <t>Телеграмма № 12/ВПУ/318Ш</t>
  </si>
  <si>
    <t>№9 от 20.01.2021</t>
  </si>
  <si>
    <t>№184 от 21.09.2021</t>
  </si>
  <si>
    <t>УК-705900</t>
  </si>
  <si>
    <t>Бойчак Владимир Андреевич</t>
  </si>
  <si>
    <t>в/ч 88771</t>
  </si>
  <si>
    <t>ЗВО №673ДСП от 11.10.2022</t>
  </si>
  <si>
    <t>Ю-385637</t>
  </si>
  <si>
    <t>Пономарев Максим Викторович</t>
  </si>
  <si>
    <t>№59 24.07.2021</t>
  </si>
  <si>
    <t>Х-375593</t>
  </si>
  <si>
    <t>Эфендиев Таджидин Темурланович</t>
  </si>
  <si>
    <t>ВЕ-269750</t>
  </si>
  <si>
    <t>Сухарев Илья Владимирович</t>
  </si>
  <si>
    <t>№224 от 16.11.2021</t>
  </si>
  <si>
    <t>МТ-251425</t>
  </si>
  <si>
    <t>Николаев Александр Алексеевич</t>
  </si>
  <si>
    <t>Тверская область</t>
  </si>
  <si>
    <t>ВК Калининского района Тверской области</t>
  </si>
  <si>
    <t>№218 от 08.11.2021</t>
  </si>
  <si>
    <t>Командующего ЗВО №373 от 17.08.2021</t>
  </si>
  <si>
    <t>Ф-252628</t>
  </si>
  <si>
    <t>Тамбовцева Елена Викторовна</t>
  </si>
  <si>
    <t>в/ч 12721</t>
  </si>
  <si>
    <t>№142 от 02.08.2021</t>
  </si>
  <si>
    <t>УК-706604</t>
  </si>
  <si>
    <t>ВК Зеленоградского района, г. Пионерский и Светлогорск Калининградской области</t>
  </si>
  <si>
    <t>Руденко Светлана Петровна</t>
  </si>
  <si>
    <t>Гурьянова Алина Андреевна</t>
  </si>
  <si>
    <t>Русская</t>
  </si>
  <si>
    <t>Всего за в/ч 63940</t>
  </si>
  <si>
    <t>№108 от 08.06.2023</t>
  </si>
  <si>
    <t>№661 01.09.2020</t>
  </si>
  <si>
    <t>ЕХ-877825</t>
  </si>
  <si>
    <t>РА-045422</t>
  </si>
  <si>
    <t>1-23</t>
  </si>
  <si>
    <t>Ачилов Тимур Сергеевич</t>
  </si>
  <si>
    <t>Борисов Артем Сергеевич</t>
  </si>
  <si>
    <t>Голубин Роман Юрьевич</t>
  </si>
  <si>
    <t>Грабко Николай Сергеевич</t>
  </si>
  <si>
    <t>Громов Данила Николаевич</t>
  </si>
  <si>
    <t>Зубатов Игорь Денисович</t>
  </si>
  <si>
    <t>Петров Дмитрий Сергеевич</t>
  </si>
  <si>
    <t>Пустовалов Кирилл Владимирович</t>
  </si>
  <si>
    <t>Пученков Артем Дмитриевич</t>
  </si>
  <si>
    <t>Смирнов Илья Алексеевич</t>
  </si>
  <si>
    <t>Федоров Максим Константинович</t>
  </si>
  <si>
    <t>Шевченко Матвей Артемович</t>
  </si>
  <si>
    <t>Шестак Даниил Юрьевич</t>
  </si>
  <si>
    <t>Шкурко Владимир Вячеславович</t>
  </si>
  <si>
    <t>Бойков Артем Александрович</t>
  </si>
  <si>
    <t>Лихачев Илья Евгеньевич</t>
  </si>
  <si>
    <t>Лукошкин Алексей Александрович</t>
  </si>
  <si>
    <t>Сукачев Олег Борисович</t>
  </si>
  <si>
    <t>Филякин Егор Антонович</t>
  </si>
  <si>
    <t>Бартдинский Максим Дмитриевич</t>
  </si>
  <si>
    <t>Батиров Мухаммад-али Дилшодбекович</t>
  </si>
  <si>
    <t>Боровских Матвей Алексеевич</t>
  </si>
  <si>
    <t>Веричев Владислав Сергеевич</t>
  </si>
  <si>
    <t>Корнилов Владислав Максимович</t>
  </si>
  <si>
    <t>Порунов Сергей Владимирович</t>
  </si>
  <si>
    <t>Потрашков Владислав Андреевич</t>
  </si>
  <si>
    <t>Сигаев Сергей Сергеевич</t>
  </si>
  <si>
    <t>Алферов Данила Александрович</t>
  </si>
  <si>
    <t>Емельянов Артем Романович</t>
  </si>
  <si>
    <t>Пантюхин Максим Денисович</t>
  </si>
  <si>
    <t>Т-90 А</t>
  </si>
  <si>
    <t>Б1 11 0383 7</t>
  </si>
  <si>
    <t>2С3</t>
  </si>
  <si>
    <t>БТР - 60</t>
  </si>
  <si>
    <t>Васюра Сергей Владимирович</t>
  </si>
  <si>
    <t>Веденистов Алексей Олегович</t>
  </si>
  <si>
    <t>Карпов Вячеслав Викторович</t>
  </si>
  <si>
    <t>Кудряшов Алексей Дмитриевич</t>
  </si>
  <si>
    <t>№132 22.08.2020</t>
  </si>
  <si>
    <t>МТ-451139</t>
  </si>
  <si>
    <t>Кислицын Илья Ильич</t>
  </si>
  <si>
    <t>Воробьев Никита Сергеевич</t>
  </si>
  <si>
    <t>2 ГРАНАТОМЕТНЫЙ ВЗВОД</t>
  </si>
  <si>
    <t>3 ГРАНАТОМЕТНЫЙ ВЗВОД</t>
  </si>
  <si>
    <t>Прудкий Никита Сергеевич</t>
  </si>
  <si>
    <t>3 ВЗВОД СВЯЗИ</t>
  </si>
  <si>
    <t>Кинзерский Андрей Игоревич</t>
  </si>
  <si>
    <t>Глебов Никита Михайлович</t>
  </si>
  <si>
    <t>Горячев Максим Денисович</t>
  </si>
  <si>
    <t>Максимов Дмитрий Анатольевич</t>
  </si>
  <si>
    <t>Шайхлисламов Ришат Науфальевич</t>
  </si>
  <si>
    <t>Смолянинов Алексей Андреевич</t>
  </si>
  <si>
    <t>Дёмин Георгий Викторович</t>
  </si>
  <si>
    <t>Лобачёв Анатолий Сергеевич</t>
  </si>
  <si>
    <t>Воскобоев Иван Александрович</t>
  </si>
  <si>
    <t>Николаев Сергей Александрович</t>
  </si>
  <si>
    <t>Соснин Фёдор Васильевич</t>
  </si>
  <si>
    <t>Рапорт военнослужащего №1291 от 14.06.2023</t>
  </si>
  <si>
    <t>№111 от 14.06.2023</t>
  </si>
  <si>
    <t>моб</t>
  </si>
  <si>
    <t>Васильев Алексей Константинович</t>
  </si>
  <si>
    <t>Петряков Александр Александрович</t>
  </si>
  <si>
    <t>ВК Гурьевского района Калининградской области</t>
  </si>
  <si>
    <t>№114 от 19.06.2023</t>
  </si>
  <si>
    <t>Телеграмма ЗГВ 04 467 от 30.06.2022</t>
  </si>
  <si>
    <t>Ефанов Дмитрий Анатольевич</t>
  </si>
  <si>
    <t>№75 28.08.2021</t>
  </si>
  <si>
    <t>ВЕ-380640</t>
  </si>
  <si>
    <t>Милюс Эдуард Римантович</t>
  </si>
  <si>
    <t>Охрана гос. Границы</t>
  </si>
  <si>
    <t>Упр. ШТУ</t>
  </si>
  <si>
    <t>Тамбовцев Николай Николаевич</t>
  </si>
  <si>
    <t>№24 дсп от 20.06.2023</t>
  </si>
  <si>
    <t>Х-224297</t>
  </si>
  <si>
    <t>УК-708576</t>
  </si>
  <si>
    <t>Бушкин Дмитрий Николаевич</t>
  </si>
  <si>
    <t>Макарчук Владислав Михайлович</t>
  </si>
  <si>
    <t>Ю-332333</t>
  </si>
  <si>
    <t>№118 от 23.06.2023</t>
  </si>
  <si>
    <t>Семенов Максим Станиславович</t>
  </si>
  <si>
    <t>№112 от 15.06.2023</t>
  </si>
  <si>
    <t>Мухамеджанов Руслан Рустамович</t>
  </si>
  <si>
    <t>Дзюбас Владимир Владиславович</t>
  </si>
  <si>
    <t>Иванов Сергей Александрович</t>
  </si>
  <si>
    <t>№158 от 17.08.2022</t>
  </si>
  <si>
    <t>Алексеев Егор Игоревич</t>
  </si>
  <si>
    <t>100915Аа</t>
  </si>
  <si>
    <t>Жидких Илья Владимирович</t>
  </si>
  <si>
    <t>Блинов Илья Андреевич</t>
  </si>
  <si>
    <t>Федоров Андрей Александрович</t>
  </si>
  <si>
    <t xml:space="preserve">Зюзин Егор  Романович </t>
  </si>
  <si>
    <t>Загорский Денис Сергеевич</t>
  </si>
  <si>
    <t>Батыров Тимур Исмоилжонович</t>
  </si>
  <si>
    <t>Вершинин Максим Алексеевич</t>
  </si>
  <si>
    <t>Байвердян Армен Акобович</t>
  </si>
  <si>
    <t>Шахов Владислав Игоревич</t>
  </si>
  <si>
    <t>Манукян Айказ Варданович</t>
  </si>
  <si>
    <t>Калужских Николай Андреевич</t>
  </si>
  <si>
    <t>Петьков Никита Владимирович</t>
  </si>
  <si>
    <t>Плеханов Данил Андреевич</t>
  </si>
  <si>
    <t>Оспельников Матвей Михайлович</t>
  </si>
  <si>
    <t>Журавлев Кирилл Алексеевич</t>
  </si>
  <si>
    <t>Кириленко Александр Игоревич</t>
  </si>
  <si>
    <t>Репшас Матвей Алексеевич</t>
  </si>
  <si>
    <t>Байвердян Арман Акобович</t>
  </si>
  <si>
    <t>Шелухин Дмитрий Викторович</t>
  </si>
  <si>
    <t>Рычков Матвей Витальевич</t>
  </si>
  <si>
    <t>Егоров Сергей Романович</t>
  </si>
  <si>
    <t>Хапов Сергей Михайлович</t>
  </si>
  <si>
    <t>Болотов Данил Юрьевич</t>
  </si>
  <si>
    <t>Бутенко Максим Иванович</t>
  </si>
  <si>
    <t>в/ч 25809</t>
  </si>
  <si>
    <t>ост. ком-ки</t>
  </si>
  <si>
    <t>№194 от 12.10.2022</t>
  </si>
  <si>
    <t>Чернышов Юрий Станиславович</t>
  </si>
  <si>
    <t>ВС-431529</t>
  </si>
  <si>
    <t>Дерябин Никита Романович</t>
  </si>
  <si>
    <t>ЕХ-921829</t>
  </si>
  <si>
    <t>№ 80 от 19.06.2023</t>
  </si>
  <si>
    <t>Распоряжение НШ группировки "Запад" №09757 от 30.06.2023</t>
  </si>
  <si>
    <t>Запека Валентин Геннадьевич</t>
  </si>
  <si>
    <t>СУ-492443</t>
  </si>
  <si>
    <t>№94 от 06.07.2023</t>
  </si>
  <si>
    <t>Башкир</t>
  </si>
  <si>
    <t>Евтушевский Олег Александрович</t>
  </si>
  <si>
    <t>РА-195273</t>
  </si>
  <si>
    <t>№90 от 05.07.2023</t>
  </si>
  <si>
    <t>Пересыпкин Юрий Геннадьевич</t>
  </si>
  <si>
    <t>АВ-204817</t>
  </si>
  <si>
    <t>№95 от 07.07.2023</t>
  </si>
  <si>
    <t>Лямасов Максим Александрович</t>
  </si>
  <si>
    <t>АВ-204819</t>
  </si>
  <si>
    <t>Шилов Сергей Аркадьевич</t>
  </si>
  <si>
    <t>АВ-204816</t>
  </si>
  <si>
    <t>Степанычев Александр Вениаминович</t>
  </si>
  <si>
    <t>АВ-204808</t>
  </si>
  <si>
    <t>Колкунов Александр Николаевич</t>
  </si>
  <si>
    <t>АВ-204813</t>
  </si>
  <si>
    <t>№93 от 07.07.2023</t>
  </si>
  <si>
    <t>АВ-200299</t>
  </si>
  <si>
    <t>Развернутая строевая записка войсковой части 63940</t>
  </si>
  <si>
    <t>на</t>
  </si>
  <si>
    <t>сержанты</t>
  </si>
  <si>
    <t>Наряд</t>
  </si>
  <si>
    <t>Командировка</t>
  </si>
  <si>
    <t>Отпуск</t>
  </si>
  <si>
    <t>ВрИО начальника штаба в/ч 63940</t>
  </si>
  <si>
    <t>Увольнение</t>
  </si>
  <si>
    <t>РА-496522</t>
  </si>
  <si>
    <t>№ 93 от 07.07.2023</t>
  </si>
  <si>
    <t>07.07.2025</t>
  </si>
  <si>
    <t>МТ-865135</t>
  </si>
  <si>
    <t>Бурцев Ярослав Евгеньевич</t>
  </si>
  <si>
    <t>АВ-200247</t>
  </si>
  <si>
    <t>Кузьмин Игорь Станиславович</t>
  </si>
  <si>
    <t>АВ-315022</t>
  </si>
  <si>
    <t>№130 от 10.07.2023</t>
  </si>
  <si>
    <t>Сергиенко Вадим Юрьевич</t>
  </si>
  <si>
    <t>УК-708920</t>
  </si>
  <si>
    <t>Дикарев Игорь Альбертович</t>
  </si>
  <si>
    <t>АВ-204826</t>
  </si>
  <si>
    <t>АВ-204821</t>
  </si>
  <si>
    <t>Ананченко Павел Михайлович</t>
  </si>
  <si>
    <t>АВ-204818</t>
  </si>
  <si>
    <t>Антонов Вадим Викторович</t>
  </si>
  <si>
    <t>АВ-204812</t>
  </si>
  <si>
    <t>Иванов Александр Александрович</t>
  </si>
  <si>
    <t>Ф-568452</t>
  </si>
  <si>
    <t>№94 от 07.07.2023</t>
  </si>
  <si>
    <t>кодограмма НШ группировки войск"ЗАПАД" №12/ВПУ/957Ш от 22.06.2023</t>
  </si>
  <si>
    <t>Тимофеев Вячеслав Федорович</t>
  </si>
  <si>
    <t>Голубовский Андрей Михайлович</t>
  </si>
  <si>
    <t>Андаров Руслан Фанисович</t>
  </si>
  <si>
    <t>Х-133304</t>
  </si>
  <si>
    <t>№96 от 10.07.2023</t>
  </si>
  <si>
    <t>№128 от 06.07.2023</t>
  </si>
  <si>
    <t>Голынский Игорь Вячеславович</t>
  </si>
  <si>
    <t>Авдеев Владимир Евгеньевич</t>
  </si>
  <si>
    <t>МТ-824895</t>
  </si>
  <si>
    <t>Ананьев Алексей Сергеевич</t>
  </si>
  <si>
    <t>МТ-824903</t>
  </si>
  <si>
    <t>Антипов Сергей Сергеевич</t>
  </si>
  <si>
    <t>МТ-824926</t>
  </si>
  <si>
    <t>Арсеньев Сергей Михайлович</t>
  </si>
  <si>
    <t>МТ-824846</t>
  </si>
  <si>
    <t>МТ-824948</t>
  </si>
  <si>
    <t>Беловолов Сергей Иванович</t>
  </si>
  <si>
    <t>МТ-824915</t>
  </si>
  <si>
    <t>ЕХ-714532</t>
  </si>
  <si>
    <t>Волочилов Роман Николаевич</t>
  </si>
  <si>
    <t>МТ-824945</t>
  </si>
  <si>
    <t>Воротников Станислав Юрьевич</t>
  </si>
  <si>
    <t>Головинов Владимир Владимирович</t>
  </si>
  <si>
    <t>МТ-824914</t>
  </si>
  <si>
    <t>Горбатых Николай Александрович</t>
  </si>
  <si>
    <t>МТ-824944</t>
  </si>
  <si>
    <t>Гусарук Сергей Геронтиевич</t>
  </si>
  <si>
    <t>МТ-824973</t>
  </si>
  <si>
    <t>Дьячищенко Евгений Алексеевич</t>
  </si>
  <si>
    <t>МТ-824891</t>
  </si>
  <si>
    <t>Ельшин Сергей Романович</t>
  </si>
  <si>
    <t>МТ-824921</t>
  </si>
  <si>
    <t>Жириков Анатолий Николаевич</t>
  </si>
  <si>
    <t>МТ-824841</t>
  </si>
  <si>
    <t>Комаров Александр Владимирович</t>
  </si>
  <si>
    <t>МТ-824912</t>
  </si>
  <si>
    <t>Комышан Владимир Николаевич</t>
  </si>
  <si>
    <t>МТ-824974</t>
  </si>
  <si>
    <t>Крахмалев Владимир Иванович</t>
  </si>
  <si>
    <t>МТ-824972</t>
  </si>
  <si>
    <t>МТ-824913</t>
  </si>
  <si>
    <t>МТ-824968</t>
  </si>
  <si>
    <t>МТ-824946</t>
  </si>
  <si>
    <t>МТ-824969</t>
  </si>
  <si>
    <t>МТ-824922</t>
  </si>
  <si>
    <t>Нестерчук Сергей Васильевич</t>
  </si>
  <si>
    <t>МТ-824932</t>
  </si>
  <si>
    <t>Ф-317252</t>
  </si>
  <si>
    <t>МТ-824917</t>
  </si>
  <si>
    <t>Панченко Алексей Александрович</t>
  </si>
  <si>
    <t>МТ-824935</t>
  </si>
  <si>
    <t>Пашнев Юрий Васильевич</t>
  </si>
  <si>
    <t>СУ-356701</t>
  </si>
  <si>
    <t>Питинов Роман Самедович</t>
  </si>
  <si>
    <t>МТ-824893</t>
  </si>
  <si>
    <t>МТ-824916</t>
  </si>
  <si>
    <t>Попов Олег Геннадьевич</t>
  </si>
  <si>
    <t>ВЕ-345883</t>
  </si>
  <si>
    <t>Рогозин Евгений Сергеевич</t>
  </si>
  <si>
    <t>МТ-824931</t>
  </si>
  <si>
    <t>Суворов Николай Васильевич</t>
  </si>
  <si>
    <t>МТ-824898</t>
  </si>
  <si>
    <t>МТ-824970</t>
  </si>
  <si>
    <t>Трегубенко Сергей Николаевич</t>
  </si>
  <si>
    <t>МТ-824977</t>
  </si>
  <si>
    <t>Трефилов Александр Николаевич</t>
  </si>
  <si>
    <t>СУ-358006</t>
  </si>
  <si>
    <t>Чернобровкин Александр Вячеславович</t>
  </si>
  <si>
    <t>МТ-824920</t>
  </si>
  <si>
    <t>Чертов Константин Дмитриевич</t>
  </si>
  <si>
    <t>СУ-362201</t>
  </si>
  <si>
    <t>Чехунов Евгений Юрьевич</t>
  </si>
  <si>
    <t>Ю-741068</t>
  </si>
  <si>
    <t>Шатиров Андрей Шарафидинович</t>
  </si>
  <si>
    <t>Юнатов Константин Павлович</t>
  </si>
  <si>
    <t>Алекна Виктор Андреевич</t>
  </si>
  <si>
    <t>Ахмедов Тимур Александрович</t>
  </si>
  <si>
    <t>Баделин Илья Александрович</t>
  </si>
  <si>
    <t>Бодрый Максим Олегович</t>
  </si>
  <si>
    <t>Буслов Владимир Андреевич</t>
  </si>
  <si>
    <t>Ватулко Николай Константинович</t>
  </si>
  <si>
    <t>Волков Виталий Денисович</t>
  </si>
  <si>
    <t>Гарибов Манучехр Файзмахмадович</t>
  </si>
  <si>
    <t>Герцен Рафаэль Алексеевич</t>
  </si>
  <si>
    <t>Громыко Даниил Анатольевич</t>
  </si>
  <si>
    <t>Губанов Кирилл Вусалович</t>
  </si>
  <si>
    <t>Деньгин Артем Павлович</t>
  </si>
  <si>
    <t>Дерябин Эдуард Евгеньевич</t>
  </si>
  <si>
    <t>Дмитриенко Александр Михайлович</t>
  </si>
  <si>
    <t>Думаревский Вадим Романович</t>
  </si>
  <si>
    <t>Егоров Иван Евгеньевич</t>
  </si>
  <si>
    <t>Жуков Денис Сергеевич</t>
  </si>
  <si>
    <t>Захаров Иван Дмитриевич</t>
  </si>
  <si>
    <t>Казак Владислав Вениаминович</t>
  </si>
  <si>
    <t>Кожемяко Никита Васильевич</t>
  </si>
  <si>
    <t>Кондратьев Дмитрий Андреевич</t>
  </si>
  <si>
    <t>Костичев Владимир Андреевич</t>
  </si>
  <si>
    <t>Крылов Кирилл Сергеевич</t>
  </si>
  <si>
    <t>Кудрявцев Дмитрий Андреевич</t>
  </si>
  <si>
    <t>Кузьменко Артём Александрович</t>
  </si>
  <si>
    <t>Кулешов Владислав Владимирович</t>
  </si>
  <si>
    <t>Лукьянов Даниил Алексеевич</t>
  </si>
  <si>
    <t>Матюхин Станислав Валентинович</t>
  </si>
  <si>
    <t>Нелидов Данил Алексеевич</t>
  </si>
  <si>
    <t>Новиков Даниил Михайлович</t>
  </si>
  <si>
    <t>Петрухин Александр Владимирович</t>
  </si>
  <si>
    <t>Пешко Павел Дмитриевич</t>
  </si>
  <si>
    <t>Примаченко Матвей евгеньевич</t>
  </si>
  <si>
    <t>Рубцов Данила Андреевич</t>
  </si>
  <si>
    <t>Саакян Грачья Левонович</t>
  </si>
  <si>
    <t>Сапронов Михаил Алексеевич</t>
  </si>
  <si>
    <t>Симонов Степан Александрович</t>
  </si>
  <si>
    <t>Третьяков Павел Павлович</t>
  </si>
  <si>
    <t>Умаров Соледжон Фаррухович</t>
  </si>
  <si>
    <t>Холкин Илья Александрович</t>
  </si>
  <si>
    <t>Чернецов Кирилл Игоревич</t>
  </si>
  <si>
    <t>Чигинцев Олег Игоревич</t>
  </si>
  <si>
    <t>Щербаков Данила Вячеславович</t>
  </si>
  <si>
    <t>Анашкин Дмитрий Алексеевич</t>
  </si>
  <si>
    <t>Дорофеев Александр Юрьевич</t>
  </si>
  <si>
    <t>Немечев Артур Адикович</t>
  </si>
  <si>
    <t>Абдулаев Магомед-расул Умаханович</t>
  </si>
  <si>
    <t>Азизов Маграм Робертович</t>
  </si>
  <si>
    <t>Алимагомедов Руслам Балабегович</t>
  </si>
  <si>
    <t>Арсланалиев Закир Заирханович</t>
  </si>
  <si>
    <t>Бахмудов Рамазан Рустамович</t>
  </si>
  <si>
    <t>Гаджибегов Шамиль Хасбулатович</t>
  </si>
  <si>
    <t>Газиев Раджаб Абдуллаевич</t>
  </si>
  <si>
    <t>Гасанов Ягуп Заурбекович</t>
  </si>
  <si>
    <t>Ибрагимов Шамиль Магомедкамилович</t>
  </si>
  <si>
    <t>Илькайдаров Абдурагим Хамзатович</t>
  </si>
  <si>
    <t>Кулаев Ибрагим Арсенович</t>
  </si>
  <si>
    <t>Магомедов Магомед Махдиевич</t>
  </si>
  <si>
    <t>Магомедов Азамат Заурович</t>
  </si>
  <si>
    <t>Магомедов Ахмед Магомедович</t>
  </si>
  <si>
    <t>Мамедов Алипер Рафикович</t>
  </si>
  <si>
    <t>Махмудов Видади Рамизович</t>
  </si>
  <si>
    <t>Махмудов Рамиль Рамизович</t>
  </si>
  <si>
    <t>Рамазанов Жабраил Нуратинович</t>
  </si>
  <si>
    <t>Шокаев Абдулазиз Дамирханович</t>
  </si>
  <si>
    <t>Яндарханов Ясин Лечиевич</t>
  </si>
  <si>
    <t>Вавилов Дмитрий Александрович</t>
  </si>
  <si>
    <t>Дьяконов Сергей Андреевич</t>
  </si>
  <si>
    <t>Егоровский Александр Дмитриевич</t>
  </si>
  <si>
    <t>Магомедов Саид Курбан-магомедович</t>
  </si>
  <si>
    <t>Зангурашвили Никита Сергеевич</t>
  </si>
  <si>
    <t>Кадочников Андрей Олегович</t>
  </si>
  <si>
    <t>Магомедов Руслан Магомедович</t>
  </si>
  <si>
    <t>Меньшиков Никита Артемович</t>
  </si>
  <si>
    <t>Налетов Егор Иванович</t>
  </si>
  <si>
    <t>Петров Александр Юрьевич</t>
  </si>
  <si>
    <t>Слиж Геннадий Валерьевич</t>
  </si>
  <si>
    <t>Степочкин Степан Вячеславович</t>
  </si>
  <si>
    <t>Яренских Роман Дмитриевич</t>
  </si>
  <si>
    <t>№129 от 07.07.2023</t>
  </si>
  <si>
    <t>кодограмма НШ группировки войск"ЗАПАД" №12/ВПУ/9570Ш от 24.06.2023</t>
  </si>
  <si>
    <t>№98 от 25.05.2023</t>
  </si>
  <si>
    <t>№107 от 07.06.2023</t>
  </si>
  <si>
    <t>№113 от 16.06.2023</t>
  </si>
  <si>
    <t>№117 от 22.06.2023</t>
  </si>
  <si>
    <t>Мироненко Михаил Романович</t>
  </si>
  <si>
    <t>Тюменцев Андрей Александрович</t>
  </si>
  <si>
    <t>№119 от 26.06.2023</t>
  </si>
  <si>
    <t>№127 от 05.07.2023</t>
  </si>
  <si>
    <t>Андрюкайтис Максим Алексеевич</t>
  </si>
  <si>
    <t>Бирюков Сергей Владимирович</t>
  </si>
  <si>
    <t>Булеков Владислав Валерьевич</t>
  </si>
  <si>
    <t>Варфоломеев Дмитрий Алексеевич</t>
  </si>
  <si>
    <t>Воронков Алексей Олегович</t>
  </si>
  <si>
    <t>Ганган Филипп Петрович</t>
  </si>
  <si>
    <t>Громаковский Семен Александрович</t>
  </si>
  <si>
    <t>Дашкевич Никита Михайлович</t>
  </si>
  <si>
    <t>Дмитриев Михаил Владимирович</t>
  </si>
  <si>
    <t>Дюков Илья Алексеевич</t>
  </si>
  <si>
    <t>Ефимов Даниил Викторович</t>
  </si>
  <si>
    <t>Зубарев Виктор Сергеевич</t>
  </si>
  <si>
    <t>Игнашкин Денис Александрович</t>
  </si>
  <si>
    <t>Ильин Павел Павлович</t>
  </si>
  <si>
    <t>Кренев Арсений Алексеевич</t>
  </si>
  <si>
    <t>Кульков Евгений Валерьевич</t>
  </si>
  <si>
    <t>Лемешев Егор Валерьевич</t>
  </si>
  <si>
    <t>Полехов Павел Алексеевич</t>
  </si>
  <si>
    <t>Самок Тимофей Андреевич</t>
  </si>
  <si>
    <t>Сорокин Константин Александрович</t>
  </si>
  <si>
    <t>Тураев Дмитрий Викторович</t>
  </si>
  <si>
    <t>Аликишиев Арслан Русланович</t>
  </si>
  <si>
    <t>№131 от 11.07.2023</t>
  </si>
  <si>
    <t>Местный Сергей Александрович</t>
  </si>
  <si>
    <t>Раев Никита Евгеньевич</t>
  </si>
  <si>
    <t>Романов Антон Михайлович</t>
  </si>
  <si>
    <t>Рума Михаил Сергеевич</t>
  </si>
  <si>
    <t>Смирнов Илья Игоревич</t>
  </si>
  <si>
    <t>Смирнов Сергей Сергеевич</t>
  </si>
  <si>
    <t>Соловьев Никита Викторович</t>
  </si>
  <si>
    <t>Сорокин Даниил Юрьевич</t>
  </si>
  <si>
    <t>Сорокин Андрей Дмитриевич</t>
  </si>
  <si>
    <t>Темнов Максим Сергеевич</t>
  </si>
  <si>
    <t>Филиппов Михаил Алексеевич</t>
  </si>
  <si>
    <t>Ханов Артем Сергеевич</t>
  </si>
  <si>
    <t>Шпак Дмитрий Вячеславович</t>
  </si>
  <si>
    <t>Эралиев Абдымалик Нурзаманович</t>
  </si>
  <si>
    <t>Азимов Далерджон Юнусджонович</t>
  </si>
  <si>
    <t>Бакум Данила Сергеевич</t>
  </si>
  <si>
    <t>Баранов Владислав Николаевич</t>
  </si>
  <si>
    <t>Боенков Артем Александрович</t>
  </si>
  <si>
    <t>Васюк Михаил Дмитриевич</t>
  </si>
  <si>
    <t>Голов Александр Васильевич</t>
  </si>
  <si>
    <t>Голованов Данил Андреевич</t>
  </si>
  <si>
    <t>Горшков Денис Валерьевич</t>
  </si>
  <si>
    <t>Дорофеев Никита Андреевич</t>
  </si>
  <si>
    <t>Ерашов Лев Александрович</t>
  </si>
  <si>
    <t>Историн Владислав Романович</t>
  </si>
  <si>
    <t>Капуста Евгений Александрович</t>
  </si>
  <si>
    <t>Карташов Максим Андреевич</t>
  </si>
  <si>
    <t>Кивильша Сергей Евгеньевич</t>
  </si>
  <si>
    <t>Косенко Демьян Евгеньевич</t>
  </si>
  <si>
    <t>Котельников Максим Дмитриевич</t>
  </si>
  <si>
    <t>Литвинов Дмитрий Владимирович</t>
  </si>
  <si>
    <t>Майоров Алексей Андреевич</t>
  </si>
  <si>
    <t>Марков Сергей Сергеевич</t>
  </si>
  <si>
    <t>Митрофанский Александр Иванович</t>
  </si>
  <si>
    <t>Осадчук Кирилл Юрьевич</t>
  </si>
  <si>
    <t>Осипов Роман Сергеевич</t>
  </si>
  <si>
    <t>Павлов Данила Дмитриевич</t>
  </si>
  <si>
    <t>Переплетов Артем Александрович</t>
  </si>
  <si>
    <t>Петров Даниил Дмитриевич</t>
  </si>
  <si>
    <t>Пухов Денис Викторович</t>
  </si>
  <si>
    <t>Пинчук Сергей Владимирович</t>
  </si>
  <si>
    <t>Авдюков Алексей Николаевич</t>
  </si>
  <si>
    <t>Апальков Расим Дмитриевич</t>
  </si>
  <si>
    <t>Базанов Андрей Сергеевич</t>
  </si>
  <si>
    <t>Бондаренко Даниил Александрович</t>
  </si>
  <si>
    <t>Верзунов Виталий Александрович</t>
  </si>
  <si>
    <t>Воробьев Матвей Юрьевич</t>
  </si>
  <si>
    <t>Ганьшаков Дмитрий Александрович</t>
  </si>
  <si>
    <t>Геранин Дмитрий Александрович</t>
  </si>
  <si>
    <t>Горшенков Вадим Дмитриевич</t>
  </si>
  <si>
    <t>Грачев Данила Сергеевич</t>
  </si>
  <si>
    <t>Дедюрин Андрей Андреевич</t>
  </si>
  <si>
    <t>Демченко Егор Олегович</t>
  </si>
  <si>
    <t>Должанский Владислав Александрович</t>
  </si>
  <si>
    <t>Ерошевский Сергей Денисович</t>
  </si>
  <si>
    <t>Завадовский Даниил Алексеевич</t>
  </si>
  <si>
    <t>Заплаткин Даниил Викторович</t>
  </si>
  <si>
    <t>Зяткин Артем Александрович</t>
  </si>
  <si>
    <t>Игнатьев Сергей Александрович</t>
  </si>
  <si>
    <t>Ильин Кирилл Александрович</t>
  </si>
  <si>
    <t>Каменский Никита Михайлович</t>
  </si>
  <si>
    <t>Ковальчук Александр Юрьевич</t>
  </si>
  <si>
    <t>Крайнев Николай Владимирович</t>
  </si>
  <si>
    <t>Кудашов Тимофей Юрьевич</t>
  </si>
  <si>
    <t>Курбатов Иван Евгеньевич</t>
  </si>
  <si>
    <t>Курочка Данила Дмитриевич</t>
  </si>
  <si>
    <t>Литвинов Даниил Михайлович</t>
  </si>
  <si>
    <t>Мазин Михаил Дмитриевич</t>
  </si>
  <si>
    <t>Макаров Денис Михайлович</t>
  </si>
  <si>
    <t>Маркин Дмитрий Романович</t>
  </si>
  <si>
    <t>Мартынов Александр Максимович</t>
  </si>
  <si>
    <t>Марышев Никита Денисович</t>
  </si>
  <si>
    <t>Мешковский Сергей Николаевич</t>
  </si>
  <si>
    <t>Михальченко Антон Андреевич</t>
  </si>
  <si>
    <t>Мякушенко Григорий Васильевич</t>
  </si>
  <si>
    <t>Назаров Егор Вячеславович</t>
  </si>
  <si>
    <t>Николаев Даниил Викторович</t>
  </si>
  <si>
    <t>Новиков Иван Витальевич</t>
  </si>
  <si>
    <t>Петров Александр Валерьевич</t>
  </si>
  <si>
    <t>Попов Даниил Владимирович</t>
  </si>
  <si>
    <t>Рыжов Артем Евгеньевич</t>
  </si>
  <si>
    <t>Садовников Даниил Дмитриевич</t>
  </si>
  <si>
    <t>Самойлов Дмитрий Юрьевич</t>
  </si>
  <si>
    <t>Самыгин Евгений Алексеевич</t>
  </si>
  <si>
    <t>Свиридов Максим Юрьевич</t>
  </si>
  <si>
    <t>Соколов Кирилл Дмитриевич</t>
  </si>
  <si>
    <t>Спудас Антон Геннадьевич</t>
  </si>
  <si>
    <t>Сусекин Владимир Олегович</t>
  </si>
  <si>
    <t>Сушарин Артем Антонович</t>
  </si>
  <si>
    <t>Тарасов Алексей Юрьевич</t>
  </si>
  <si>
    <t>Таскаев Никита Александрович</t>
  </si>
  <si>
    <t>Тимофеев Игорь Андреевич</t>
  </si>
  <si>
    <t>Ткачук Сергей Алексеевич</t>
  </si>
  <si>
    <t>Хуснутдинов Илья Ильдарович</t>
  </si>
  <si>
    <t>Хуснутдинов Владислав Ильдарович</t>
  </si>
  <si>
    <t>Шаболин Дмитрий Игоревич</t>
  </si>
  <si>
    <t>Шашков Максим Денисович</t>
  </si>
  <si>
    <t>Шего Егор Игоревич</t>
  </si>
  <si>
    <t>Широков Вячеслав Сергеевич</t>
  </si>
  <si>
    <t>АВ-204827</t>
  </si>
  <si>
    <t>Воробьев Александр Витальевич</t>
  </si>
  <si>
    <t>№134 от 14.07.2023</t>
  </si>
  <si>
    <t>Телеграмма №12/ВПУ8883Ш от 09.06.2023</t>
  </si>
  <si>
    <t>№387 от 29.06.2023</t>
  </si>
  <si>
    <t>Головин Александр Григорьевич</t>
  </si>
  <si>
    <t>У-908296</t>
  </si>
  <si>
    <t>№97 от 11.07.2023</t>
  </si>
  <si>
    <t>ЕХ-876812</t>
  </si>
  <si>
    <t>Кубеко Илья Андреевич</t>
  </si>
  <si>
    <t>Глухарев Сергей Михайлович</t>
  </si>
  <si>
    <t>У-053662</t>
  </si>
  <si>
    <t>солдаты с/с</t>
  </si>
  <si>
    <t>солдаты к/с</t>
  </si>
  <si>
    <t>Новченков Александр Сергеевич</t>
  </si>
  <si>
    <t>УК-708391</t>
  </si>
  <si>
    <t>№102 от 17.07.2023</t>
  </si>
  <si>
    <t>УК-707334</t>
  </si>
  <si>
    <t>№101 от 17.07.2023</t>
  </si>
  <si>
    <t>№95 07.072023</t>
  </si>
  <si>
    <t>ГПЗ</t>
  </si>
  <si>
    <t>Митрюков Даниил Евгеньевич</t>
  </si>
  <si>
    <t>№120 от 27.06.2023</t>
  </si>
  <si>
    <t>Горелый Даниил Владиславович</t>
  </si>
  <si>
    <t>№137 от 19.07.2023</t>
  </si>
  <si>
    <t>по списку</t>
  </si>
  <si>
    <t>офицеры</t>
  </si>
  <si>
    <t>прапорщики</t>
  </si>
  <si>
    <t>Труханов Михаил Олегович</t>
  </si>
  <si>
    <t>У-406475</t>
  </si>
  <si>
    <t>АВ-204836</t>
  </si>
  <si>
    <t>№99 от 13.07.2023</t>
  </si>
  <si>
    <t>АВ-204835</t>
  </si>
  <si>
    <t>Какаулин Вячеслав Павлович</t>
  </si>
  <si>
    <t>Скрипко Дмитрий Андреевич</t>
  </si>
  <si>
    <t>Козаев Олег Ахсарбекович</t>
  </si>
  <si>
    <t>ВС-168389</t>
  </si>
  <si>
    <t>Лукьянов Александр Васильевич</t>
  </si>
  <si>
    <t>Николаев Олег Валерианович</t>
  </si>
  <si>
    <t>АВ-204842</t>
  </si>
  <si>
    <t>№100 от 14.07.2023</t>
  </si>
  <si>
    <t>Макаров Дмитрий Юрьевич</t>
  </si>
  <si>
    <t>Тишкевич Денис Николаевич</t>
  </si>
  <si>
    <t>АВ-204834</t>
  </si>
  <si>
    <t>Альтов Айман Табетович</t>
  </si>
  <si>
    <t>ВЕ-380426</t>
  </si>
  <si>
    <t>№103 от 20.07.2023</t>
  </si>
  <si>
    <t>Х-623238</t>
  </si>
  <si>
    <t>№105 от 20.07.2023</t>
  </si>
  <si>
    <t>Богданов Кирилл Андреевич</t>
  </si>
  <si>
    <t>СУ-123886</t>
  </si>
  <si>
    <t>Дробенок Дмитрий Сергеевич</t>
  </si>
  <si>
    <t>№104 от 20.07.2023</t>
  </si>
  <si>
    <t>ВЕ-269704</t>
  </si>
  <si>
    <t>7 МСП</t>
  </si>
  <si>
    <t>Буланов Константин Геннадьевич</t>
  </si>
  <si>
    <t>ВС-325056</t>
  </si>
  <si>
    <t>Халиков Дмитрий Эдуардович</t>
  </si>
  <si>
    <t>№102 от17.07.2023</t>
  </si>
  <si>
    <t>Х-721949</t>
  </si>
  <si>
    <t>ВЕ-380811</t>
  </si>
  <si>
    <t>Ахалов Мурад Шагович</t>
  </si>
  <si>
    <t>Рубан Альберт Сергеевич</t>
  </si>
  <si>
    <t>Илющенко Алексей Михайлович</t>
  </si>
  <si>
    <t>АВ-204833</t>
  </si>
  <si>
    <t>Солонкин Александр Александрович</t>
  </si>
  <si>
    <t>АВ-204840</t>
  </si>
  <si>
    <t>Чухманцев Иван Андреевич</t>
  </si>
  <si>
    <t>УК-707590</t>
  </si>
  <si>
    <t>АВ-204851</t>
  </si>
  <si>
    <t>Дмитриев Юрий Борисович</t>
  </si>
  <si>
    <t>АВ-204843</t>
  </si>
  <si>
    <t>Гордеев Илья Сергеевич</t>
  </si>
  <si>
    <t>ЕХ-913601</t>
  </si>
  <si>
    <t>Бижако Олег Жоржевич</t>
  </si>
  <si>
    <t>Сорока Денис Викторович</t>
  </si>
  <si>
    <t>АВ-204860</t>
  </si>
  <si>
    <t>Новицкий Дмитрий Владимирович</t>
  </si>
  <si>
    <t>УК-708290</t>
  </si>
  <si>
    <t>Бараускас Михаил Казимирович</t>
  </si>
  <si>
    <t>АВ-204858</t>
  </si>
  <si>
    <t>ВЕ-270204</t>
  </si>
  <si>
    <t>№140 от 24.07.2023</t>
  </si>
  <si>
    <t>№172 от 09.09.2022</t>
  </si>
  <si>
    <t>Служнебная командировка</t>
  </si>
  <si>
    <t>Телеграмма №14/1283 от 22.07.2023</t>
  </si>
  <si>
    <t>Овчаренко Максим Леонидович</t>
  </si>
  <si>
    <t>Андреев Руслан Александрович</t>
  </si>
  <si>
    <t>Шерстнев Андрей Евгеньевич</t>
  </si>
  <si>
    <t>Иванов Сергей Олегович</t>
  </si>
  <si>
    <t>№108 от 24.07.2023</t>
  </si>
  <si>
    <t>Х-641313</t>
  </si>
  <si>
    <t>Пастухов Виталий Александрович</t>
  </si>
  <si>
    <t>Игнатов Александр Алексеевич</t>
  </si>
  <si>
    <t>Ю-060973</t>
  </si>
  <si>
    <t>№107 от 24.07.2023</t>
  </si>
  <si>
    <t>Ф-883943</t>
  </si>
  <si>
    <t>Ужегов Юрий Владимирович</t>
  </si>
  <si>
    <t>Двухжилов Сергей Александрович</t>
  </si>
  <si>
    <t>Х-364894</t>
  </si>
  <si>
    <t>№110 от 27.07.2023</t>
  </si>
  <si>
    <t>Левичев Сергей Геннадьевич</t>
  </si>
  <si>
    <t>Осипенко Юрий Вадимович</t>
  </si>
  <si>
    <t>Черников Денис Михайлович</t>
  </si>
  <si>
    <t>Х-718510</t>
  </si>
  <si>
    <t>Яшин Сергей Юрьевич</t>
  </si>
  <si>
    <t>Полоник Василий Васильевич</t>
  </si>
  <si>
    <t>Голубев Владислав Геннадьевич</t>
  </si>
  <si>
    <t>У-737955</t>
  </si>
  <si>
    <t>Кудрявцев Александр Владимирович</t>
  </si>
  <si>
    <t>У-551868</t>
  </si>
  <si>
    <t>Фаррахов Мансур Маратович</t>
  </si>
  <si>
    <t>Х-655812</t>
  </si>
  <si>
    <t>Ю-542633</t>
  </si>
  <si>
    <t>№142 от 26.07.2023</t>
  </si>
  <si>
    <t>Дамбаев Александр Эдуардович</t>
  </si>
  <si>
    <t>Ю-480311</t>
  </si>
  <si>
    <t>№111 от 27.07.2023</t>
  </si>
  <si>
    <t>Григорьев Роман Геннадьевич</t>
  </si>
  <si>
    <t>Ярышкин Александр Викторович</t>
  </si>
  <si>
    <t>АВ-204862</t>
  </si>
  <si>
    <t>Ананьев Евгений Викторович</t>
  </si>
  <si>
    <t>АВ-204848</t>
  </si>
  <si>
    <t>Зорин Андрей Николаевич</t>
  </si>
  <si>
    <t>АВ-204857</t>
  </si>
  <si>
    <t>Телеграмма ЗГВ №04/467 от 30.07.2022</t>
  </si>
  <si>
    <t>АВ-204856</t>
  </si>
  <si>
    <t>АВ-204871</t>
  </si>
  <si>
    <t>АВ-204853</t>
  </si>
  <si>
    <t>Шиян Сергей Михайлович</t>
  </si>
  <si>
    <t>АВ-204863</t>
  </si>
  <si>
    <t>Гуров Виктор Сергеевич</t>
  </si>
  <si>
    <t>Богданов Олег Николаевич</t>
  </si>
  <si>
    <t>АВ-204847</t>
  </si>
  <si>
    <t>Лайер Валерий Адамович</t>
  </si>
  <si>
    <t>АВ-204864</t>
  </si>
  <si>
    <t>Горюнов Валерий Александрович</t>
  </si>
  <si>
    <t>АВ-204870</t>
  </si>
  <si>
    <t>Веденеев Александр Анатольевич</t>
  </si>
  <si>
    <t>Большаков Роман Михайлович</t>
  </si>
  <si>
    <t>Х-724250</t>
  </si>
  <si>
    <t>Сиреджук Денис Васильевич</t>
  </si>
  <si>
    <t>Пономарев Никита Владимирович</t>
  </si>
  <si>
    <t>Махаев Илья Евгеньевич</t>
  </si>
  <si>
    <t>Цепков Егор Викторович</t>
  </si>
  <si>
    <t>№147 от 02.08.2023</t>
  </si>
  <si>
    <t>Кабов Евгений Николаевич</t>
  </si>
  <si>
    <t>г. Калининград</t>
  </si>
  <si>
    <t>Ермолич Александр Вадимович</t>
  </si>
  <si>
    <t>Федоров Александр Юрьевич</t>
  </si>
  <si>
    <t>Рассохин Дмитрий Сергеевич</t>
  </si>
  <si>
    <t>Малашкин Дмитрий Юрьевич</t>
  </si>
  <si>
    <t>Ю-836399</t>
  </si>
  <si>
    <t>Анисимов Дмитрий Анатольевич</t>
  </si>
  <si>
    <t>АВ-204852</t>
  </si>
  <si>
    <t>Смолин Анатолий Петрович</t>
  </si>
  <si>
    <t>АВ-204872</t>
  </si>
  <si>
    <t>Козлов Дмитрий Александрович</t>
  </si>
  <si>
    <t>АВ-204869</t>
  </si>
  <si>
    <t>№108 от24.07.2023</t>
  </si>
  <si>
    <t>Заводов Артур Иванович</t>
  </si>
  <si>
    <t>АВ-204911</t>
  </si>
  <si>
    <t>АВ-204876</t>
  </si>
  <si>
    <t>Маков Руслан Олегович</t>
  </si>
  <si>
    <t>Ю-528513</t>
  </si>
  <si>
    <t>Загвоздин Алексей Эрнстович</t>
  </si>
  <si>
    <t>Х-153760</t>
  </si>
  <si>
    <t>АВ-204888</t>
  </si>
  <si>
    <t>Коваленко Сергей Анатольевич</t>
  </si>
  <si>
    <t>АВ-204855</t>
  </si>
  <si>
    <t>Приходько Дмитрий Михайлович</t>
  </si>
  <si>
    <t>27.05.2002</t>
  </si>
  <si>
    <t>Касьян Виталий Юрьевич</t>
  </si>
  <si>
    <t>Радаев Кирилл Александрович</t>
  </si>
  <si>
    <t>ЕХ-910918</t>
  </si>
  <si>
    <t>№120 от 07.08.2023</t>
  </si>
  <si>
    <t>СУ-259790</t>
  </si>
  <si>
    <t>Лопатин Кирилл Андреевич</t>
  </si>
  <si>
    <t>Петренко Александр Викторович</t>
  </si>
  <si>
    <t>№152 от 09.08.2023</t>
  </si>
  <si>
    <t>Михайлов Руслан Владимирович</t>
  </si>
  <si>
    <t>Э-051321</t>
  </si>
  <si>
    <t>№125 от 11.08.2023</t>
  </si>
  <si>
    <t>Потургаев Александр Викторович</t>
  </si>
  <si>
    <t>ВЕ-380966</t>
  </si>
  <si>
    <t>№98 от 12.07.2023</t>
  </si>
  <si>
    <t>Кочергин Павел Сергеевич</t>
  </si>
  <si>
    <t>№109 от 24.07.2023</t>
  </si>
  <si>
    <t>Х-776297</t>
  </si>
  <si>
    <t>Буянов Алексей Иванович</t>
  </si>
  <si>
    <t>АВ-204942</t>
  </si>
  <si>
    <t>№117 от 31.07.2023</t>
  </si>
  <si>
    <t>АВ-204944</t>
  </si>
  <si>
    <t>Порыбин Евгений Валерьевич</t>
  </si>
  <si>
    <t>Лечение</t>
  </si>
  <si>
    <t>Кондырев Андрей Анатольевич</t>
  </si>
  <si>
    <t>РА-101020</t>
  </si>
  <si>
    <t>Цыплухин Алексей Владимирович</t>
  </si>
  <si>
    <t>Ю-454215</t>
  </si>
  <si>
    <t>№82 от 23.06.2023</t>
  </si>
  <si>
    <t>Корнаев Алексей Арсенович</t>
  </si>
  <si>
    <t>Паршиков Денис Андреевич</t>
  </si>
  <si>
    <t>№127 от 15.08.2023</t>
  </si>
  <si>
    <t>Ц-920506</t>
  </si>
  <si>
    <t>Корнев Алексей Андреевич</t>
  </si>
  <si>
    <t>МТ-720331</t>
  </si>
  <si>
    <t>№155 от 14.08.2023</t>
  </si>
  <si>
    <t>Митрохин Константин Петрович</t>
  </si>
  <si>
    <t>Х-623312</t>
  </si>
  <si>
    <t>Ф-723556</t>
  </si>
  <si>
    <t>Раку Виорел Иванович</t>
  </si>
  <si>
    <t>№115 от 31.07.2023</t>
  </si>
  <si>
    <t>Номоконов Денис Петрович</t>
  </si>
  <si>
    <t>АВ-204879</t>
  </si>
  <si>
    <t>Поддубов Василий Николаевич</t>
  </si>
  <si>
    <t>АВ-204859</t>
  </si>
  <si>
    <t>Макаревич Руслан Иосифович</t>
  </si>
  <si>
    <t>АВ-204875</t>
  </si>
  <si>
    <t>Николаев Сергей Геннадьевич</t>
  </si>
  <si>
    <t>Гуйтен Константин Сергеевич</t>
  </si>
  <si>
    <t>№154 от 11.08.2023</t>
  </si>
  <si>
    <t>Павенково</t>
  </si>
  <si>
    <t>Полевой выход</t>
  </si>
  <si>
    <t>№146 от 01.08.2023</t>
  </si>
  <si>
    <t>№159 от 18.08.2023</t>
  </si>
  <si>
    <t>Покатаев Михаил Юрьевич</t>
  </si>
  <si>
    <t>Карманов Валерий Сергеевич</t>
  </si>
  <si>
    <t>Данилов Денис Дмитриевич</t>
  </si>
  <si>
    <t>РА-126030</t>
  </si>
  <si>
    <t>Хайлов Павел Викторович</t>
  </si>
  <si>
    <t>распоряжение НШ группировки войск «ЗАПАД» №09757 от 30.06.2023</t>
  </si>
  <si>
    <t>в/ч 06414</t>
  </si>
  <si>
    <t>Телеграмма №14/1334 от 09.08.2023</t>
  </si>
  <si>
    <t>Демихин Егор Дмитриевич</t>
  </si>
  <si>
    <t>БЧС</t>
  </si>
  <si>
    <t>по штату</t>
  </si>
  <si>
    <t>ППД Советск</t>
  </si>
  <si>
    <t>СВО и САР</t>
  </si>
  <si>
    <t>Охрана гос. Границы (Белгород)</t>
  </si>
  <si>
    <t>Шабалин Андрей Олегович</t>
  </si>
  <si>
    <t>Шадрунов Александр Юрьевич</t>
  </si>
  <si>
    <t>АВ-204962</t>
  </si>
  <si>
    <t>№122 от 07.08.2023</t>
  </si>
  <si>
    <t>Курмамбаев Наиль Нариманович</t>
  </si>
  <si>
    <t>Егоров Максим Владимирович</t>
  </si>
  <si>
    <t>мл. л-т</t>
  </si>
  <si>
    <t>УК-871331</t>
  </si>
  <si>
    <t>№131 от 24.08.2023</t>
  </si>
  <si>
    <t>Евсин Андрей Леонидович</t>
  </si>
  <si>
    <t>АВ-204635</t>
  </si>
  <si>
    <t>№163 от 24.08.2023</t>
  </si>
  <si>
    <t>м-н</t>
  </si>
  <si>
    <t>№164 от 25.08.2023</t>
  </si>
  <si>
    <t>193540А</t>
  </si>
  <si>
    <t>106847А</t>
  </si>
  <si>
    <t>166097А</t>
  </si>
  <si>
    <t>184259А</t>
  </si>
  <si>
    <t>178543А</t>
  </si>
  <si>
    <t>ст. м-с</t>
  </si>
  <si>
    <t>м-с</t>
  </si>
  <si>
    <t>3101003</t>
  </si>
  <si>
    <t>Экономист</t>
  </si>
  <si>
    <t>0801096</t>
  </si>
  <si>
    <t>600543А</t>
  </si>
  <si>
    <t>102281А</t>
  </si>
  <si>
    <t>193182А</t>
  </si>
  <si>
    <t>106182А</t>
  </si>
  <si>
    <t>106646А</t>
  </si>
  <si>
    <t>166182А</t>
  </si>
  <si>
    <t>Бурый Сергей Сергеевич</t>
  </si>
  <si>
    <t>№93 от 06.08.2023</t>
  </si>
  <si>
    <t>№128 от 18.08.2023</t>
  </si>
  <si>
    <t>Ларин Максим Николаевич</t>
  </si>
  <si>
    <t>МТ-515607</t>
  </si>
  <si>
    <t>Леэметс Яков Аарнеевич</t>
  </si>
  <si>
    <t>УК-708454</t>
  </si>
  <si>
    <t>Лупу Николай Мирославович</t>
  </si>
  <si>
    <t>УК-775868</t>
  </si>
  <si>
    <t>Пупанов Михаил Васильевич</t>
  </si>
  <si>
    <t>УК-708226</t>
  </si>
  <si>
    <t>Шептун Андрей Сергеевич</t>
  </si>
  <si>
    <t>ЕХ-911974</t>
  </si>
  <si>
    <t>Мед. Пункт</t>
  </si>
  <si>
    <t>Расулов Гаджи Гусенович</t>
  </si>
  <si>
    <t>Павлов Андрей Николаевич</t>
  </si>
  <si>
    <t>№135 от 28.08.2023</t>
  </si>
  <si>
    <t>Искиндиров Виктор Валерийвич</t>
  </si>
  <si>
    <t>А</t>
  </si>
  <si>
    <t>Коротков Антон Александрович</t>
  </si>
  <si>
    <t>Х-720947</t>
  </si>
  <si>
    <t>Терзи Александр Павлович</t>
  </si>
  <si>
    <t>Х-721954</t>
  </si>
  <si>
    <t>Сеньков Павел Сергеевич</t>
  </si>
  <si>
    <t>Х-722227</t>
  </si>
  <si>
    <t>Герасин Евгений Анатольевич</t>
  </si>
  <si>
    <t>ЕХ-980289</t>
  </si>
  <si>
    <t>Овчинников Александр Александрович</t>
  </si>
  <si>
    <t>Ю-487794</t>
  </si>
  <si>
    <t>Мурачев Дмитрий Николаевич</t>
  </si>
  <si>
    <t>ЕХ-909119</t>
  </si>
  <si>
    <t>Почивалов Николай Витальевич</t>
  </si>
  <si>
    <t>ЕХ-910293</t>
  </si>
  <si>
    <t>Буяков Анатолий Русланович</t>
  </si>
  <si>
    <t>ЕХ-911949</t>
  </si>
  <si>
    <t>Гриднев Даниил Владимирович</t>
  </si>
  <si>
    <t>РА-115004</t>
  </si>
  <si>
    <t>Тараканов Сергей Алексеевич</t>
  </si>
  <si>
    <t>РА-115424</t>
  </si>
  <si>
    <t>РА-302334</t>
  </si>
  <si>
    <t>Атамась Александр Николаевич</t>
  </si>
  <si>
    <t>УК-758059</t>
  </si>
  <si>
    <t>Анинин Владимир Сергеевич</t>
  </si>
  <si>
    <t>УК-707623</t>
  </si>
  <si>
    <t>Шабанов Павел Александрович</t>
  </si>
  <si>
    <t>УК-708542</t>
  </si>
  <si>
    <t>Лясович Максим Игнатьевич</t>
  </si>
  <si>
    <t>Х-708539</t>
  </si>
  <si>
    <t>Колесников Никита Васильевич</t>
  </si>
  <si>
    <t>Х-656482</t>
  </si>
  <si>
    <t>Тырнов Алексей Алексеевич</t>
  </si>
  <si>
    <t>У-395357</t>
  </si>
  <si>
    <t>Савченко Матвей Викторович</t>
  </si>
  <si>
    <t>АВ-204949</t>
  </si>
  <si>
    <t>Пядин Александр Александрович</t>
  </si>
  <si>
    <t>АВ-204956</t>
  </si>
  <si>
    <t>Геллер Александр Радуевич</t>
  </si>
  <si>
    <t>АВ-204957</t>
  </si>
  <si>
    <t>Тютявин Валерий Владимирович</t>
  </si>
  <si>
    <t>АВ-204958</t>
  </si>
  <si>
    <t>Томин Вадим Владимирович</t>
  </si>
  <si>
    <t>АВ-204959</t>
  </si>
  <si>
    <t>Лукьяненко Федор Алексеевич</t>
  </si>
  <si>
    <t>АВ-204961</t>
  </si>
  <si>
    <t>Чунихин Вадим Александрович</t>
  </si>
  <si>
    <t>АВ-204963</t>
  </si>
  <si>
    <t>Звягов Евгений Викторович</t>
  </si>
  <si>
    <t>С-993330</t>
  </si>
  <si>
    <t>Алексеев Тимур Владимирович</t>
  </si>
  <si>
    <t>АВ-204966</t>
  </si>
  <si>
    <t>Для служебного пользования</t>
  </si>
  <si>
    <t>(п. 52, 58 Перечня сведений ВС)</t>
  </si>
  <si>
    <t>Дабравольскис Роман Прано</t>
  </si>
  <si>
    <t>МТ-570507</t>
  </si>
  <si>
    <t>№134 от 28.08.2023</t>
  </si>
  <si>
    <t>Бабин Сергей Юрьевич</t>
  </si>
  <si>
    <t>АВ-204967</t>
  </si>
  <si>
    <t>АВ-204965</t>
  </si>
  <si>
    <t>Кузнецов Виктор Александрович</t>
  </si>
  <si>
    <t>АВ-204969</t>
  </si>
  <si>
    <t>Онищенко Александр Вячеславович</t>
  </si>
  <si>
    <t>Х-714959</t>
  </si>
  <si>
    <t>Кучмин Денис Александрович</t>
  </si>
  <si>
    <t>АВ-204975</t>
  </si>
  <si>
    <t>РА-115354</t>
  </si>
  <si>
    <t>Манохин Сергей Сергеевич</t>
  </si>
  <si>
    <t>АВ-204976</t>
  </si>
  <si>
    <t>Лясович Виталий Игнатьевич</t>
  </si>
  <si>
    <t>АВ-204978</t>
  </si>
  <si>
    <t>Бурика Евгений Владимирович</t>
  </si>
  <si>
    <t>АВ-204979</t>
  </si>
  <si>
    <t>Головин Сергей Викторович</t>
  </si>
  <si>
    <t>Х-154532</t>
  </si>
  <si>
    <t>Левашов Илья Валерьевич</t>
  </si>
  <si>
    <t>АВ-204987</t>
  </si>
  <si>
    <t>Калёнов Сергей Васильевич</t>
  </si>
  <si>
    <t>АВ-204989</t>
  </si>
  <si>
    <t>Писаришин Сергей Антонович</t>
  </si>
  <si>
    <t>АВ-204986</t>
  </si>
  <si>
    <t>Петров Евгений Сергеевич</t>
  </si>
  <si>
    <t>Х-715004</t>
  </si>
  <si>
    <t>Грушевой Виталий Вячеславович</t>
  </si>
  <si>
    <t>АВ-204988</t>
  </si>
  <si>
    <t>Мохначёв Александр Юрьевич</t>
  </si>
  <si>
    <t>АВ-204991</t>
  </si>
  <si>
    <t>Герман Дмитрий Сергеевич</t>
  </si>
  <si>
    <t>АВ-204998</t>
  </si>
  <si>
    <t>Сокальский Василий Викторович</t>
  </si>
  <si>
    <t>АВ-205000</t>
  </si>
  <si>
    <t>Черняков Михаил Александрович</t>
  </si>
  <si>
    <t>АВ-204602</t>
  </si>
  <si>
    <t>Величко Максим Александрович</t>
  </si>
  <si>
    <t>АВ-204605</t>
  </si>
  <si>
    <t>Мурванов Григорий Михайлович</t>
  </si>
  <si>
    <t>АВ-204607</t>
  </si>
  <si>
    <t>Нелюбин Сергей Алексеевич</t>
  </si>
  <si>
    <t>АВ-204609</t>
  </si>
  <si>
    <t>Вилкончюс Александр Альгердович</t>
  </si>
  <si>
    <t>АВ-204611</t>
  </si>
  <si>
    <t>Елисеев Иван Николаевич</t>
  </si>
  <si>
    <t>С-993236</t>
  </si>
  <si>
    <t>АВ-425281</t>
  </si>
  <si>
    <t>Киселев Юрий Сергеевич</t>
  </si>
  <si>
    <t>МТ-809440</t>
  </si>
  <si>
    <t>Поносов Александр Владимирович</t>
  </si>
  <si>
    <t>МТ-902121</t>
  </si>
  <si>
    <t>Исаев Глеб Викторович</t>
  </si>
  <si>
    <t>Ю-524710</t>
  </si>
  <si>
    <t>Убейкобылин Кирилл Сергеевич</t>
  </si>
  <si>
    <t>Э-947489</t>
  </si>
  <si>
    <t>Сизых Алексей Николаевич</t>
  </si>
  <si>
    <t>ВЕ-127479</t>
  </si>
  <si>
    <t>Николаев Виталий Петрович</t>
  </si>
  <si>
    <t>АВ-204951</t>
  </si>
  <si>
    <t>Богатырев Владимир Дмитриевич</t>
  </si>
  <si>
    <t>Велиев Саид Таибович</t>
  </si>
  <si>
    <t>Варданян Артем Самвелович</t>
  </si>
  <si>
    <t>Х-595549</t>
  </si>
  <si>
    <t>Бондаренко Андрей Сергеевич</t>
  </si>
  <si>
    <t>Э-939626</t>
  </si>
  <si>
    <t>Кочетков Иван Анатольевич</t>
  </si>
  <si>
    <t>РА-174590</t>
  </si>
  <si>
    <t>Харитонов Данил Олегович</t>
  </si>
  <si>
    <t>РА-114888</t>
  </si>
  <si>
    <t>Мартынов Алексей Александрович</t>
  </si>
  <si>
    <t>РА-197728</t>
  </si>
  <si>
    <t>Филипченко Андрей Сергеевич</t>
  </si>
  <si>
    <t>Э-861668</t>
  </si>
  <si>
    <t>Булыгин Данила Алексеевич</t>
  </si>
  <si>
    <t>МТ-057371</t>
  </si>
  <si>
    <t>Куулар Кежик Владиславович</t>
  </si>
  <si>
    <t>МТ-317829</t>
  </si>
  <si>
    <t>Ачилов Руслан Равильевич</t>
  </si>
  <si>
    <t>Э-915189</t>
  </si>
  <si>
    <t>Свечков Анатолий Александрович</t>
  </si>
  <si>
    <t>МТ-086680</t>
  </si>
  <si>
    <t>Свиридов Валерий Олегович</t>
  </si>
  <si>
    <t>ВЕ-315830</t>
  </si>
  <si>
    <t>Смыкалов Максим Сергеевич</t>
  </si>
  <si>
    <t>ВЕ-331294</t>
  </si>
  <si>
    <t>Мудунов Марат Багатирович</t>
  </si>
  <si>
    <t>Сулейманов Раджаб Курбанович</t>
  </si>
  <si>
    <t>Гереев Джамбулат Алимханоаич</t>
  </si>
  <si>
    <t>Магомедов Абдула Гаджиевич</t>
  </si>
  <si>
    <t>Назранов Аниуар Хасанович</t>
  </si>
  <si>
    <t>Э-276511</t>
  </si>
  <si>
    <t>Карандашев Алексей Владимирович</t>
  </si>
  <si>
    <t>Ю-719788</t>
  </si>
  <si>
    <t>Богачев Максим Вячеславович</t>
  </si>
  <si>
    <t>Х-525421</t>
  </si>
  <si>
    <t>Конев Андрей Владимирович</t>
  </si>
  <si>
    <t>ВЕ-279812</t>
  </si>
  <si>
    <t>Мустафаев Самир Шахинович</t>
  </si>
  <si>
    <t>ЕХ-892727</t>
  </si>
  <si>
    <t>Аминтазаев Шамиль Магомедрасулович</t>
  </si>
  <si>
    <t>ВС-203181</t>
  </si>
  <si>
    <t>Асельдеров Абакар Умарович</t>
  </si>
  <si>
    <t>ВС-203182</t>
  </si>
  <si>
    <t>Шарин Вадим Владимирович</t>
  </si>
  <si>
    <t>ВЕ-380661</t>
  </si>
  <si>
    <t>Королев Сергей Николаевич</t>
  </si>
  <si>
    <t>ЕХ-929808</t>
  </si>
  <si>
    <t>Маслов Иван Сергеевич</t>
  </si>
  <si>
    <t>РА-102461</t>
  </si>
  <si>
    <t>Кузнецов Андрей Игоревич</t>
  </si>
  <si>
    <t>ЕХ-951115</t>
  </si>
  <si>
    <t>Никитенко Яросвет Дмитриевич</t>
  </si>
  <si>
    <t>ВС-121727</t>
  </si>
  <si>
    <t>Бернацкий Руслан Русланович</t>
  </si>
  <si>
    <t>РА-120037</t>
  </si>
  <si>
    <t>Безбородых Игорь Васильевич</t>
  </si>
  <si>
    <t>РА-166679</t>
  </si>
  <si>
    <t>Михайлов Рауль Евгеньевич</t>
  </si>
  <si>
    <t>ВЕ-485112</t>
  </si>
  <si>
    <t>Салманов Виктор Александрович</t>
  </si>
  <si>
    <t>УК-709198</t>
  </si>
  <si>
    <t>Тумат Андрей Макарович</t>
  </si>
  <si>
    <t>УК-586243</t>
  </si>
  <si>
    <t>Титов Виктор Юрьевич</t>
  </si>
  <si>
    <t>УК-721378</t>
  </si>
  <si>
    <t>Штыров Антон Анатольевич</t>
  </si>
  <si>
    <t>РА-485757</t>
  </si>
  <si>
    <t>Романенко Артём Сергеевич</t>
  </si>
  <si>
    <t>УК-664658</t>
  </si>
  <si>
    <t>Федотов Илья Николаевич</t>
  </si>
  <si>
    <t>УК-705461</t>
  </si>
  <si>
    <t>Серый Станислав Юрьевич</t>
  </si>
  <si>
    <t>УК-807318</t>
  </si>
  <si>
    <t>Войтюк Глеб Витальевич</t>
  </si>
  <si>
    <t>УК-706774</t>
  </si>
  <si>
    <t>Дурапов Сергей Александрович</t>
  </si>
  <si>
    <t>АВ-299469</t>
  </si>
  <si>
    <t>Степанов Валерий Павлович</t>
  </si>
  <si>
    <t>АВ-204873</t>
  </si>
  <si>
    <t>Старухин Александр Юрьевич</t>
  </si>
  <si>
    <t>МТ-259213</t>
  </si>
  <si>
    <t>Конев Александр Русланович</t>
  </si>
  <si>
    <t>МТ-500109</t>
  </si>
  <si>
    <t>Радченко Никита Алексеевич</t>
  </si>
  <si>
    <t>МТ-501073</t>
  </si>
  <si>
    <t>Клочков Кирилл Николаевич</t>
  </si>
  <si>
    <t>МТ-260349</t>
  </si>
  <si>
    <t>Михайлов Сергей Владимирович</t>
  </si>
  <si>
    <t>УК-708409</t>
  </si>
  <si>
    <t>Евстифеев Василий Васильевич</t>
  </si>
  <si>
    <t>ВЕ-126645</t>
  </si>
  <si>
    <t>Поминчук Сергей Николаевич</t>
  </si>
  <si>
    <t>УК-708478</t>
  </si>
  <si>
    <t>Сороколетов Роман Николаевич</t>
  </si>
  <si>
    <t>ВЕ-126758</t>
  </si>
  <si>
    <t>Алимов Анатолий Хамитович</t>
  </si>
  <si>
    <t>УК-708487</t>
  </si>
  <si>
    <t>Гречковский Алим-Исраил Олегович</t>
  </si>
  <si>
    <t>Зиявудинов Камиль Магомедович</t>
  </si>
  <si>
    <t>Алиев Курбан Ахмедович</t>
  </si>
  <si>
    <t>Дементьев Станислав Сергеевич</t>
  </si>
  <si>
    <t>Э-089962</t>
  </si>
  <si>
    <t>Нестеров Александр Николаевич</t>
  </si>
  <si>
    <t>МТ-551264</t>
  </si>
  <si>
    <t>Андросов Игорь Владимирович</t>
  </si>
  <si>
    <t>Я-046363</t>
  </si>
  <si>
    <t>Квамладзе Петр Джимшерович</t>
  </si>
  <si>
    <t>МТ-563948</t>
  </si>
  <si>
    <t>Никифоров Вячеслав Викторович</t>
  </si>
  <si>
    <t>Х-772532</t>
  </si>
  <si>
    <t>Титов Алексей Юрьевич</t>
  </si>
  <si>
    <t>АВ-331385</t>
  </si>
  <si>
    <t>№150 от 07.08.2023</t>
  </si>
  <si>
    <t>Телеграмма ВрИО командира в/ч 90151 №17/990 от 06.08.2023</t>
  </si>
  <si>
    <t>Кашкан Евгений Иванович</t>
  </si>
  <si>
    <t>АВ-204881</t>
  </si>
  <si>
    <t>№129 от 27.06.2023</t>
  </si>
  <si>
    <t>Телешенко Валентин Алексеевич</t>
  </si>
  <si>
    <t>Немешаев Евгений Валериевич</t>
  </si>
  <si>
    <t>Куча Вячеслав Николаевич</t>
  </si>
  <si>
    <t>АВ-204820</t>
  </si>
  <si>
    <t>РА-115986</t>
  </si>
  <si>
    <t>Лукьянов Александр Анатольевич</t>
  </si>
  <si>
    <t>к-н л-т</t>
  </si>
  <si>
    <t>Фадеев Алексей Валериевич</t>
  </si>
  <si>
    <t>Ф-965119</t>
  </si>
  <si>
    <t>Тиквой Олег Анатольевич</t>
  </si>
  <si>
    <t>Я-115095</t>
  </si>
  <si>
    <t>Лашкевич Петр Владимирович</t>
  </si>
  <si>
    <t>№168 от 31.08.2023</t>
  </si>
  <si>
    <t>Хрылев Евгений Владимирович</t>
  </si>
  <si>
    <t>АВ-204803</t>
  </si>
  <si>
    <t>Шабанов Ахмедхан</t>
  </si>
  <si>
    <t>АВ-204823</t>
  </si>
  <si>
    <t>Лысиков Дмитрий Викторович</t>
  </si>
  <si>
    <t>АВ-204825</t>
  </si>
  <si>
    <t>Казесаба Андрей Германович</t>
  </si>
  <si>
    <t>АВ-204828</t>
  </si>
  <si>
    <t>Тюрин Семен Сергеевич</t>
  </si>
  <si>
    <t>Х-672062</t>
  </si>
  <si>
    <t>Казанцев Максим Сергеевич</t>
  </si>
  <si>
    <t>Клюев Александр Николаевич</t>
  </si>
  <si>
    <t>МТ-934126</t>
  </si>
  <si>
    <t>Сорокин Роман Николаевич</t>
  </si>
  <si>
    <t>АВ-257595</t>
  </si>
  <si>
    <t>Кияненко Игорь Александрович</t>
  </si>
  <si>
    <t>Квасов Александр Андреевич</t>
  </si>
  <si>
    <t>Ярулин Руслан Альбертович</t>
  </si>
  <si>
    <t>Митрофанов Михаил Викторович</t>
  </si>
  <si>
    <t>Х-712530</t>
  </si>
  <si>
    <t>Неизвестная местность(плен)</t>
  </si>
  <si>
    <t>Неизвестная местность(без вести пропавший)</t>
  </si>
  <si>
    <t>Нет данныз</t>
  </si>
  <si>
    <t>нет данных</t>
  </si>
  <si>
    <t>Рапорт ВрИО ЗНШ №1726 от 21.07.2023</t>
  </si>
  <si>
    <t>Будрикас Ромас Ионасович</t>
  </si>
  <si>
    <t>Лобанов Андрей Александрович</t>
  </si>
  <si>
    <t>Ф-748581</t>
  </si>
  <si>
    <t>№ 142 от 04.09.2023</t>
  </si>
  <si>
    <t>Х-150449</t>
  </si>
  <si>
    <t>Лашук Сергей Александрович</t>
  </si>
  <si>
    <t>Э-942646</t>
  </si>
  <si>
    <t>№143 от 04.08.2023</t>
  </si>
  <si>
    <t>в/ч 11046</t>
  </si>
  <si>
    <t>Розыскан после СОЧ</t>
  </si>
  <si>
    <t>Следственные мероприятия</t>
  </si>
  <si>
    <t>№174 от 08.09.2023</t>
  </si>
  <si>
    <t>Рапорт ВрИО НШ в/ч 63940 №2658 от 08.09.2023</t>
  </si>
  <si>
    <t>Рапорт ВрИО НШ в/ч 63940 №2662 от 08.09.2023</t>
  </si>
  <si>
    <t>г. Советск</t>
  </si>
  <si>
    <t>Сопровождение военнослужащих</t>
  </si>
  <si>
    <t>рапорт ВрИО НШ в/ч 63940 №2503 от 01 сентября 2023 года</t>
  </si>
  <si>
    <t>рапорт военнослужащего №2504 от 01 сентября 2023 года</t>
  </si>
  <si>
    <t>Федоров Игорь Валерьевич</t>
  </si>
  <si>
    <t>№145 от 11.09.2023</t>
  </si>
  <si>
    <t>Х-157892</t>
  </si>
  <si>
    <t>Алешкин Анатолий Владимирович</t>
  </si>
  <si>
    <t>Х-767126</t>
  </si>
  <si>
    <t>Акопян Грагат Грачяевич</t>
  </si>
  <si>
    <t>АВ-204652</t>
  </si>
  <si>
    <t>Климов Антон Борисович</t>
  </si>
  <si>
    <t>АВ-204646</t>
  </si>
  <si>
    <t>Пьянков Артем Владимирович</t>
  </si>
  <si>
    <t>Х-718984</t>
  </si>
  <si>
    <t>Парсаев Дмитрий Александрович</t>
  </si>
  <si>
    <t>АВ-204633</t>
  </si>
  <si>
    <t>Шишкин Александр Сергеевич</t>
  </si>
  <si>
    <t>АВ-204629</t>
  </si>
  <si>
    <t>Помощник командира полка по финансово-экономической работе</t>
  </si>
  <si>
    <t>Стрельцов Андрей Евгеньевич</t>
  </si>
  <si>
    <t>АВ-204626</t>
  </si>
  <si>
    <t>Сердюк Сергей Николаевич</t>
  </si>
  <si>
    <t>АВ-204621</t>
  </si>
  <si>
    <t>Аушев Виктор Александрович</t>
  </si>
  <si>
    <t>АВ-204900</t>
  </si>
  <si>
    <t>Долгополов Александр Александрович</t>
  </si>
  <si>
    <t>АВ-204619</t>
  </si>
  <si>
    <t>Шестакевич Сергей Сергеевич</t>
  </si>
  <si>
    <t>АВ-204628</t>
  </si>
  <si>
    <t>Судомоин Виталий Александрович</t>
  </si>
  <si>
    <t>АВ-204624</t>
  </si>
  <si>
    <t>Семичев Александр Альгердович</t>
  </si>
  <si>
    <t>АВ-204606</t>
  </si>
  <si>
    <t>Колеганов Вадим Александрович</t>
  </si>
  <si>
    <t>АВ-204620</t>
  </si>
  <si>
    <t>Репин Дмитрий Александрович</t>
  </si>
  <si>
    <t>УК-705503</t>
  </si>
  <si>
    <t>АВ-204634</t>
  </si>
  <si>
    <t>Федорцов Андрей Васильевич</t>
  </si>
  <si>
    <t>Гордейчук Евгений Станиславович</t>
  </si>
  <si>
    <t>АВ-204630</t>
  </si>
  <si>
    <t>Тимогин Юрий Сергеевич</t>
  </si>
  <si>
    <t>АВ-204623</t>
  </si>
  <si>
    <t>№175 от 09.2023</t>
  </si>
  <si>
    <t>Копылов Юрий Александрович</t>
  </si>
  <si>
    <t>АВ-204640</t>
  </si>
  <si>
    <t>Вовк Дмитрий Алексеевич</t>
  </si>
  <si>
    <t>АВ-204639</t>
  </si>
  <si>
    <t>Фишер Александр Александрович</t>
  </si>
  <si>
    <t>АВ-204615</t>
  </si>
  <si>
    <t>АВ-204980</t>
  </si>
  <si>
    <t>Габайдулин Алексей Григорьевич</t>
  </si>
  <si>
    <t>АВ-204995</t>
  </si>
  <si>
    <t>АВ-204996</t>
  </si>
  <si>
    <t>Павлов Андрей Борисович</t>
  </si>
  <si>
    <t>АВ-204992</t>
  </si>
  <si>
    <t>Горошко Евгений Сергеевич</t>
  </si>
  <si>
    <t>АВ-204994</t>
  </si>
  <si>
    <t>Паулюконис Николай Эдвардович</t>
  </si>
  <si>
    <t>АВ-204993</t>
  </si>
  <si>
    <t>Волкомирский Александр Львович</t>
  </si>
  <si>
    <t>АВ-204974</t>
  </si>
  <si>
    <t>№176 от 11.09.2023</t>
  </si>
  <si>
    <t>Бондарев Денис Александрович</t>
  </si>
  <si>
    <t>АВ-204898</t>
  </si>
  <si>
    <t>ст-на</t>
  </si>
  <si>
    <t>Афанасьев Игорь Дмитриевич</t>
  </si>
  <si>
    <t>МТ-824097</t>
  </si>
  <si>
    <t>Глушенков Иван Витальевич</t>
  </si>
  <si>
    <t>АВ-206913</t>
  </si>
  <si>
    <t>Лешкив Михаил Михайлович</t>
  </si>
  <si>
    <t>АВ-299472</t>
  </si>
  <si>
    <t>Кузнецов Александр Павлович</t>
  </si>
  <si>
    <t>Х-521539</t>
  </si>
  <si>
    <t>Кириллов Игорь Александрович</t>
  </si>
  <si>
    <t>АВ-299407</t>
  </si>
  <si>
    <t>Кудряшов Андрей Николаевич</t>
  </si>
  <si>
    <t>МТ-713730</t>
  </si>
  <si>
    <t>Логинов Алексей Николаевич</t>
  </si>
  <si>
    <t>МТ-934187</t>
  </si>
  <si>
    <t>Виноградов Владислав Михайлович</t>
  </si>
  <si>
    <t>АВ-255093</t>
  </si>
  <si>
    <t>Русанов Даниил Сергеевич</t>
  </si>
  <si>
    <t>МТ-824085</t>
  </si>
  <si>
    <t>Шпагин Сергей Юрьевич</t>
  </si>
  <si>
    <t>УК-707984</t>
  </si>
  <si>
    <t>Останин Илья Петрович</t>
  </si>
  <si>
    <t>АВ-204839</t>
  </si>
  <si>
    <t>Молодцов Антон Валерьевич</t>
  </si>
  <si>
    <t>АВ-299406</t>
  </si>
  <si>
    <t>МТ-824930</t>
  </si>
  <si>
    <t>№138 от 28.08.2023</t>
  </si>
  <si>
    <t>Гомза Денис Андреевич</t>
  </si>
  <si>
    <t>АВ-299479</t>
  </si>
  <si>
    <t>Фролков Виталий Петрович</t>
  </si>
  <si>
    <t>АВ-314572</t>
  </si>
  <si>
    <t>Антохин Никита Викторович</t>
  </si>
  <si>
    <t>МТ-934168</t>
  </si>
  <si>
    <t>Миронов Алексей Викторович</t>
  </si>
  <si>
    <t>АВ-256482</t>
  </si>
  <si>
    <t>Семенко Сергей Вячеславович</t>
  </si>
  <si>
    <t>МТ-824106</t>
  </si>
  <si>
    <t>Бухаров Александр Дмитриевич</t>
  </si>
  <si>
    <t>АВ-314406</t>
  </si>
  <si>
    <t>Дерягин Сергей Вадимович</t>
  </si>
  <si>
    <t>АВ-299414</t>
  </si>
  <si>
    <t>Моисеев Николай Викторович</t>
  </si>
  <si>
    <t>АВ-299459</t>
  </si>
  <si>
    <t>Григорович Дмитрий Игоревич</t>
  </si>
  <si>
    <t>АВ-314375</t>
  </si>
  <si>
    <t>Матеров Иван Александрович</t>
  </si>
  <si>
    <t>АВ-299471</t>
  </si>
  <si>
    <t>Баталин Федор Владимирович</t>
  </si>
  <si>
    <t>МТ-824182</t>
  </si>
  <si>
    <t>Ваулин Дмитрий Николаевич</t>
  </si>
  <si>
    <t>МТ-907586</t>
  </si>
  <si>
    <t>Эргашев Руслан Бозорбаевич</t>
  </si>
  <si>
    <t>Э-390495</t>
  </si>
  <si>
    <t>Филев Петр Владимирович</t>
  </si>
  <si>
    <t>АВ-314052</t>
  </si>
  <si>
    <t>Макарян Роберт Ананиевич</t>
  </si>
  <si>
    <t>МТ-902122</t>
  </si>
  <si>
    <t>Маншилин Владимир Викторович</t>
  </si>
  <si>
    <t>МТ-931657</t>
  </si>
  <si>
    <t>Новиков Валерий Сергеевич</t>
  </si>
  <si>
    <t>МТ-824150</t>
  </si>
  <si>
    <t>Торопенко Роман Иванович</t>
  </si>
  <si>
    <t>МТ-931703</t>
  </si>
  <si>
    <t>Пасенко Сергей Владимирович</t>
  </si>
  <si>
    <t>МТ-934139</t>
  </si>
  <si>
    <t>Тарасов Александр Александрович</t>
  </si>
  <si>
    <t>АВ-255781</t>
  </si>
  <si>
    <t>Ковалевский Сергей Дмитриевич</t>
  </si>
  <si>
    <t>МТ-824096</t>
  </si>
  <si>
    <t>Покалюк Андрей Владимирович</t>
  </si>
  <si>
    <t>АВ-204608</t>
  </si>
  <si>
    <t>Савельев Александр Юрьевич</t>
  </si>
  <si>
    <t>АВ-255378</t>
  </si>
  <si>
    <t>Тимашов Андрей Викторович</t>
  </si>
  <si>
    <t>МТ-934112</t>
  </si>
  <si>
    <t>Павлов Вадим Александрович</t>
  </si>
  <si>
    <t>АВ-204675</t>
  </si>
  <si>
    <t>№146 от 11.09.2023</t>
  </si>
  <si>
    <t>Ивков Степан Романович</t>
  </si>
  <si>
    <t>Шевченко Валентин Викторович</t>
  </si>
  <si>
    <t>МТ-824177</t>
  </si>
  <si>
    <t>№178 от 13.09.2023</t>
  </si>
  <si>
    <t>Чуркин Александр Сергеевич</t>
  </si>
  <si>
    <t>АВ-299477</t>
  </si>
  <si>
    <t>Ножков Альберт Сергеевич</t>
  </si>
  <si>
    <t>Никирка Владислав Владимирович</t>
  </si>
  <si>
    <t>АВ-204877</t>
  </si>
  <si>
    <t>Сотов Илья Олегович</t>
  </si>
  <si>
    <t>Э-479369</t>
  </si>
  <si>
    <t>Махонькин Сергей Владимирович</t>
  </si>
  <si>
    <t>МТ-824149</t>
  </si>
  <si>
    <t>Чербунин Виктор Александрович</t>
  </si>
  <si>
    <t>АВ-299456</t>
  </si>
  <si>
    <t>Шевченко Владимир Николаевич</t>
  </si>
  <si>
    <t>УК-844604</t>
  </si>
  <si>
    <t>Зайцев Сергей Викторович</t>
  </si>
  <si>
    <t>АВ-314400</t>
  </si>
  <si>
    <t>Иванов Эдуард Александрович</t>
  </si>
  <si>
    <t>МТ-824145</t>
  </si>
  <si>
    <t>Ершов Александр Валентинович</t>
  </si>
  <si>
    <t>АВ-206917</t>
  </si>
  <si>
    <t>Речкин Александр Николаевич</t>
  </si>
  <si>
    <t>АВ-299405</t>
  </si>
  <si>
    <t>Шестернин Александр Сергеевич</t>
  </si>
  <si>
    <t>рапорт НШ – ЗКБ 2 МСБ №2764 от 13 сентября 2023 года</t>
  </si>
  <si>
    <t>№179 от 14.09.2023</t>
  </si>
  <si>
    <t>РАСЧЕТ ОТПУСКА</t>
  </si>
  <si>
    <t>дата начала отпуска</t>
  </si>
  <si>
    <t>кол-во суток</t>
  </si>
  <si>
    <t>на дорогу</t>
  </si>
  <si>
    <t>доп. Отпуск</t>
  </si>
  <si>
    <t>Дата окончания</t>
  </si>
  <si>
    <t>день</t>
  </si>
  <si>
    <t>месяц</t>
  </si>
  <si>
    <t>год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</si>
  <si>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</si>
  <si>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Токарев Егор Олегович</t>
  </si>
  <si>
    <t>№148 от 18.09.2023</t>
  </si>
  <si>
    <t>мл.л-т</t>
  </si>
  <si>
    <t>Баглаев Филипп Сергеевич</t>
  </si>
  <si>
    <t>№149 18.09.2023</t>
  </si>
  <si>
    <t>МТ-573223</t>
  </si>
  <si>
    <t>Ф-991300</t>
  </si>
  <si>
    <t>ЕХ-981949</t>
  </si>
  <si>
    <t>№142 от 04.09.2023</t>
  </si>
  <si>
    <t>РА-283225</t>
  </si>
  <si>
    <t>ЗА ШТАТОМ</t>
  </si>
  <si>
    <t>Ф-933163</t>
  </si>
  <si>
    <t>РА-030049</t>
  </si>
  <si>
    <t>Востриков Андрей Александрович</t>
  </si>
  <si>
    <t>№147 от 15.09.2023</t>
  </si>
  <si>
    <t>Чекин Александр Викторович</t>
  </si>
  <si>
    <t>АВ-204659</t>
  </si>
  <si>
    <t>МТ-495206</t>
  </si>
  <si>
    <t>Х-715234</t>
  </si>
  <si>
    <t>Пушкарь Павел Вячеславович</t>
  </si>
  <si>
    <t>Ларичев Сергей Владимирович</t>
  </si>
  <si>
    <t>МТ-773579</t>
  </si>
  <si>
    <t>СУ-379564</t>
  </si>
  <si>
    <t>Артюшин Роман Сергеевич</t>
  </si>
  <si>
    <t>АВ-378844</t>
  </si>
  <si>
    <t>Лист № ___</t>
  </si>
  <si>
    <t>учета отпуска пищи в столовой</t>
  </si>
  <si>
    <t>Корешок листа учета отпуска пищи в столовой</t>
  </si>
  <si>
    <t>Отметка о приеме и сдаче</t>
  </si>
  <si>
    <t>Принял ответственный по части _______________________________________________</t>
  </si>
  <si>
    <t xml:space="preserve">                                                                                                         (воинское звание, подпись, инициал имени, фамилия)</t>
  </si>
  <si>
    <t>Сдал дежурный по воинской части __________________________________________</t>
  </si>
  <si>
    <t xml:space="preserve">                                                                                                          (воинское звание, подпись, инициал имени, фамилия)</t>
  </si>
  <si>
    <t>Наименование подразделения</t>
  </si>
  <si>
    <t>Количество питающихся</t>
  </si>
  <si>
    <t>Заявлен расход</t>
  </si>
  <si>
    <t xml:space="preserve">Фактически отпущено,
чел.
</t>
  </si>
  <si>
    <t>Завтрак</t>
  </si>
  <si>
    <t>Обед</t>
  </si>
  <si>
    <t>Ужин</t>
  </si>
  <si>
    <t xml:space="preserve">№ ___  от  </t>
  </si>
  <si>
    <t>Батальон связи</t>
  </si>
  <si>
    <t>Всего:</t>
  </si>
  <si>
    <t>Подпись:</t>
  </si>
  <si>
    <t>18 МСД</t>
  </si>
  <si>
    <t>телеграмма ЗГВ №04 467 от 30 июня 2022 года</t>
  </si>
  <si>
    <t>Указание командующего группировки "Запад" №12/ВПУ/8883Ш от 09.06.2023</t>
  </si>
  <si>
    <t>Маковский Павел Станиславович</t>
  </si>
  <si>
    <t>АВ-204657</t>
  </si>
  <si>
    <t>Кортунов Михаил Георгиевич</t>
  </si>
  <si>
    <t>Х-182070</t>
  </si>
  <si>
    <t>Утнасунов Эрдни Владимирович</t>
  </si>
  <si>
    <t>У-554884</t>
  </si>
  <si>
    <t>№610 от 11.09.2023</t>
  </si>
  <si>
    <t>№482 от 09.08.2023</t>
  </si>
  <si>
    <t>.</t>
  </si>
  <si>
    <t>Шалаботин Сергей Владимирович</t>
  </si>
  <si>
    <t>Х-033978</t>
  </si>
  <si>
    <t>Егоров Артем Николаевич</t>
  </si>
  <si>
    <t>МТ-931729</t>
  </si>
  <si>
    <t>Птицын Евгений Николаевич</t>
  </si>
  <si>
    <t>МТ-907796</t>
  </si>
  <si>
    <t>Голубков Сергей Александрович</t>
  </si>
  <si>
    <t>МТ-931712</t>
  </si>
  <si>
    <t>Никитин Олег Владимирович</t>
  </si>
  <si>
    <t>МТ-907570</t>
  </si>
  <si>
    <t>Маслаков Михаил Николаевич</t>
  </si>
  <si>
    <t>АВ-204897</t>
  </si>
  <si>
    <t>Вайгандт Евгений Артурович</t>
  </si>
  <si>
    <t>МТ-824094</t>
  </si>
  <si>
    <t>Иванов Алексей Викторович</t>
  </si>
  <si>
    <t>АВ-299411</t>
  </si>
  <si>
    <t>Карле Сергей Александрович</t>
  </si>
  <si>
    <t>Х-718495</t>
  </si>
  <si>
    <t>Чиколовец Николай Васильевич</t>
  </si>
  <si>
    <t>МТ-809485</t>
  </si>
  <si>
    <t>Курятников Алексей Владимирович</t>
  </si>
  <si>
    <t>Архипкин Павел Николаевич</t>
  </si>
  <si>
    <t>МТ-907507</t>
  </si>
  <si>
    <t>Дроздов Сергей Сергеевич</t>
  </si>
  <si>
    <t>АВ-206915</t>
  </si>
  <si>
    <t>Жданов Вячеслав Александрович</t>
  </si>
  <si>
    <t>МТ-907368</t>
  </si>
  <si>
    <t>Бараников Николай Николаевич</t>
  </si>
  <si>
    <t>АВ-204899</t>
  </si>
  <si>
    <t>Глажеев Михаил Александрович</t>
  </si>
  <si>
    <t>Ю-720967</t>
  </si>
  <si>
    <t>Савырев Александр Викторович</t>
  </si>
  <si>
    <t>АВ-206914</t>
  </si>
  <si>
    <t>Худяков Сергей Александрович</t>
  </si>
  <si>
    <t>АВ-299413</t>
  </si>
  <si>
    <t>Андреев Владимир Владимирович</t>
  </si>
  <si>
    <t>Ю-523774</t>
  </si>
  <si>
    <t>Белкин Александр Николаевич</t>
  </si>
  <si>
    <t>МТ-824089</t>
  </si>
  <si>
    <t>Белый Андрей Андреевич</t>
  </si>
  <si>
    <t>МТ-537972</t>
  </si>
  <si>
    <t>Бланица Николай Тимофеевич</t>
  </si>
  <si>
    <t>АВ-204885</t>
  </si>
  <si>
    <t>Бордюгов Максим Николаевич</t>
  </si>
  <si>
    <t>АВ-204895</t>
  </si>
  <si>
    <t>Борзин Денис Сергеевич</t>
  </si>
  <si>
    <t>АВ-204941</t>
  </si>
  <si>
    <t>Бритвин Сергей Владимирович</t>
  </si>
  <si>
    <t>АВ-299415</t>
  </si>
  <si>
    <t>Бунов Александр Алексеевич</t>
  </si>
  <si>
    <t>АВ-257591</t>
  </si>
  <si>
    <t>Вансилун Владимир Викторович</t>
  </si>
  <si>
    <t>МТ-824109</t>
  </si>
  <si>
    <t>Венедиктов Алексей Юрьевич</t>
  </si>
  <si>
    <t>АВ-299403</t>
  </si>
  <si>
    <t>Воробьев Дмитрий Леонидович</t>
  </si>
  <si>
    <t>АВ-299401</t>
  </si>
  <si>
    <t>Гарифуллин Фагин Борисович</t>
  </si>
  <si>
    <t>Э-439173</t>
  </si>
  <si>
    <t>Герасимов Дмитрий Игоревич</t>
  </si>
  <si>
    <t>АВ-257066</t>
  </si>
  <si>
    <t>Гусев Олег Валерьевич</t>
  </si>
  <si>
    <t>МТ-907365</t>
  </si>
  <si>
    <t>Даштамиров Алей Яшар оглы</t>
  </si>
  <si>
    <t>МТ-824185</t>
  </si>
  <si>
    <t>Дзюба Владислав Виталиевич</t>
  </si>
  <si>
    <t>МТ-546186</t>
  </si>
  <si>
    <t>Дубровский Виталий Васильевич</t>
  </si>
  <si>
    <t>АВ-314359</t>
  </si>
  <si>
    <t>Ененко Александр Александрович</t>
  </si>
  <si>
    <t>Э-925935</t>
  </si>
  <si>
    <t>Ефимовский Владимир Валентинович</t>
  </si>
  <si>
    <t>АВ-299166</t>
  </si>
  <si>
    <t>Иваницкий Алексей Владимирович</t>
  </si>
  <si>
    <t>АВ-299424</t>
  </si>
  <si>
    <t>Изюмский Дмитрий Борисович</t>
  </si>
  <si>
    <t>АВ-206911</t>
  </si>
  <si>
    <t>Исаев Вячеслав Александрович</t>
  </si>
  <si>
    <t>АВ-299418</t>
  </si>
  <si>
    <t>Клопов Владимир Андреевич</t>
  </si>
  <si>
    <t>МТ-931713</t>
  </si>
  <si>
    <t>Крюков Сергей Викторович</t>
  </si>
  <si>
    <t>АВ-299155</t>
  </si>
  <si>
    <t>Кудрицкий Денис Александрович</t>
  </si>
  <si>
    <t>АВ-206912</t>
  </si>
  <si>
    <t>Ломако Владимир Тамерланович</t>
  </si>
  <si>
    <t>МТ-534987</t>
  </si>
  <si>
    <t>Макаров Владимир Александрович</t>
  </si>
  <si>
    <t>АВ-206908</t>
  </si>
  <si>
    <t>Марков Егор Ильич</t>
  </si>
  <si>
    <t>АВ-314570</t>
  </si>
  <si>
    <t>Марченко Иван Александрович</t>
  </si>
  <si>
    <t>МТ-824099</t>
  </si>
  <si>
    <t>Марьоха Василий Васильевич</t>
  </si>
  <si>
    <t>МТ-824087</t>
  </si>
  <si>
    <t>Мозговой Святослав Николаевич</t>
  </si>
  <si>
    <t>АВ-256952</t>
  </si>
  <si>
    <t>Мокрушин Евгений Петрович</t>
  </si>
  <si>
    <t>АВ-314562</t>
  </si>
  <si>
    <t>Мусалев Максим Андреевич</t>
  </si>
  <si>
    <t>АВ-204896</t>
  </si>
  <si>
    <t>Нурахмедов Ильгар Ярахмедович</t>
  </si>
  <si>
    <t>МТ-713821</t>
  </si>
  <si>
    <t>Овсепян Гнел Вазгенович</t>
  </si>
  <si>
    <t>МТ-934163</t>
  </si>
  <si>
    <t>Потапов Анатолий Васильевич</t>
  </si>
  <si>
    <t>Проскурин Алексей Сергеевич</t>
  </si>
  <si>
    <t>АВ-204891</t>
  </si>
  <si>
    <t>Пущаев Александр Николаевич</t>
  </si>
  <si>
    <t>МТ-824100</t>
  </si>
  <si>
    <t>Салтыков Виктор Юрьевич</t>
  </si>
  <si>
    <t>АВ-299464</t>
  </si>
  <si>
    <t>Самозван Геннадий Викторович</t>
  </si>
  <si>
    <t>АВ-204892</t>
  </si>
  <si>
    <t>Сизов Иван Владимирович</t>
  </si>
  <si>
    <t>АВ-256951</t>
  </si>
  <si>
    <t>Скалозуб Вадим Петрович</t>
  </si>
  <si>
    <t>МТ-824090</t>
  </si>
  <si>
    <t>Снимчиков Андрей Викторович</t>
  </si>
  <si>
    <t>МТ-907797</t>
  </si>
  <si>
    <t>Сохин Михаил Борисович</t>
  </si>
  <si>
    <t>АВ-314397</t>
  </si>
  <si>
    <t>Старцев Михаил Романович</t>
  </si>
  <si>
    <t>АВ-299416</t>
  </si>
  <si>
    <t>Старых Валерий Витальевич</t>
  </si>
  <si>
    <t>МТ-809484</t>
  </si>
  <si>
    <t>Тарабанов Дмитрий Вячеславович</t>
  </si>
  <si>
    <t>МТ-931651</t>
  </si>
  <si>
    <t>Умаров Юнус Магомедович</t>
  </si>
  <si>
    <t>Федосов Никита Борисович</t>
  </si>
  <si>
    <t>АВ-299404</t>
  </si>
  <si>
    <t>Фомичев Дмитрий Александрович</t>
  </si>
  <si>
    <t>АВ-299410</t>
  </si>
  <si>
    <t>Ходнев Александр Юрьевич</t>
  </si>
  <si>
    <t>АВ-299412</t>
  </si>
  <si>
    <t>Хомутов Андрей Александрович</t>
  </si>
  <si>
    <t>АВ-206909</t>
  </si>
  <si>
    <t>Хохлов Максим Алексеевич</t>
  </si>
  <si>
    <t>МТ-843851</t>
  </si>
  <si>
    <t>Цымбал Алексей Васильевич</t>
  </si>
  <si>
    <t>АВ-255377</t>
  </si>
  <si>
    <t>Черепкин Сергей Викторович</t>
  </si>
  <si>
    <t>АВ-257061</t>
  </si>
  <si>
    <t>Шарафиев Фанис Зуфарович</t>
  </si>
  <si>
    <t>МТ-907377</t>
  </si>
  <si>
    <t>Шорсткин Сергей Васильевич</t>
  </si>
  <si>
    <t>МТ-907364</t>
  </si>
  <si>
    <t>Юров Сергей Андреевич</t>
  </si>
  <si>
    <t>МТ-931693</t>
  </si>
  <si>
    <t>Ануфриев Сергей Юрьевич</t>
  </si>
  <si>
    <t>АВ-204868</t>
  </si>
  <si>
    <t>Бабакехян Ашот Атомович</t>
  </si>
  <si>
    <t>АВ-204884</t>
  </si>
  <si>
    <t>Желудок Павел Викторович</t>
  </si>
  <si>
    <t>Х-715470</t>
  </si>
  <si>
    <t>Иванов Дмитрий Борисович</t>
  </si>
  <si>
    <t>АВ-204886</t>
  </si>
  <si>
    <t>Калинин Кирилл Арвидасович</t>
  </si>
  <si>
    <t>Турищев Сергей Александрович</t>
  </si>
  <si>
    <t>АВ-314051</t>
  </si>
  <si>
    <t>Отделение кадров</t>
  </si>
  <si>
    <t>Распопов Антон Иванович</t>
  </si>
  <si>
    <t>9 МОТОСТРЕЛКОВАЯ РОТА</t>
  </si>
  <si>
    <t xml:space="preserve">9 классов </t>
  </si>
  <si>
    <t>№184 от 20.09.2023</t>
  </si>
  <si>
    <t>Дробков Михаил Александрович</t>
  </si>
  <si>
    <t>Банафатьев Александр Владимирович</t>
  </si>
  <si>
    <t>Михайлов Дмитрий Петрович</t>
  </si>
  <si>
    <t>АВ-256288</t>
  </si>
  <si>
    <t>Яловой Юрий Владимирович</t>
  </si>
  <si>
    <t>№150 от 25.09.2023</t>
  </si>
  <si>
    <t>ЕХ-908717</t>
  </si>
  <si>
    <t>Белоусов Алексей Иванович</t>
  </si>
  <si>
    <t>МТ-809493</t>
  </si>
  <si>
    <t>№186 от 21.09.2023</t>
  </si>
  <si>
    <t>Богуславцев Сергей Викторович</t>
  </si>
  <si>
    <t>Щербо Владимир Клавдиевич</t>
  </si>
  <si>
    <t>АВ-204677</t>
  </si>
  <si>
    <t>№149 от 18.09.2023</t>
  </si>
  <si>
    <t>Король Валерий Александрович</t>
  </si>
  <si>
    <t>Митраков Николай Геннадьевич</t>
  </si>
  <si>
    <t>№151 от 25.09.2023</t>
  </si>
  <si>
    <t>майор</t>
  </si>
  <si>
    <t>В. Зимовец</t>
  </si>
  <si>
    <t>Девятов Сергей Викторович</t>
  </si>
  <si>
    <t>АВ-204694</t>
  </si>
  <si>
    <t>Егоров Сергей Вячеславович</t>
  </si>
  <si>
    <t>АВ-204690</t>
  </si>
  <si>
    <t>Максимов Дмитрий Игоревич</t>
  </si>
  <si>
    <t>СУ-200524</t>
  </si>
  <si>
    <t>АВ-204671</t>
  </si>
  <si>
    <t>Шилов Денис Валентинович</t>
  </si>
  <si>
    <t>ВЕ-270810</t>
  </si>
  <si>
    <t>Асташенков Андрей Юрьевич</t>
  </si>
  <si>
    <t>АВ-204645</t>
  </si>
  <si>
    <t>Зезюльчик Сергей Владимирович</t>
  </si>
  <si>
    <t>АВ-204653</t>
  </si>
  <si>
    <t>Кузьмин Алексей Николаевич</t>
  </si>
  <si>
    <t>АВ-204648</t>
  </si>
  <si>
    <t>Кондрашкин Данил Петрович</t>
  </si>
  <si>
    <t>АВ-204641</t>
  </si>
  <si>
    <t>Клоков Василий Александрович</t>
  </si>
  <si>
    <t>АВ-204612</t>
  </si>
  <si>
    <t>Ларин Сергей Владимирович</t>
  </si>
  <si>
    <t>АВ-204651</t>
  </si>
  <si>
    <t>Мамедов Фазил Алиакбер оглы</t>
  </si>
  <si>
    <t>АВ-204663</t>
  </si>
  <si>
    <t>Злобич Андрей Николаевич</t>
  </si>
  <si>
    <t>АВ-204622</t>
  </si>
  <si>
    <t>Гущин Алексей Геннадьевич</t>
  </si>
  <si>
    <t>АВ-204638</t>
  </si>
  <si>
    <t>Немец Эдгар Викторович</t>
  </si>
  <si>
    <t>АВ-204636</t>
  </si>
  <si>
    <t>Бочаров Артем Александрович</t>
  </si>
  <si>
    <t>АВ-204625</t>
  </si>
  <si>
    <t>Лобода Михаил Петрович</t>
  </si>
  <si>
    <t>АВ-204644</t>
  </si>
  <si>
    <t>Клявин Анатолий Евгеньевич</t>
  </si>
  <si>
    <t>АВ-204614</t>
  </si>
  <si>
    <t>Смагин Андрей Сергеевич</t>
  </si>
  <si>
    <t>АВ-204656</t>
  </si>
  <si>
    <t>Неженский Алексей Викторович</t>
  </si>
  <si>
    <t>Х-706933</t>
  </si>
  <si>
    <t>Люсов Дмитрий Леонидович</t>
  </si>
  <si>
    <t>АВ-204603</t>
  </si>
  <si>
    <t>Неверов Сергей Сергеевич</t>
  </si>
  <si>
    <t>АВ-204613</t>
  </si>
  <si>
    <t>Зайферт Александр Викторович</t>
  </si>
  <si>
    <t>АВ-204647</t>
  </si>
  <si>
    <t>Мильшин Дмитрий Викторович</t>
  </si>
  <si>
    <t>АВ-204667</t>
  </si>
  <si>
    <t>Павлов Николай Сергеевич</t>
  </si>
  <si>
    <t>АВ-204999</t>
  </si>
  <si>
    <t>Радцувейт Артем Александрович</t>
  </si>
  <si>
    <t>АВ-204968</t>
  </si>
  <si>
    <t>Соловьёв Виктор Викторович</t>
  </si>
  <si>
    <t>АВ-204983</t>
  </si>
  <si>
    <t>Жуков Константин Сергеевич</t>
  </si>
  <si>
    <t>АВ-204990</t>
  </si>
  <si>
    <t>Кобыливкер Александр Валерьевич</t>
  </si>
  <si>
    <t>АВ-204679</t>
  </si>
  <si>
    <t>Распертов Алексей Петрович</t>
  </si>
  <si>
    <t>АВ-204631</t>
  </si>
  <si>
    <t>Пацина Леонид Владимирович</t>
  </si>
  <si>
    <t>АВ-204649</t>
  </si>
  <si>
    <t>Слободяник Виктор Валентинович</t>
  </si>
  <si>
    <t>АВ-204670</t>
  </si>
  <si>
    <t>осв-ие</t>
  </si>
  <si>
    <t>Шаменков Владислав Сергеевич</t>
  </si>
  <si>
    <t>Казаков Иван Олегович</t>
  </si>
  <si>
    <t>№190 от 26.09.2023</t>
  </si>
  <si>
    <t>Чернобровкин Александр Михайлович</t>
  </si>
  <si>
    <t>полигон Пугачево</t>
  </si>
  <si>
    <t>АВ-204672</t>
  </si>
  <si>
    <t>Жидов Андрей Александрович</t>
  </si>
  <si>
    <t>МТ-896388</t>
  </si>
  <si>
    <t>МТ-825947</t>
  </si>
  <si>
    <t>МТ-753589</t>
  </si>
  <si>
    <t>МТ-820362</t>
  </si>
  <si>
    <t>МТ-753596</t>
  </si>
  <si>
    <t>МТ-864814</t>
  </si>
  <si>
    <t>АВ-201123</t>
  </si>
  <si>
    <t>МТ-753600</t>
  </si>
  <si>
    <t>МТ-753603</t>
  </si>
  <si>
    <t>МТ-753604</t>
  </si>
  <si>
    <t>АВ-200229</t>
  </si>
  <si>
    <t>АВ-267372</t>
  </si>
  <si>
    <t>АВ-207983</t>
  </si>
  <si>
    <t>АВ-200773</t>
  </si>
  <si>
    <t>АВ-200987</t>
  </si>
  <si>
    <t>МТ-753606</t>
  </si>
  <si>
    <t>АВ-424196</t>
  </si>
  <si>
    <t>МТ-867054</t>
  </si>
  <si>
    <t>АВ-275640</t>
  </si>
  <si>
    <t>МТ-821628</t>
  </si>
  <si>
    <t>МТ-811340</t>
  </si>
  <si>
    <t>МТ-811341</t>
  </si>
  <si>
    <t>АВ-296576</t>
  </si>
  <si>
    <t>МТ-848557</t>
  </si>
  <si>
    <t>АВ-200218</t>
  </si>
  <si>
    <t>МТ-827180</t>
  </si>
  <si>
    <t>АВ-200219</t>
  </si>
  <si>
    <t>АВ-200304</t>
  </si>
  <si>
    <t>МТ-753560</t>
  </si>
  <si>
    <t>АВ-296163</t>
  </si>
  <si>
    <t>АВ-201126</t>
  </si>
  <si>
    <t>АВ-257843</t>
  </si>
  <si>
    <t>АВ-260077</t>
  </si>
  <si>
    <t>МТ-825940</t>
  </si>
  <si>
    <t>АВ-201020</t>
  </si>
  <si>
    <t>МТ-866037</t>
  </si>
  <si>
    <t>АВ-542924</t>
  </si>
  <si>
    <t>МТ-844987</t>
  </si>
  <si>
    <t>АВ-200796</t>
  </si>
  <si>
    <t>АВ-542925</t>
  </si>
  <si>
    <t>ВЕ-181553</t>
  </si>
  <si>
    <t>АВ-302088</t>
  </si>
  <si>
    <t>АВ-205594</t>
  </si>
  <si>
    <t>АВ-200834</t>
  </si>
  <si>
    <t>АВ-872236</t>
  </si>
  <si>
    <t>МТ-753613</t>
  </si>
  <si>
    <t>АВ-346495</t>
  </si>
  <si>
    <t>АВ-200222</t>
  </si>
  <si>
    <t>МТ-898398</t>
  </si>
  <si>
    <t>АВ-275668</t>
  </si>
  <si>
    <t>МТ-897580</t>
  </si>
  <si>
    <t>АВ-200798</t>
  </si>
  <si>
    <t>ВЕ-142924</t>
  </si>
  <si>
    <t>МТ-753615</t>
  </si>
  <si>
    <t>МТ-753620</t>
  </si>
  <si>
    <t>АВ-207853</t>
  </si>
  <si>
    <t>АВ-349430</t>
  </si>
  <si>
    <t>МТ-848543</t>
  </si>
  <si>
    <t>МТ-753564</t>
  </si>
  <si>
    <t>МТ-897600</t>
  </si>
  <si>
    <t>МТ-753626</t>
  </si>
  <si>
    <t>АВ-201107</t>
  </si>
  <si>
    <t>АВ-200872</t>
  </si>
  <si>
    <t>АВ-257823</t>
  </si>
  <si>
    <t>АВ-200209</t>
  </si>
  <si>
    <t>АВ-260334</t>
  </si>
  <si>
    <t>АВ-349431</t>
  </si>
  <si>
    <t>МТ-848986</t>
  </si>
  <si>
    <t>МТ-821631</t>
  </si>
  <si>
    <t>МТ-753627</t>
  </si>
  <si>
    <t>МТ-845435</t>
  </si>
  <si>
    <t>АВ-328649</t>
  </si>
  <si>
    <t>АВ-275645</t>
  </si>
  <si>
    <t>АВ-425544</t>
  </si>
  <si>
    <t>МТ-638347</t>
  </si>
  <si>
    <t>АВ-200803</t>
  </si>
  <si>
    <t>МТ-809143</t>
  </si>
  <si>
    <t>МТ-886856</t>
  </si>
  <si>
    <t>АВ-201028</t>
  </si>
  <si>
    <t>АВ-542929</t>
  </si>
  <si>
    <t>АВ-425935</t>
  </si>
  <si>
    <t>АВ-200305</t>
  </si>
  <si>
    <t>АВ-209822</t>
  </si>
  <si>
    <t>РА-489174</t>
  </si>
  <si>
    <t>АВ-201029</t>
  </si>
  <si>
    <t>АВ-267369</t>
  </si>
  <si>
    <t>МТ-864837</t>
  </si>
  <si>
    <t>АВ-275669</t>
  </si>
  <si>
    <t>ВЕ-181558</t>
  </si>
  <si>
    <t>АВ-200761</t>
  </si>
  <si>
    <t>АВ-275670</t>
  </si>
  <si>
    <t>МТ-896390</t>
  </si>
  <si>
    <t>ВЕ-169115</t>
  </si>
  <si>
    <t>АВ-200223</t>
  </si>
  <si>
    <t>АВ-257825</t>
  </si>
  <si>
    <t>АВ-209823</t>
  </si>
  <si>
    <t>АВ-263532</t>
  </si>
  <si>
    <t>АВ-207662</t>
  </si>
  <si>
    <t>МТ-811336</t>
  </si>
  <si>
    <t>АВ-275648</t>
  </si>
  <si>
    <t>АВ-296000</t>
  </si>
  <si>
    <t>АВ-348730</t>
  </si>
  <si>
    <t>МТ-896391</t>
  </si>
  <si>
    <t>ВЕ-181560</t>
  </si>
  <si>
    <t>АВ-201032</t>
  </si>
  <si>
    <t>МТ-643997</t>
  </si>
  <si>
    <t>МТ-753635</t>
  </si>
  <si>
    <t>АВ-200805</t>
  </si>
  <si>
    <t>АВ-200201</t>
  </si>
  <si>
    <t>МТ-896384</t>
  </si>
  <si>
    <t>АВ-200992</t>
  </si>
  <si>
    <t>МТ-753638</t>
  </si>
  <si>
    <t>АВ-200289</t>
  </si>
  <si>
    <t>АВ-275671</t>
  </si>
  <si>
    <t>МТ-897595</t>
  </si>
  <si>
    <t>АВ-200806</t>
  </si>
  <si>
    <t>МТ-811330</t>
  </si>
  <si>
    <t>АВ-408152</t>
  </si>
  <si>
    <t>АВ-207887</t>
  </si>
  <si>
    <t>МТ-753641</t>
  </si>
  <si>
    <t>АВ-200935</t>
  </si>
  <si>
    <t>ВЕ-181563</t>
  </si>
  <si>
    <t>АВ-542930</t>
  </si>
  <si>
    <t>МТ-811337</t>
  </si>
  <si>
    <t>АВ-263533</t>
  </si>
  <si>
    <t>АВ-200835</t>
  </si>
  <si>
    <t>АВ-257921</t>
  </si>
  <si>
    <t>АВ-200347</t>
  </si>
  <si>
    <t>АВ-200892</t>
  </si>
  <si>
    <t>АВ-200348</t>
  </si>
  <si>
    <t>АВ-349888</t>
  </si>
  <si>
    <t>АВ-542931</t>
  </si>
  <si>
    <t>АВ-275651</t>
  </si>
  <si>
    <t>АВ-200228</t>
  </si>
  <si>
    <t>АВ-200882</t>
  </si>
  <si>
    <t>АВ-275653</t>
  </si>
  <si>
    <t>АВ-294609</t>
  </si>
  <si>
    <t>АВ-200978</t>
  </si>
  <si>
    <t>АВ-205584</t>
  </si>
  <si>
    <t>АВ-267371</t>
  </si>
  <si>
    <t>АВ-302112</t>
  </si>
  <si>
    <t>АВ-267366</t>
  </si>
  <si>
    <t>МТ-753648</t>
  </si>
  <si>
    <t>АВ-201104</t>
  </si>
  <si>
    <t>МТ-896393</t>
  </si>
  <si>
    <t>АВ-200753</t>
  </si>
  <si>
    <t>АВ-271400</t>
  </si>
  <si>
    <t>АВ-201045</t>
  </si>
  <si>
    <t>АВ-200943</t>
  </si>
  <si>
    <t>АВ-542936</t>
  </si>
  <si>
    <t>АВ-200764</t>
  </si>
  <si>
    <t>ВЕ-137200</t>
  </si>
  <si>
    <t>АВ-200945</t>
  </si>
  <si>
    <t>АВ-260083</t>
  </si>
  <si>
    <t>АВ-270246</t>
  </si>
  <si>
    <t>АВ-260109</t>
  </si>
  <si>
    <t>АВ-201103</t>
  </si>
  <si>
    <t>МТ-753654</t>
  </si>
  <si>
    <t>МТ-753655</t>
  </si>
  <si>
    <t>МТ-753656</t>
  </si>
  <si>
    <t>МТ-753659</t>
  </si>
  <si>
    <t>ВЕ-169124</t>
  </si>
  <si>
    <t>МТ-753662</t>
  </si>
  <si>
    <t>АВ-347225</t>
  </si>
  <si>
    <t>АВ-200899</t>
  </si>
  <si>
    <t>АВ-805190</t>
  </si>
  <si>
    <t>МТ-753573</t>
  </si>
  <si>
    <t>МТ-811344</t>
  </si>
  <si>
    <t>МТ-809146</t>
  </si>
  <si>
    <t>АВ-296472</t>
  </si>
  <si>
    <t>АВ-302118</t>
  </si>
  <si>
    <t>АВ-275658</t>
  </si>
  <si>
    <t>АВ-302069</t>
  </si>
  <si>
    <t>МТ-753666</t>
  </si>
  <si>
    <t>МТ-753575</t>
  </si>
  <si>
    <t>ВЕ-181567</t>
  </si>
  <si>
    <t>МТ-825973</t>
  </si>
  <si>
    <t>ВЕ-138691</t>
  </si>
  <si>
    <t>АВ-200335</t>
  </si>
  <si>
    <t>МТ-865838</t>
  </si>
  <si>
    <t>АВ-260335</t>
  </si>
  <si>
    <t>АВ-263535</t>
  </si>
  <si>
    <t>МТ-753670</t>
  </si>
  <si>
    <t>АВ-200294</t>
  </si>
  <si>
    <t>МТ-897602</t>
  </si>
  <si>
    <t>АВ-347958</t>
  </si>
  <si>
    <t>ВЕ-181569</t>
  </si>
  <si>
    <t>АВ-542945</t>
  </si>
  <si>
    <t>МТ-816301</t>
  </si>
  <si>
    <t>МТ-897581</t>
  </si>
  <si>
    <t>МТ-753578</t>
  </si>
  <si>
    <t>АВ-275675</t>
  </si>
  <si>
    <t>АВ-201057</t>
  </si>
  <si>
    <t>АВ-200244</t>
  </si>
  <si>
    <t>АВ-304602</t>
  </si>
  <si>
    <t>АВ296003</t>
  </si>
  <si>
    <t>АВ-296671</t>
  </si>
  <si>
    <t>АВ-328651</t>
  </si>
  <si>
    <t>АВ-294619</t>
  </si>
  <si>
    <t>МТ-897603</t>
  </si>
  <si>
    <t>ВЕ-169130</t>
  </si>
  <si>
    <t>МТ-890075</t>
  </si>
  <si>
    <t>АВ-200205</t>
  </si>
  <si>
    <t>МТ-849675</t>
  </si>
  <si>
    <t>МТ-845072</t>
  </si>
  <si>
    <t>АВ-200838</t>
  </si>
  <si>
    <t>АВ-296005</t>
  </si>
  <si>
    <t>АВ-259662</t>
  </si>
  <si>
    <t>АВ-275659</t>
  </si>
  <si>
    <t>Пономарев Данил Дмитриевич</t>
  </si>
  <si>
    <t>АВ-805198</t>
  </si>
  <si>
    <t>АВ-200234</t>
  </si>
  <si>
    <t>АВ-200235</t>
  </si>
  <si>
    <t>МТ-649269</t>
  </si>
  <si>
    <t>АВ-200217</t>
  </si>
  <si>
    <t>АВ-200958</t>
  </si>
  <si>
    <t>МТ-864651</t>
  </si>
  <si>
    <t>АВ-257820</t>
  </si>
  <si>
    <t>МТ-753683</t>
  </si>
  <si>
    <t>АВ-200338</t>
  </si>
  <si>
    <t>АВ-257822</t>
  </si>
  <si>
    <t>АВ-275663</t>
  </si>
  <si>
    <t>МТ-848988</t>
  </si>
  <si>
    <t>АВ-302137</t>
  </si>
  <si>
    <t>МТ-845068</t>
  </si>
  <si>
    <t>АВ-201114</t>
  </si>
  <si>
    <t>АВ-302071</t>
  </si>
  <si>
    <t>МТ-897582</t>
  </si>
  <si>
    <t>АВ-200824</t>
  </si>
  <si>
    <t>АВ-200979</t>
  </si>
  <si>
    <t>АВ-304914</t>
  </si>
  <si>
    <t>АВ-263537</t>
  </si>
  <si>
    <t>МТ-844989</t>
  </si>
  <si>
    <t>АВ-304744</t>
  </si>
  <si>
    <t>АВ-201194</t>
  </si>
  <si>
    <t>МТ-886852</t>
  </si>
  <si>
    <t>АВ-211584</t>
  </si>
  <si>
    <t>АВ-256672</t>
  </si>
  <si>
    <t>АВ-302148</t>
  </si>
  <si>
    <t>АВ-200964</t>
  </si>
  <si>
    <t>АВ-200965</t>
  </si>
  <si>
    <t>АВ-205593</t>
  </si>
  <si>
    <t>АВ-200983</t>
  </si>
  <si>
    <t>АВ-201158</t>
  </si>
  <si>
    <t>МТ-569421</t>
  </si>
  <si>
    <t>МТ-753693</t>
  </si>
  <si>
    <t>АВ-349975</t>
  </si>
  <si>
    <t>АВ-805201</t>
  </si>
  <si>
    <t>АВ-408057</t>
  </si>
  <si>
    <t>АВ-200994</t>
  </si>
  <si>
    <t>АВ-200969</t>
  </si>
  <si>
    <t>МТ-897578</t>
  </si>
  <si>
    <t>АВ-201080</t>
  </si>
  <si>
    <t>АВ-302152</t>
  </si>
  <si>
    <t>АВ-275683</t>
  </si>
  <si>
    <t>АВ-200827</t>
  </si>
  <si>
    <t>МТ-545606</t>
  </si>
  <si>
    <t>АВ-304922</t>
  </si>
  <si>
    <t>МТ-844999</t>
  </si>
  <si>
    <t>АВ-200280</t>
  </si>
  <si>
    <t>МТ-886854</t>
  </si>
  <si>
    <t>МТ-849029</t>
  </si>
  <si>
    <t>АВ-260080</t>
  </si>
  <si>
    <t>АВ-200890</t>
  </si>
  <si>
    <t>МТ-896394</t>
  </si>
  <si>
    <t>АВ-267370</t>
  </si>
  <si>
    <t>АВ-201095</t>
  </si>
  <si>
    <t>МТ-809151</t>
  </si>
  <si>
    <t>МТ-809152</t>
  </si>
  <si>
    <t>АВ-200517</t>
  </si>
  <si>
    <t>МТ-849802</t>
  </si>
  <si>
    <t>АВ-275685</t>
  </si>
  <si>
    <t>АВ-302072</t>
  </si>
  <si>
    <t>МТ-753703</t>
  </si>
  <si>
    <t>МТ-811328</t>
  </si>
  <si>
    <t>АВ-349438</t>
  </si>
  <si>
    <t>МТ-863658</t>
  </si>
  <si>
    <t>МТ-811315</t>
  </si>
  <si>
    <t>АВ-200830</t>
  </si>
  <si>
    <t>МТ-864653</t>
  </si>
  <si>
    <t>АВ-200976</t>
  </si>
  <si>
    <t>МТ-866047</t>
  </si>
  <si>
    <t>МТ-753707</t>
  </si>
  <si>
    <t>МТ-847156</t>
  </si>
  <si>
    <t>АВ-201138</t>
  </si>
  <si>
    <t>АВ-296528</t>
  </si>
  <si>
    <t>МТ-753712</t>
  </si>
  <si>
    <t>ВЕ 169144</t>
  </si>
  <si>
    <t>У-909045</t>
  </si>
  <si>
    <t>ВЕ-100107</t>
  </si>
  <si>
    <t>УК-706026</t>
  </si>
  <si>
    <t>УК-702406</t>
  </si>
  <si>
    <t>Ф-717261</t>
  </si>
  <si>
    <t>Т-399490</t>
  </si>
  <si>
    <t>ЕХ-900557</t>
  </si>
  <si>
    <t>Ф-670489</t>
  </si>
  <si>
    <t>ВС-086752</t>
  </si>
  <si>
    <t>У-869691</t>
  </si>
  <si>
    <t>Э-048945</t>
  </si>
  <si>
    <t>МТ-102835</t>
  </si>
  <si>
    <t>АВ-204880</t>
  </si>
  <si>
    <t>МТ-547911</t>
  </si>
  <si>
    <t>АВ-574960</t>
  </si>
  <si>
    <t>ЕХ-720296</t>
  </si>
  <si>
    <t>УК-706637</t>
  </si>
  <si>
    <t>МТ-495063</t>
  </si>
  <si>
    <t>АВ-204831</t>
  </si>
  <si>
    <t>ВЕ-380557</t>
  </si>
  <si>
    <t>ВС-018069</t>
  </si>
  <si>
    <t>Э-067443</t>
  </si>
  <si>
    <t>УК-886896</t>
  </si>
  <si>
    <t>АВ-204837</t>
  </si>
  <si>
    <t>СУ-387053</t>
  </si>
  <si>
    <t>МТ-824081</t>
  </si>
  <si>
    <t>Водолазский Александр Сергеевич</t>
  </si>
  <si>
    <t>АВ-344651</t>
  </si>
  <si>
    <t>УК-788079</t>
  </si>
  <si>
    <t>ЕХ-897746</t>
  </si>
  <si>
    <t>АВ-204841</t>
  </si>
  <si>
    <t>МТ-259557</t>
  </si>
  <si>
    <t>УК-797185</t>
  </si>
  <si>
    <t>Э-397722</t>
  </si>
  <si>
    <t>ВЕ-380212</t>
  </si>
  <si>
    <t>Э-622980</t>
  </si>
  <si>
    <t>ЕХ-999045</t>
  </si>
  <si>
    <t>АВ-344556</t>
  </si>
  <si>
    <t>Ю-734797</t>
  </si>
  <si>
    <t>Ф-879572</t>
  </si>
  <si>
    <t>Х-713342</t>
  </si>
  <si>
    <t>РА-272079</t>
  </si>
  <si>
    <t>УК-609881</t>
  </si>
  <si>
    <t>ВС-127119</t>
  </si>
  <si>
    <t>УК-708330</t>
  </si>
  <si>
    <t>УК-706827</t>
  </si>
  <si>
    <t>МТ-580598</t>
  </si>
  <si>
    <t>АВ-249442</t>
  </si>
  <si>
    <t>Х-707988</t>
  </si>
  <si>
    <t>ВС-265460</t>
  </si>
  <si>
    <t>ВЕ-380580</t>
  </si>
  <si>
    <t>МТ-102830</t>
  </si>
  <si>
    <t>УК-708455</t>
  </si>
  <si>
    <t>ЕХ-952254</t>
  </si>
  <si>
    <t>ВЕ-213099</t>
  </si>
  <si>
    <t>ЕХ-952093</t>
  </si>
  <si>
    <t>Х-714815</t>
  </si>
  <si>
    <t>МТ-285637</t>
  </si>
  <si>
    <t>АВ-200083</t>
  </si>
  <si>
    <t>ЕХ-969046</t>
  </si>
  <si>
    <t>МТ-499334</t>
  </si>
  <si>
    <t>МТ-497966</t>
  </si>
  <si>
    <t>Ф-808966</t>
  </si>
  <si>
    <t>ЕХ-979872</t>
  </si>
  <si>
    <t>Ю-267675</t>
  </si>
  <si>
    <t>АВ-349648</t>
  </si>
  <si>
    <t>УК-708778</t>
  </si>
  <si>
    <t>АВ-295112</t>
  </si>
  <si>
    <t>Мищенко Евгений Валерьевич</t>
  </si>
  <si>
    <t>АВ-204627</t>
  </si>
  <si>
    <t>Жданов Кирилл Юльевич</t>
  </si>
  <si>
    <t>АВ-204706</t>
  </si>
  <si>
    <t>Улегин Андрей Борисович</t>
  </si>
  <si>
    <t>АВ-204708</t>
  </si>
  <si>
    <t>Черников Алексей Николаевич</t>
  </si>
  <si>
    <t>АВ-204744</t>
  </si>
  <si>
    <t>Пиндус Виталий Сергеевич</t>
  </si>
  <si>
    <t>АВ-204705</t>
  </si>
  <si>
    <t>Шульцас Александр Стасевич</t>
  </si>
  <si>
    <t>МТ-570421</t>
  </si>
  <si>
    <t>Редькин Захар Владимирович</t>
  </si>
  <si>
    <t xml:space="preserve">Лепшихин Александр Сергеевич </t>
  </si>
  <si>
    <t>Белоусов Вячеслав Викторович</t>
  </si>
  <si>
    <t>Шишкин Вадим Александрович</t>
  </si>
  <si>
    <t>Мельников Андрей Владимирович</t>
  </si>
  <si>
    <t>АВ-275666</t>
  </si>
  <si>
    <t>АВ-204748</t>
  </si>
  <si>
    <t>Коробков Алексей Вячеславович</t>
  </si>
  <si>
    <t>Бабичь Николай Иванович</t>
  </si>
  <si>
    <t>Ю-484856</t>
  </si>
  <si>
    <t>Швайченко Сергей Александрович</t>
  </si>
  <si>
    <t>Пыченков Евгений Игоревич</t>
  </si>
  <si>
    <t>Венедиктов Виталий Николаевич</t>
  </si>
  <si>
    <t>Кузнецов Денис Борисович</t>
  </si>
  <si>
    <t>МТ-611659</t>
  </si>
  <si>
    <t>Иванов Эдуард Алексеевич</t>
  </si>
  <si>
    <t>АВ-204681</t>
  </si>
  <si>
    <t>Полигон Пугачево</t>
  </si>
  <si>
    <t>Рябков Данил Николаевич</t>
  </si>
  <si>
    <t>Х-262533</t>
  </si>
  <si>
    <t>№192 от 28.09.2023</t>
  </si>
  <si>
    <t>Потапов Владимир Васильевич</t>
  </si>
  <si>
    <t>АВ-204643</t>
  </si>
  <si>
    <t>рапорт командира 8 МСР № 3121 от 28 сентября 2023 года</t>
  </si>
  <si>
    <t>Конопля Леонид Сергеевич</t>
  </si>
  <si>
    <t>АВ-204686</t>
  </si>
  <si>
    <t>Колосов Андрей Анатольевич</t>
  </si>
  <si>
    <t>ВЕ-316102</t>
  </si>
  <si>
    <t>Фомичёв Сергей Анатольевич</t>
  </si>
  <si>
    <t>Ковылкин Алексей Валериевич</t>
  </si>
  <si>
    <t>Чуйкин Игорь Анатольевич</t>
  </si>
  <si>
    <t>Самарцев Артем Дмитриевич</t>
  </si>
  <si>
    <t>Нейбергер Евгений Евгеньевич</t>
  </si>
  <si>
    <t>Никулин Виктор</t>
  </si>
  <si>
    <t>Кхаттак Руслан Джаведович</t>
  </si>
  <si>
    <t>Пономарёв Михаил Васильевич</t>
  </si>
  <si>
    <t>Сивак Сергей Владимирович</t>
  </si>
  <si>
    <t>Маслов Роман Валерьевич</t>
  </si>
  <si>
    <t>Курганский Денис Геннадьевич</t>
  </si>
  <si>
    <t>Лысаченко Евгений Игоревич</t>
  </si>
  <si>
    <t>Минченко Павел Владимирович</t>
  </si>
  <si>
    <t>Цветков Александр Михайлович</t>
  </si>
  <si>
    <t>МТ-515087</t>
  </si>
  <si>
    <t>Мовчан Кирилл Витальевич</t>
  </si>
  <si>
    <t>Лисенёв Ян Владимирович</t>
  </si>
  <si>
    <t>Вистунов Андрей Михайлович</t>
  </si>
  <si>
    <t>Антонов Михаил Леонтьевич</t>
  </si>
  <si>
    <t>АВ-204830</t>
  </si>
  <si>
    <t>Остриков Григорий Иванович</t>
  </si>
  <si>
    <t>Марковцов Андрей Александрович</t>
  </si>
  <si>
    <t>Баринский Александр Александрович</t>
  </si>
  <si>
    <t>Грудзинcкас Виталюс Антанас</t>
  </si>
  <si>
    <t>Воронов Пётр Владимирович</t>
  </si>
  <si>
    <t>Кемаев Артём Игоревич</t>
  </si>
  <si>
    <t>№193 от 29.09.2023</t>
  </si>
  <si>
    <t>Боровик Артем Русланович</t>
  </si>
  <si>
    <t>№192 от 28.2023</t>
  </si>
  <si>
    <t>№124 от 01.07.2023</t>
  </si>
  <si>
    <t>рапорт начальника артиллерии №3146 от 29 сентября 2023 года</t>
  </si>
  <si>
    <t>Х-134171</t>
  </si>
  <si>
    <t>Х-779520</t>
  </si>
  <si>
    <t>Х-656769</t>
  </si>
  <si>
    <t>Карпов Александр Вячеславович</t>
  </si>
  <si>
    <t>МТ-447720</t>
  </si>
  <si>
    <t>ВЕ-380616</t>
  </si>
  <si>
    <t>ЕХ-977404</t>
  </si>
  <si>
    <t>РА-114794</t>
  </si>
  <si>
    <t>ВС-325739</t>
  </si>
  <si>
    <t>ВС-325779</t>
  </si>
  <si>
    <t>ВС-325799</t>
  </si>
  <si>
    <t>ВС-325773</t>
  </si>
  <si>
    <t>РА-212587</t>
  </si>
  <si>
    <t>Ю-353582</t>
  </si>
  <si>
    <t>Х-655142</t>
  </si>
  <si>
    <t>ЕХ-980168</t>
  </si>
  <si>
    <t>МТ-844465</t>
  </si>
  <si>
    <t>Х-715346</t>
  </si>
  <si>
    <t>АВ-204861</t>
  </si>
  <si>
    <t>Ф-578497</t>
  </si>
  <si>
    <t>Э-067362</t>
  </si>
  <si>
    <t>Э-102381</t>
  </si>
  <si>
    <t>АВ-204838</t>
  </si>
  <si>
    <t>ВЕ-270871</t>
  </si>
  <si>
    <t>УК-890202</t>
  </si>
  <si>
    <t>Ю-726616</t>
  </si>
  <si>
    <t>Кислов Алексей Александрович</t>
  </si>
  <si>
    <t>Х-776363</t>
  </si>
  <si>
    <t>Эргардт Эдуард Иванович</t>
  </si>
  <si>
    <t>Максимов Вадим Михайлович</t>
  </si>
  <si>
    <t>МТ-571360</t>
  </si>
  <si>
    <t>Ельнов Александр Владимирович</t>
  </si>
  <si>
    <t>МТ-570349</t>
  </si>
  <si>
    <t>Меркулов Игорь Павлович</t>
  </si>
  <si>
    <t>АВ-200318</t>
  </si>
  <si>
    <t>Башмаков Юрий Алексеевич</t>
  </si>
  <si>
    <t>АВ-204822</t>
  </si>
  <si>
    <t>Всего срочников</t>
  </si>
  <si>
    <t>Царев Вячеслав Владимирович</t>
  </si>
  <si>
    <t>АВ-204832</t>
  </si>
  <si>
    <t>Бочагов Евгений Викторович</t>
  </si>
  <si>
    <t>У-882825</t>
  </si>
  <si>
    <t>Э-682689</t>
  </si>
  <si>
    <t>Ф-179051</t>
  </si>
  <si>
    <t>Рыбаков Анатолий Анатольевич</t>
  </si>
  <si>
    <t>ЕХ-909224</t>
  </si>
  <si>
    <t>Лазаренко Владимир Васильевич</t>
  </si>
  <si>
    <t>Т-456485</t>
  </si>
  <si>
    <t>ЕХ-979240</t>
  </si>
  <si>
    <t>Э-178726</t>
  </si>
  <si>
    <t>ЕХ-911226</t>
  </si>
  <si>
    <t>УК-932551</t>
  </si>
  <si>
    <t>Даниленко Данил Дмитриевич</t>
  </si>
  <si>
    <t>Х-672029</t>
  </si>
  <si>
    <t>Т-395276</t>
  </si>
  <si>
    <t>Астапов Кирил Владимирович</t>
  </si>
  <si>
    <t>АВ-204945</t>
  </si>
  <si>
    <t>Иевлев Никита Сергеевич</t>
  </si>
  <si>
    <t>АВ-204689</t>
  </si>
  <si>
    <t>РА-058049</t>
  </si>
  <si>
    <t>Панков Владимир Николаевич</t>
  </si>
  <si>
    <t>Х-156602</t>
  </si>
  <si>
    <t>Косарев Андрей Андреевич</t>
  </si>
  <si>
    <t>ЕХ-980285</t>
  </si>
  <si>
    <t>Котов Иван Александрович</t>
  </si>
  <si>
    <t>ВЕ-380638</t>
  </si>
  <si>
    <t>Кречетов Виктор Анатольевич</t>
  </si>
  <si>
    <t>ЕХ-682907</t>
  </si>
  <si>
    <t>Потапов Иван Александрович</t>
  </si>
  <si>
    <t>ЕХ-911119</t>
  </si>
  <si>
    <t>Антипов Василий Валерьевич</t>
  </si>
  <si>
    <t>ЕХ-722902</t>
  </si>
  <si>
    <t>Мосеев Александр Сергеевич</t>
  </si>
  <si>
    <t>ВЕ-380852</t>
  </si>
  <si>
    <t>Дядченко Александр Анатольевич</t>
  </si>
  <si>
    <t>ЕХ-911429</t>
  </si>
  <si>
    <t>Горбатенков Олег Евгеньевич</t>
  </si>
  <si>
    <t>ЕХ-673837</t>
  </si>
  <si>
    <t>Самокруткин Михаил Александрович</t>
  </si>
  <si>
    <t>РА-113122</t>
  </si>
  <si>
    <t>Паланейчик Сергей Михайлович</t>
  </si>
  <si>
    <t>РА-115722</t>
  </si>
  <si>
    <t>Чумачков Вячеслав Дмитриевич</t>
  </si>
  <si>
    <t>ЕХ-879792</t>
  </si>
  <si>
    <t>Тадулев Кирилл Игоревич</t>
  </si>
  <si>
    <t>УК-705071</t>
  </si>
  <si>
    <t>Тарасов Николай Андреевич</t>
  </si>
  <si>
    <t>УК-720695</t>
  </si>
  <si>
    <t>Гончаров Илья Сергеевич</t>
  </si>
  <si>
    <t>УК-705874</t>
  </si>
  <si>
    <t>Жахмаев Арсен Абдулхакимович</t>
  </si>
  <si>
    <t>УК-706013</t>
  </si>
  <si>
    <t>Душевин Никита Дмитриевич</t>
  </si>
  <si>
    <t>УК-706077</t>
  </si>
  <si>
    <t>Губский Антон Николаевич</t>
  </si>
  <si>
    <t>УК-707654</t>
  </si>
  <si>
    <t>Никонов Данил Андреевич</t>
  </si>
  <si>
    <t>УК-828631</t>
  </si>
  <si>
    <t>Березовиченко Владислав Дмитриевич</t>
  </si>
  <si>
    <t>УК-707306</t>
  </si>
  <si>
    <t>Дунченкин Антон Александрович</t>
  </si>
  <si>
    <t>АВ-300221</t>
  </si>
  <si>
    <t>Кострыкин Андрей Владимирович</t>
  </si>
  <si>
    <t>Х-628921</t>
  </si>
  <si>
    <t>Еремеев Иван Александрович</t>
  </si>
  <si>
    <t>МТ-880381</t>
  </si>
  <si>
    <t>Жуков Юрий Александрович</t>
  </si>
  <si>
    <t>МТ-571755</t>
  </si>
  <si>
    <t>Соков Дмитрий Владимирович</t>
  </si>
  <si>
    <t>АВ-204844</t>
  </si>
  <si>
    <t>Зайцев Андрей Валерьевич</t>
  </si>
  <si>
    <t>Э-406789</t>
  </si>
  <si>
    <t>Гладков Сергей Сергеевич</t>
  </si>
  <si>
    <t>МТ-824088</t>
  </si>
  <si>
    <t>Граф Евгений Владимирович</t>
  </si>
  <si>
    <t>АВ-204866</t>
  </si>
  <si>
    <t>Шилов Владислав Александрович</t>
  </si>
  <si>
    <t>АВ-204878</t>
  </si>
  <si>
    <t>Писарчук Александр Владимирович</t>
  </si>
  <si>
    <t>АВ-204882</t>
  </si>
  <si>
    <t>Шевель Андрей Викторович</t>
  </si>
  <si>
    <t>АВ-204890</t>
  </si>
  <si>
    <t>Спудас Геннадий Антано</t>
  </si>
  <si>
    <t>АВ-204894</t>
  </si>
  <si>
    <t>Рогацевич Андрей Владимирович</t>
  </si>
  <si>
    <t>АВ-204824</t>
  </si>
  <si>
    <t>Иванов Руслан Александрович</t>
  </si>
  <si>
    <t>УК-708968</t>
  </si>
  <si>
    <t>Пронин Сергей Михайлович</t>
  </si>
  <si>
    <t>АВ-204947</t>
  </si>
  <si>
    <t>Олейников Максим Вадимович</t>
  </si>
  <si>
    <t>АВ-204950</t>
  </si>
  <si>
    <t>Плесовских Евгений Евгеньевич</t>
  </si>
  <si>
    <t>АВ-204960</t>
  </si>
  <si>
    <t>Иванов Артем Владимирович</t>
  </si>
  <si>
    <t>АВ-314717</t>
  </si>
  <si>
    <t>Петрухин Валерий Геннадьевич</t>
  </si>
  <si>
    <t>МТ-843989</t>
  </si>
  <si>
    <t>Самохин Сергей Сергеевич</t>
  </si>
  <si>
    <t>АВ-206969</t>
  </si>
  <si>
    <t>Прохоров Артем Анатольевич</t>
  </si>
  <si>
    <t>АВ-206970</t>
  </si>
  <si>
    <t>Семин Сергей Александрович</t>
  </si>
  <si>
    <t>МТ-843991</t>
  </si>
  <si>
    <t>Альмухаметов Роберт Фаилович</t>
  </si>
  <si>
    <t>МТ-809516</t>
  </si>
  <si>
    <t>Скробов Владимир Николаевич</t>
  </si>
  <si>
    <t>МТ-809522</t>
  </si>
  <si>
    <t>Тыкунов Александр Юрьевич</t>
  </si>
  <si>
    <t>АВ-204971</t>
  </si>
  <si>
    <t>Мосяк Павел Петрович</t>
  </si>
  <si>
    <t>АВ-204632</t>
  </si>
  <si>
    <t>Шалимов Александр Владимирович</t>
  </si>
  <si>
    <t>Х-621340</t>
  </si>
  <si>
    <t>Грохольский Александр Георгиевич</t>
  </si>
  <si>
    <t>МТ-910727</t>
  </si>
  <si>
    <t>Викулин Сергей Алексеевич</t>
  </si>
  <si>
    <t>АВ-204751</t>
  </si>
  <si>
    <t>Цой Павел Александрович</t>
  </si>
  <si>
    <t>АВ-204763</t>
  </si>
  <si>
    <t>Репин Геннадий Юрьевич</t>
  </si>
  <si>
    <t>АВ-204769</t>
  </si>
  <si>
    <t>Ким Олег Тимофеевич</t>
  </si>
  <si>
    <t>АВ-204770</t>
  </si>
  <si>
    <t>Тетюшкин Олег Игоревич</t>
  </si>
  <si>
    <t>АВ-204783</t>
  </si>
  <si>
    <t>Иванов Виктор Дмитриевич</t>
  </si>
  <si>
    <t>АВ-204792</t>
  </si>
  <si>
    <t>Смирнов Дмитрий Петрович</t>
  </si>
  <si>
    <t>АВ-204796</t>
  </si>
  <si>
    <t>МТ-896397</t>
  </si>
  <si>
    <t>№159 от 02.10.2023</t>
  </si>
  <si>
    <t>Власенко Альбинас Константинович</t>
  </si>
  <si>
    <t>Х-715323</t>
  </si>
  <si>
    <t>№2 ФГБУ «1409 ВМКГ» МО РФ города Черняховск</t>
  </si>
  <si>
    <t>№194 от 02.10.2023</t>
  </si>
  <si>
    <t>Реабилитационный отпуск</t>
  </si>
  <si>
    <t>г. Гусев</t>
  </si>
  <si>
    <t>Рапорт старшины 6 МСР №3159 от 02 октября 2023 года</t>
  </si>
  <si>
    <t>АВ-200373</t>
  </si>
  <si>
    <t>№88  03.07.2021</t>
  </si>
  <si>
    <t>№160 от 02.10.2023</t>
  </si>
  <si>
    <t>Рем.Р</t>
  </si>
  <si>
    <t>№196 от 03.10.2023</t>
  </si>
  <si>
    <t>№197 от 04.10.2023</t>
  </si>
  <si>
    <t>боевое распоряжение НШ 11 АК №1749/КП от 03 октября 2023 года.</t>
  </si>
  <si>
    <t>Комплектование</t>
  </si>
  <si>
    <t>Екимов Антон Михайлович</t>
  </si>
  <si>
    <t>АВ-204874</t>
  </si>
  <si>
    <t>Рог Игорь Леонидович</t>
  </si>
  <si>
    <t>АВ-204401</t>
  </si>
  <si>
    <t>Касаткин Александр Владимирович</t>
  </si>
  <si>
    <t>АВ-204404</t>
  </si>
  <si>
    <t>Абдуллаев Аташ Малик оглы</t>
  </si>
  <si>
    <t>Х-155007</t>
  </si>
  <si>
    <t>Мишейкис Виктор Вячеславович</t>
  </si>
  <si>
    <t>АВ-204408</t>
  </si>
  <si>
    <t>Сабаляускас Ремигиюс Витауто</t>
  </si>
  <si>
    <t>АВ-204407</t>
  </si>
  <si>
    <t>Баранаускас Андрей Витаутавич</t>
  </si>
  <si>
    <t>АВ-204409</t>
  </si>
  <si>
    <t>Ковалюк Сергей Владимирович</t>
  </si>
  <si>
    <t>АВ-204427</t>
  </si>
  <si>
    <t>Пантюков Алексей Игоревич</t>
  </si>
  <si>
    <t>АВ-204424</t>
  </si>
  <si>
    <t>Перевощиков Алексей Вадимович</t>
  </si>
  <si>
    <t>АВ-204425</t>
  </si>
  <si>
    <t>№198 от 05.10.2023</t>
  </si>
  <si>
    <t>полигон "Пугачево"</t>
  </si>
  <si>
    <t>телефонограмма НШ 11 АК №872/НШ от 02 октября 2023 года</t>
  </si>
  <si>
    <t>Ветеранский отпуск</t>
  </si>
  <si>
    <t>Госпиталь</t>
  </si>
  <si>
    <t>Полигон</t>
  </si>
  <si>
    <t>специальная командировка</t>
  </si>
  <si>
    <t>Белов Артем Николаевич</t>
  </si>
  <si>
    <t>Зайнулин Равиль Ринатович</t>
  </si>
  <si>
    <t>Х-624756</t>
  </si>
  <si>
    <t>№164 от 06.10.2023</t>
  </si>
  <si>
    <t>№200 от 09.10.2023</t>
  </si>
  <si>
    <t>Смирнов Сергей Евгеньевич</t>
  </si>
  <si>
    <t>МТ-573186</t>
  </si>
  <si>
    <t>№201 от 10.10.2023</t>
  </si>
  <si>
    <t>указание командующего группировки «Запад» №12/ВПУ/8883Ш от 09 июня 2023</t>
  </si>
  <si>
    <t>распоряжение НШ группировки «Запад» № 09757 от 30 июня 2023 года</t>
  </si>
  <si>
    <t>№201 от 10.2023</t>
  </si>
  <si>
    <t>Марышев Илья Максимович</t>
  </si>
  <si>
    <t>МТ-573311</t>
  </si>
  <si>
    <t>Степанов Денис Александрович</t>
  </si>
  <si>
    <t>Хорошилов Дмитрий Владимирович</t>
  </si>
  <si>
    <t>СУ-266468</t>
  </si>
  <si>
    <t>Довженко Александр Олегович</t>
  </si>
  <si>
    <t>АВ-204434</t>
  </si>
  <si>
    <t>ЕХ-909116</t>
  </si>
  <si>
    <t>Бабиков Илья Дмитриевич</t>
  </si>
  <si>
    <t>С-994847</t>
  </si>
  <si>
    <t>Турчак Владимир Иванович</t>
  </si>
  <si>
    <t>АВ-204449</t>
  </si>
  <si>
    <t>Ковалев Николай Андреевич</t>
  </si>
  <si>
    <t>АВ-204450</t>
  </si>
  <si>
    <t>Сумбаев Николай Николаевич</t>
  </si>
  <si>
    <t>АВ-204436</t>
  </si>
  <si>
    <t>МТ-098260</t>
  </si>
  <si>
    <t>Кропчатов Семен Трофимович</t>
  </si>
  <si>
    <t>Алтунин Артем Андреевич</t>
  </si>
  <si>
    <t>Х-719475</t>
  </si>
  <si>
    <t>Подколзин Александр Андреевич</t>
  </si>
  <si>
    <t>Поздняков Александр Сергеевич</t>
  </si>
  <si>
    <t>ЕХ-911979</t>
  </si>
  <si>
    <t>Дощанов Серик Дауренович</t>
  </si>
  <si>
    <t>Ф-696939</t>
  </si>
  <si>
    <t>Василенко Александр Сергеевич</t>
  </si>
  <si>
    <t>Ф-580003</t>
  </si>
  <si>
    <t>Дрозд Александр Николаевич</t>
  </si>
  <si>
    <t>МТ-571372</t>
  </si>
  <si>
    <t>с-на</t>
  </si>
  <si>
    <t>Суворин Геннадий Алексеевич</t>
  </si>
  <si>
    <t>РА-015501</t>
  </si>
  <si>
    <t>МТ-572024</t>
  </si>
  <si>
    <t>Ф-547319</t>
  </si>
  <si>
    <t>№165 от 10.10.2023</t>
  </si>
  <si>
    <t>№203 от 12.10.2023</t>
  </si>
  <si>
    <t>№204 от 13.10.2023</t>
  </si>
  <si>
    <t>указание командующего группировки войск «Запад» №12/ВПУ/8883Ш от 09 июня 2023 года</t>
  </si>
  <si>
    <t>№205 от 16.10.2023</t>
  </si>
  <si>
    <t>Насковец Геннадий Михайлович</t>
  </si>
  <si>
    <t>АВ-204465</t>
  </si>
  <si>
    <t>№167 от 13.10.2023</t>
  </si>
  <si>
    <t>Прокопенко Алексей Викторович</t>
  </si>
  <si>
    <t>АВ-204464</t>
  </si>
  <si>
    <t>Фоменко Александр Валерьевич</t>
  </si>
  <si>
    <t>АВ-204467</t>
  </si>
  <si>
    <t>Баваров Антон Сергеевич</t>
  </si>
  <si>
    <t>АВ-204468</t>
  </si>
  <si>
    <t>Горячевский Евгений Александрович</t>
  </si>
  <si>
    <t>УК-709712</t>
  </si>
  <si>
    <t>№205 от16.10.2023</t>
  </si>
  <si>
    <t>Прикомандирован к в/ч 12556</t>
  </si>
  <si>
    <t>№206 от 17.10.2023</t>
  </si>
  <si>
    <t>рапорт командира ЗРБатр №3616 от 17 октября 2023 года</t>
  </si>
  <si>
    <t>рапорт НС КВ 2 МСБ № 3619 от 17 октября 2023 года</t>
  </si>
  <si>
    <t>Вещевой склад</t>
  </si>
  <si>
    <t>ПИРО "Алушта"</t>
  </si>
  <si>
    <t>Писарь психолога</t>
  </si>
  <si>
    <t>Кадры дивизии</t>
  </si>
  <si>
    <t>Писарь 3 МСБ</t>
  </si>
  <si>
    <t>Писарь ЗНШ</t>
  </si>
  <si>
    <t>Продовольственная служба</t>
  </si>
  <si>
    <t>Автослужба</t>
  </si>
  <si>
    <t>Несекретное делопроизводство</t>
  </si>
  <si>
    <t>Дежурный водитель</t>
  </si>
  <si>
    <t>Писарь Рем. Роты</t>
  </si>
  <si>
    <t>Экскаваторщик</t>
  </si>
  <si>
    <t>Тямейкин Андрей Александрович</t>
  </si>
  <si>
    <t>МТ-863373</t>
  </si>
  <si>
    <t>№207 от 18.09.2023</t>
  </si>
  <si>
    <t>№171 от 18.10.2023</t>
  </si>
  <si>
    <t>Гузий Роман Сергеевич</t>
  </si>
  <si>
    <t>АВ-204463</t>
  </si>
  <si>
    <t>Бирюков Олег Николаевич</t>
  </si>
  <si>
    <t>АВ-649108</t>
  </si>
  <si>
    <t>Аветян Гегам Гарникович</t>
  </si>
  <si>
    <t>АВ-204489</t>
  </si>
  <si>
    <t>Бунаков Михаил Михайлович</t>
  </si>
  <si>
    <t>РА-114241</t>
  </si>
  <si>
    <t>АВ-204482</t>
  </si>
  <si>
    <t>Губарев Сергей Викторович</t>
  </si>
  <si>
    <t>АВ-204474</t>
  </si>
  <si>
    <t>Борцов Евгений Сергеевич</t>
  </si>
  <si>
    <t>АВ-204487</t>
  </si>
  <si>
    <t>Сафронов Александр Витальевич</t>
  </si>
  <si>
    <t>АВ-204483</t>
  </si>
  <si>
    <t>Цупиков Юрий Валерьевич</t>
  </si>
  <si>
    <t>Морозкин Константин Александрович</t>
  </si>
  <si>
    <t>№207 от 18.10.2023</t>
  </si>
  <si>
    <t>рапорт ВрИО командира 3МСБ №3678 от 18 октября 2023 года</t>
  </si>
  <si>
    <t>Лисин Арсений Игоревич</t>
  </si>
  <si>
    <t>РА-137732</t>
  </si>
  <si>
    <t>Иванов Владимир Викторович</t>
  </si>
  <si>
    <t>У-904151</t>
  </si>
  <si>
    <t>Дружинин Сергей Владимирович</t>
  </si>
  <si>
    <t>Бакланов Иван Михайлович</t>
  </si>
  <si>
    <t>МТ-824940</t>
  </si>
  <si>
    <t>Был в командировке в Сертолово</t>
  </si>
  <si>
    <t>Финдюков Сергей Альбертович</t>
  </si>
  <si>
    <t>МТ-908965</t>
  </si>
  <si>
    <t>Костюров Владимир Сергеевич</t>
  </si>
  <si>
    <t>МТ-911100</t>
  </si>
  <si>
    <t>Родзинский Дмитрий Васильевич</t>
  </si>
  <si>
    <t>МТ-931408</t>
  </si>
  <si>
    <t>Пикалов Сергей Николаевич</t>
  </si>
  <si>
    <t>МТ-911890</t>
  </si>
  <si>
    <t>Ерохин Анатолий Анатольевич</t>
  </si>
  <si>
    <t>АВ-257190</t>
  </si>
  <si>
    <t>Меркулов Павел Юрьевич</t>
  </si>
  <si>
    <t>Э-246178</t>
  </si>
  <si>
    <t>Новосвитный Иван Игоревич</t>
  </si>
  <si>
    <t>МТ-912402</t>
  </si>
  <si>
    <t>Подковко Вячеслав Викторович</t>
  </si>
  <si>
    <t>МТ-912424</t>
  </si>
  <si>
    <t>Коропченко Александр Александрович</t>
  </si>
  <si>
    <t>МТ-912432</t>
  </si>
  <si>
    <t>Каширцев Виктор Игоревич</t>
  </si>
  <si>
    <t>МТ-912434</t>
  </si>
  <si>
    <t>Королев Евгений Дмитриевич</t>
  </si>
  <si>
    <t>МТ-912439</t>
  </si>
  <si>
    <t>Кузнецов Денис Александрович</t>
  </si>
  <si>
    <t>МТ-912440</t>
  </si>
  <si>
    <t>Алешин Павел Владимирович</t>
  </si>
  <si>
    <t>МТ-912443</t>
  </si>
  <si>
    <t>Иванов-Орловский Станислав Ростиславович</t>
  </si>
  <si>
    <t>МТ-912444</t>
  </si>
  <si>
    <t>Щукин Андрей Станиславович</t>
  </si>
  <si>
    <t>МТ-927291</t>
  </si>
  <si>
    <t>Косиков Антон Сергеевич</t>
  </si>
  <si>
    <t>МТ-931142</t>
  </si>
  <si>
    <t>Разухин Евгений Витальевич</t>
  </si>
  <si>
    <t>МТ-931141</t>
  </si>
  <si>
    <t>Мазинский Александр Сергеевич</t>
  </si>
  <si>
    <t>МТ-931143</t>
  </si>
  <si>
    <t>Шкуратов Алексей Сергеевич</t>
  </si>
  <si>
    <t>МТ-927320</t>
  </si>
  <si>
    <t>Петренко Сергей Юрьевич</t>
  </si>
  <si>
    <t>МТ-931149</t>
  </si>
  <si>
    <t>Красиков Антон Тимофеевич</t>
  </si>
  <si>
    <t>МТ-927322</t>
  </si>
  <si>
    <t>АВ-204471</t>
  </si>
  <si>
    <t>№713 от 12.10.2023</t>
  </si>
  <si>
    <t>№712 от 12.10.2023</t>
  </si>
  <si>
    <t>№737 от 19.10.2023</t>
  </si>
  <si>
    <t>филиал №2 ФГБУ «1409 ВМКГ» МО РФ города Черняховск</t>
  </si>
  <si>
    <t>рапорт НШ ЗКБ 2 МСБ № 3687 от 17 октября 2023 года</t>
  </si>
  <si>
    <t>ФГБУ «1409 ВМКГ» МО РФ города Калининград</t>
  </si>
  <si>
    <t>№139 от 20.07.2022</t>
  </si>
  <si>
    <t>Магомедов Магомедкамил Гаджиевич</t>
  </si>
  <si>
    <t>Х-153695</t>
  </si>
  <si>
    <t>№170 от 21.10.2023</t>
  </si>
  <si>
    <t>боевое распоряжение № 1875/КП от 22 октября 2023 года</t>
  </si>
  <si>
    <t>№210 от 23.10.2023</t>
  </si>
  <si>
    <t>филиала № 2 «1409 ВМКГ» МО РФ города Черняховск</t>
  </si>
  <si>
    <t>рапорт старшины 4 МСР №3791 от 23 октября 2023 года</t>
  </si>
  <si>
    <t>Климов Сергей Николаевич</t>
  </si>
  <si>
    <t>МТ-271319</t>
  </si>
  <si>
    <t>Кадакин Ярослав Андреевич</t>
  </si>
  <si>
    <t>АВ-542224</t>
  </si>
  <si>
    <t>Павлов Алексей Витальевич</t>
  </si>
  <si>
    <t>АВ-423660</t>
  </si>
  <si>
    <t>Корниенко Владимир Александрович</t>
  </si>
  <si>
    <t>ВЕ-270562</t>
  </si>
  <si>
    <t>№174 от 23.10.2023</t>
  </si>
  <si>
    <t>ВЕ-138629</t>
  </si>
  <si>
    <t>ВЕ-138659</t>
  </si>
  <si>
    <t xml:space="preserve">Петроченков Максим Серегеевич </t>
  </si>
  <si>
    <t>ВЕ-194631</t>
  </si>
  <si>
    <t xml:space="preserve">Ковалев Максим Владимирович </t>
  </si>
  <si>
    <t xml:space="preserve">Никитенко Максим Дмитриевич </t>
  </si>
  <si>
    <t>ВЕ-142488</t>
  </si>
  <si>
    <t>МТ-620154</t>
  </si>
  <si>
    <t>ВЕ-181145</t>
  </si>
  <si>
    <t xml:space="preserve">Прохоров Денис Николаевич </t>
  </si>
  <si>
    <t>АВ-427262</t>
  </si>
  <si>
    <t>Наймушин Павел Олегович</t>
  </si>
  <si>
    <t>АВ-872196</t>
  </si>
  <si>
    <t>Романенко Никита Владимирович</t>
  </si>
  <si>
    <t>МТ-789313</t>
  </si>
  <si>
    <t>Падерин Даниил Александрович</t>
  </si>
  <si>
    <t>МТ-826883</t>
  </si>
  <si>
    <t>Морозов Иван Сергеевич</t>
  </si>
  <si>
    <t>МТ-557951</t>
  </si>
  <si>
    <t>Семенов Дмитрий Андреевич</t>
  </si>
  <si>
    <t>МТ-790961</t>
  </si>
  <si>
    <t>Иванов Денис Алексеевич</t>
  </si>
  <si>
    <t>АВ-302231</t>
  </si>
  <si>
    <t xml:space="preserve">Григорьев Иван Дмитриевич </t>
  </si>
  <si>
    <t>МТ-800964</t>
  </si>
  <si>
    <t>Квитко Филипп Валериевич</t>
  </si>
  <si>
    <t>АВ-261431</t>
  </si>
  <si>
    <t>Казаков Максим Владимирович</t>
  </si>
  <si>
    <t>АВ-302219</t>
  </si>
  <si>
    <t>Титенков Владимир Сергеевич</t>
  </si>
  <si>
    <t>АВ-265760</t>
  </si>
  <si>
    <t>Артюшин Владимир Владимирвич</t>
  </si>
  <si>
    <t>ВЕ-151373</t>
  </si>
  <si>
    <t>Блинков Михаил Юрьевич</t>
  </si>
  <si>
    <t>АВ-205483</t>
  </si>
  <si>
    <t>Поварницын Вадим Сергеевич</t>
  </si>
  <si>
    <t>МТ-557957</t>
  </si>
  <si>
    <t>Соколов Борис Александрович</t>
  </si>
  <si>
    <t>МТ-897229</t>
  </si>
  <si>
    <t>МТ-789298</t>
  </si>
  <si>
    <t>Шерстеников Михаил Александрович</t>
  </si>
  <si>
    <t>МТ-826887</t>
  </si>
  <si>
    <t>Тихомиров Игорь Олегович</t>
  </si>
  <si>
    <t>МТ-826886</t>
  </si>
  <si>
    <t>Пристягин Никита Алексеевич</t>
  </si>
  <si>
    <t>МТ-888668</t>
  </si>
  <si>
    <t>Трофимов Евгений Алексндрович</t>
  </si>
  <si>
    <t>АВ-211432</t>
  </si>
  <si>
    <t>Каспирович Кирилл Эдуардович</t>
  </si>
  <si>
    <t>ВЕ-154237</t>
  </si>
  <si>
    <t>Ахмедзянов Вадим Николаевич</t>
  </si>
  <si>
    <t>АВ-879117</t>
  </si>
  <si>
    <t>Воротынцев Михаил Алексеевич</t>
  </si>
  <si>
    <t>МТ-811925</t>
  </si>
  <si>
    <t>Гусев Сергей Владимирович</t>
  </si>
  <si>
    <t>МТ-789287</t>
  </si>
  <si>
    <t>Магиленич Илья Сергеевич</t>
  </si>
  <si>
    <t>МТ-888662</t>
  </si>
  <si>
    <t>Кривоногов Герман Геннадьевич</t>
  </si>
  <si>
    <t>АВ-267123</t>
  </si>
  <si>
    <t>Белов Владимир Игоревич</t>
  </si>
  <si>
    <t>МТ-790955</t>
  </si>
  <si>
    <t>Мироненков Данила Петрович</t>
  </si>
  <si>
    <t>ВЕ-137140</t>
  </si>
  <si>
    <t>Чернов Игорь Витальевич</t>
  </si>
  <si>
    <t>МТ-731312</t>
  </si>
  <si>
    <t>Антипов Максим Владимирович</t>
  </si>
  <si>
    <t>АВ-261428</t>
  </si>
  <si>
    <t>Сорокин Вадим Иванович</t>
  </si>
  <si>
    <t>МТ-930235</t>
  </si>
  <si>
    <t>Ковалев Сергей Алексеевич</t>
  </si>
  <si>
    <t>ВЕ-151378</t>
  </si>
  <si>
    <t xml:space="preserve">Городнянский Владимир Русланович  </t>
  </si>
  <si>
    <t>МТ-790948</t>
  </si>
  <si>
    <t>Ковтун Александр Алексеевич</t>
  </si>
  <si>
    <t>МТ-790964</t>
  </si>
  <si>
    <t>Тимашев Максим Дмитриевич</t>
  </si>
  <si>
    <t>ВЕ-137154</t>
  </si>
  <si>
    <t>Куйчиев Феликс Мусадинович</t>
  </si>
  <si>
    <t>МТ-790947</t>
  </si>
  <si>
    <t>Меркулов Максим Алексеевич</t>
  </si>
  <si>
    <t>МТ-791219</t>
  </si>
  <si>
    <t>Юрков Дмитрий Серегеевич</t>
  </si>
  <si>
    <t>МТ-930246</t>
  </si>
  <si>
    <t>Лялин Иван Дмитриевич</t>
  </si>
  <si>
    <t>МТ-888867</t>
  </si>
  <si>
    <t>Ремезов Иван Викторович</t>
  </si>
  <si>
    <t>МТ-829433</t>
  </si>
  <si>
    <t>Ахматзяров Константин Дмитриевич</t>
  </si>
  <si>
    <t>ВЕ-174462</t>
  </si>
  <si>
    <t>Алтухов Никита Станиславович</t>
  </si>
  <si>
    <t>АВ -261988</t>
  </si>
  <si>
    <t>Завьялов Даниил Сергеевич</t>
  </si>
  <si>
    <t>МТ-930244</t>
  </si>
  <si>
    <t>Гимадеев Дмитрий Николаевич</t>
  </si>
  <si>
    <t>ВЕ-137150</t>
  </si>
  <si>
    <t>Белорусов Андрей Денисович</t>
  </si>
  <si>
    <t>МТ-826603</t>
  </si>
  <si>
    <t>Булаев Никита Александрович</t>
  </si>
  <si>
    <t>МТ-888469</t>
  </si>
  <si>
    <t>Баданин Андрей Сергеевич</t>
  </si>
  <si>
    <t>МТ-826602</t>
  </si>
  <si>
    <t>Гафиятов Алексей Вячеславович</t>
  </si>
  <si>
    <t>МТ-845051</t>
  </si>
  <si>
    <t>Никулин Даниил Игоревич</t>
  </si>
  <si>
    <t>МТ-557948</t>
  </si>
  <si>
    <t>Иванов Никита Владимирович</t>
  </si>
  <si>
    <t>АВ-272103</t>
  </si>
  <si>
    <t>Сорокин Вячеслав Андреевич</t>
  </si>
  <si>
    <t>МТ-815281</t>
  </si>
  <si>
    <t>Буцаев Степан Алексеевич</t>
  </si>
  <si>
    <t>МТ-896449</t>
  </si>
  <si>
    <t>Головин Максим Сергеевич</t>
  </si>
  <si>
    <t>АВ-206022</t>
  </si>
  <si>
    <t>Тепишкин Яков Юрьевич</t>
  </si>
  <si>
    <t>АВ-916878</t>
  </si>
  <si>
    <t>МТ-557949</t>
  </si>
  <si>
    <t xml:space="preserve">Татаринцев Артем Дмитриевич </t>
  </si>
  <si>
    <t>Сверчков Максим Алексеевич</t>
  </si>
  <si>
    <t>МТ-888481</t>
  </si>
  <si>
    <t>Млавец Сергей Олегович</t>
  </si>
  <si>
    <t>АВ-301845</t>
  </si>
  <si>
    <t>Важенин Сергей Валерьевич</t>
  </si>
  <si>
    <t>АВ-504257</t>
  </si>
  <si>
    <t>Паращенко Иван Игоревич</t>
  </si>
  <si>
    <t>ВЕ-151381</t>
  </si>
  <si>
    <t>Дубин Евгений Анантольевич</t>
  </si>
  <si>
    <t>АВ-206018</t>
  </si>
  <si>
    <t xml:space="preserve">Изосимов Матвей Дмитриевич </t>
  </si>
  <si>
    <t>МТ-888659</t>
  </si>
  <si>
    <t>Александров Даниил Романович</t>
  </si>
  <si>
    <t>АВ-271912</t>
  </si>
  <si>
    <t xml:space="preserve">Горбачев Анатолий Сергеевич </t>
  </si>
  <si>
    <t>МТ-815269</t>
  </si>
  <si>
    <t>Недорезов Илья Алексеевич</t>
  </si>
  <si>
    <t>МТ-815274</t>
  </si>
  <si>
    <t>Васильев Глеб Кириллович</t>
  </si>
  <si>
    <t>МТ-888263</t>
  </si>
  <si>
    <t>Солохин Артем Денисович</t>
  </si>
  <si>
    <t>АВ-301436</t>
  </si>
  <si>
    <t>Пиастров Дмитрий Александрович</t>
  </si>
  <si>
    <t>МТ-815276</t>
  </si>
  <si>
    <t>Нечаев Владимир Тимофеевич</t>
  </si>
  <si>
    <t>АВ-261423</t>
  </si>
  <si>
    <t>Нуриев Данил Рустамович</t>
  </si>
  <si>
    <t>МТ-616807</t>
  </si>
  <si>
    <t>МТ-888266</t>
  </si>
  <si>
    <t>Норманев Денис Павлович</t>
  </si>
  <si>
    <t>АВ-270947</t>
  </si>
  <si>
    <t>Швайковский Максим Владимирович</t>
  </si>
  <si>
    <t>МТ-789280</t>
  </si>
  <si>
    <t>Рябов Никита Андреевич</t>
  </si>
  <si>
    <t>АВ-467857</t>
  </si>
  <si>
    <t>Секерин Артем Викторович</t>
  </si>
  <si>
    <t>ВЕ-137142</t>
  </si>
  <si>
    <t>Манжосин Максим Вячеславович</t>
  </si>
  <si>
    <t>АВ-261421</t>
  </si>
  <si>
    <t>Ванюшкин Валерий Дмитриевич</t>
  </si>
  <si>
    <t>АВ-205477</t>
  </si>
  <si>
    <t>Благинин Артем Андреевич</t>
  </si>
  <si>
    <t>АВ-504255</t>
  </si>
  <si>
    <t>Саруханов Даниил Владимирович</t>
  </si>
  <si>
    <t>АВ-265732</t>
  </si>
  <si>
    <t>Дридгер Александр Владимирович</t>
  </si>
  <si>
    <t xml:space="preserve">Князев Андрей Сергеевич </t>
  </si>
  <si>
    <t>МТ-888660</t>
  </si>
  <si>
    <t>Федоров Илья Алексеевич</t>
  </si>
  <si>
    <t>Ковальский Андрей Анатольевич</t>
  </si>
  <si>
    <t>МТ-742225</t>
  </si>
  <si>
    <t>Алексеев Константин Владимирович</t>
  </si>
  <si>
    <t>МТ-888466</t>
  </si>
  <si>
    <t>Дегтярев Егор Юрьевич</t>
  </si>
  <si>
    <t>МТ-742246</t>
  </si>
  <si>
    <t>Мякин Дмитрий Евгеньевич</t>
  </si>
  <si>
    <t>МТ-694842</t>
  </si>
  <si>
    <t>Петров Иван Михайлович</t>
  </si>
  <si>
    <t>МТ-694844</t>
  </si>
  <si>
    <t>Заботин Егор Игоревич</t>
  </si>
  <si>
    <t>МТ-827282</t>
  </si>
  <si>
    <t>Гусейнов Давид Тарзанович</t>
  </si>
  <si>
    <t>АВ-205484</t>
  </si>
  <si>
    <t>Прудников Евгений Максимович</t>
  </si>
  <si>
    <t>МТ-845011</t>
  </si>
  <si>
    <t>Пискунов Максим Юрьевич</t>
  </si>
  <si>
    <t>АВ-261438</t>
  </si>
  <si>
    <t>УК-938342</t>
  </si>
  <si>
    <t>Марычев Алексей Андреевич</t>
  </si>
  <si>
    <t>Глейкин Александр Сергеевич</t>
  </si>
  <si>
    <t>АВ-294338</t>
  </si>
  <si>
    <t>Минин Максим Александрович</t>
  </si>
  <si>
    <t>АВ-261436</t>
  </si>
  <si>
    <t>Баженов Сергей Михайлович</t>
  </si>
  <si>
    <t>АВ-261989</t>
  </si>
  <si>
    <t>Ноздрачев Роман Алексеевич</t>
  </si>
  <si>
    <t>МТ-557952</t>
  </si>
  <si>
    <t>Фомин Александр Михайлович</t>
  </si>
  <si>
    <t>МТ-742272</t>
  </si>
  <si>
    <t>Белов Алексей Александрович</t>
  </si>
  <si>
    <t>МТ-864003</t>
  </si>
  <si>
    <t>Иптаев Никита Андреевич</t>
  </si>
  <si>
    <t>ВЕ-150184</t>
  </si>
  <si>
    <t>ВЕ-174506</t>
  </si>
  <si>
    <t>Андреев Денис Александрович</t>
  </si>
  <si>
    <t>ВЕ-183294</t>
  </si>
  <si>
    <t>Иванов Евгений Сергеевич</t>
  </si>
  <si>
    <t>ВЕ-150182</t>
  </si>
  <si>
    <t>Иксанов Тимур Ринатович</t>
  </si>
  <si>
    <t>ВЕ-156083</t>
  </si>
  <si>
    <t>Зулкарнеев Фидаил Наилович</t>
  </si>
  <si>
    <t>ВЕ-164646</t>
  </si>
  <si>
    <t>Волгин Никита Сергеевич</t>
  </si>
  <si>
    <t>АВ-504184</t>
  </si>
  <si>
    <t xml:space="preserve">Басов Данил Олегович </t>
  </si>
  <si>
    <t>ВЕ-156081</t>
  </si>
  <si>
    <t>№212 от 25.10.2023</t>
  </si>
  <si>
    <t>АВ-204494</t>
  </si>
  <si>
    <t>№178 от 26.10.2023</t>
  </si>
  <si>
    <t>Черей Геннадий Петрович</t>
  </si>
  <si>
    <t>АВ-204493</t>
  </si>
  <si>
    <t>Рудаков Анатолий Николаевич</t>
  </si>
  <si>
    <t>АВ-204520</t>
  </si>
  <si>
    <t>Корчмин Роман Владимирович</t>
  </si>
  <si>
    <t>Ю-369832</t>
  </si>
  <si>
    <t>Деревянко Денис Николаевич</t>
  </si>
  <si>
    <t>Х-715768</t>
  </si>
  <si>
    <t>Барышников Даниил Евгеньевич</t>
  </si>
  <si>
    <t>ЕХ-910344</t>
  </si>
  <si>
    <t>Чайка Игорь Сергеевич</t>
  </si>
  <si>
    <t>ЕХ-655458</t>
  </si>
  <si>
    <t>Гуцуляк Алексей Сергеевич</t>
  </si>
  <si>
    <t>РА-113052</t>
  </si>
  <si>
    <t>Логинов Никита Андреевич</t>
  </si>
  <si>
    <t>РА-113899</t>
  </si>
  <si>
    <t>Васильев Александр Владимирович</t>
  </si>
  <si>
    <t>РА-115605</t>
  </si>
  <si>
    <t>Полывяный Эдуард Игоревич</t>
  </si>
  <si>
    <t>ВЕ-004199</t>
  </si>
  <si>
    <t>Анисимов Марк Вадимович</t>
  </si>
  <si>
    <t>Х-709519</t>
  </si>
  <si>
    <t>Аникин Алексей Юрьевич</t>
  </si>
  <si>
    <t>Ю-352535</t>
  </si>
  <si>
    <t>Рогозин Сергей Николаевич</t>
  </si>
  <si>
    <t>АВ-298941</t>
  </si>
  <si>
    <t>Мокроусов Евгений Владимирович</t>
  </si>
  <si>
    <t>Сафонов Алексей Сергеевич</t>
  </si>
  <si>
    <t>АВ-204749</t>
  </si>
  <si>
    <t>Балакирев Денис Юрьевич</t>
  </si>
  <si>
    <t>АВ-204403</t>
  </si>
  <si>
    <t>Егорцев Андрей Викторович</t>
  </si>
  <si>
    <t>АВ-204473</t>
  </si>
  <si>
    <t>Шичкин Сергей Викторович</t>
  </si>
  <si>
    <t>АВ-204491</t>
  </si>
  <si>
    <t>Кульчицкий Александр Семёнович</t>
  </si>
  <si>
    <t>АВ-204488</t>
  </si>
  <si>
    <t>Рябов Сергей Геннадьевич</t>
  </si>
  <si>
    <t>АВ-204495</t>
  </si>
  <si>
    <t>Шур Сергей Александрович</t>
  </si>
  <si>
    <t>АВ-204511</t>
  </si>
  <si>
    <t>Лавров Андрей Александрович</t>
  </si>
  <si>
    <t>АВ-204513</t>
  </si>
  <si>
    <t>№203 от 24.10.2023</t>
  </si>
  <si>
    <t>г. Санкт-Петербург(в/ч 56529-6)</t>
  </si>
  <si>
    <t>№136 от 19.10.2023</t>
  </si>
  <si>
    <t>г. Череповец(в/ч 49324-К)</t>
  </si>
  <si>
    <t>№757 от 25.10.2023</t>
  </si>
  <si>
    <t>МТ-742382</t>
  </si>
  <si>
    <t>№213 от 26.10.2023</t>
  </si>
  <si>
    <t>Сопровождение воинского груза</t>
  </si>
  <si>
    <t>боевое распоряжение № 1900/КП от 25 октября 2023 года</t>
  </si>
  <si>
    <t>№214 от 27.10.2023</t>
  </si>
  <si>
    <t>телеграмма НШ ЗВО № 5/4/782/7 от 05 октября 2023 года</t>
  </si>
  <si>
    <t>№123 от 08.08.2023</t>
  </si>
  <si>
    <t>№142 от 40.09.2023</t>
  </si>
  <si>
    <t>№197 от 11.07.2023</t>
  </si>
  <si>
    <t>№130 от 22.08.2023</t>
  </si>
  <si>
    <t>№73 от 08.06.2023</t>
  </si>
  <si>
    <t>№72 от 06.06.2023</t>
  </si>
  <si>
    <t>№ 71 от 03.06.2023</t>
  </si>
  <si>
    <t>№171 от 19.10.2023</t>
  </si>
  <si>
    <t>№118 от 03.08.2023</t>
  </si>
  <si>
    <t>№124 от 10.08.2023</t>
  </si>
  <si>
    <t>№03 от 09.01.2023</t>
  </si>
  <si>
    <t xml:space="preserve">№111 от 27.07.2023 </t>
  </si>
  <si>
    <t>№169 от 17.10.2023</t>
  </si>
  <si>
    <t>№ 124 от 10.08.2023</t>
  </si>
  <si>
    <t>рапорт старшины 6МСР 2МСБ № 3860 от 25 октября 2023 года</t>
  </si>
  <si>
    <t>Жуков Вячеслав Дмитриевич</t>
  </si>
  <si>
    <t>АВ-328735</t>
  </si>
  <si>
    <t>Акберов Ильнур Илюсович</t>
  </si>
  <si>
    <t>ВЕ-150916</t>
  </si>
  <si>
    <t>Шафеев Рифат Исмаилович</t>
  </si>
  <si>
    <t>ВЕ-161684</t>
  </si>
  <si>
    <t>Пастушенко Даниил Владимирович</t>
  </si>
  <si>
    <t>МТ-795737</t>
  </si>
  <si>
    <t>Шугаев Никита Евгеньевич</t>
  </si>
  <si>
    <t>АВ-423166</t>
  </si>
  <si>
    <t xml:space="preserve">ряд </t>
  </si>
  <si>
    <t>Субачев Игорь Леонидович</t>
  </si>
  <si>
    <t>АВ-425904</t>
  </si>
  <si>
    <t>Зайцев Эрик Сергеевич</t>
  </si>
  <si>
    <t>АВ-301512</t>
  </si>
  <si>
    <t>Рукавишников Данил Сергеевич</t>
  </si>
  <si>
    <t>МТ-863386</t>
  </si>
  <si>
    <t>Соколов Никита Сергеевич</t>
  </si>
  <si>
    <t>Латышев Александр Владимирович</t>
  </si>
  <si>
    <t>МТ-800704</t>
  </si>
  <si>
    <t>№184 от 30.10.2023</t>
  </si>
  <si>
    <t>УК-672990</t>
  </si>
  <si>
    <t>№176 от 25.10.2023</t>
  </si>
  <si>
    <t>Савельев Денис Сергеевич</t>
  </si>
  <si>
    <t>МТ-620442</t>
  </si>
  <si>
    <t>Садыков Раиль Ранилевич</t>
  </si>
  <si>
    <t>ВЕ-143709</t>
  </si>
  <si>
    <t>№215 от 30.10.2023</t>
  </si>
  <si>
    <t>№213 26.10.2023</t>
  </si>
  <si>
    <t>АВ-200844</t>
  </si>
  <si>
    <t>АВ-296572</t>
  </si>
  <si>
    <t>МТ-863479</t>
  </si>
  <si>
    <t>АВ-296610</t>
  </si>
  <si>
    <t>АВ-204610</t>
  </si>
  <si>
    <t>Былич Олег Николаевич</t>
  </si>
  <si>
    <t>АВ-204525</t>
  </si>
  <si>
    <t>Искаков Ринат Николаевич</t>
  </si>
  <si>
    <t>У-909328</t>
  </si>
  <si>
    <t>Жарков Денис Викторович</t>
  </si>
  <si>
    <t>У-928720</t>
  </si>
  <si>
    <t>Моб</t>
  </si>
  <si>
    <t>Анцупов Алексей Владимирович</t>
  </si>
  <si>
    <t>ЕХ-570273</t>
  </si>
  <si>
    <t>№187 от 02.11.2023</t>
  </si>
  <si>
    <t>Лукошников Данил Егорович</t>
  </si>
  <si>
    <t>Писарь ГСМ</t>
  </si>
  <si>
    <t>№216 от 31.10.2023</t>
  </si>
  <si>
    <t>Комлев Аркадий Леонидович</t>
  </si>
  <si>
    <t>АВ-204499</t>
  </si>
  <si>
    <t>Чумаков Алексей Владимирович</t>
  </si>
  <si>
    <t>АВ-204535</t>
  </si>
  <si>
    <t>Киданов Андрей Викторович</t>
  </si>
  <si>
    <t>АВ-204480</t>
  </si>
  <si>
    <t>ЗШ Управление</t>
  </si>
  <si>
    <t>Без сво</t>
  </si>
  <si>
    <t>на лицо</t>
  </si>
  <si>
    <t>общий отрыв</t>
  </si>
  <si>
    <t>по/к</t>
  </si>
  <si>
    <t>освобождение</t>
  </si>
  <si>
    <t>сол</t>
  </si>
  <si>
    <t>солд. к/с</t>
  </si>
  <si>
    <t>поля</t>
  </si>
  <si>
    <t>Всего</t>
  </si>
  <si>
    <t>обучение</t>
  </si>
  <si>
    <t>соч</t>
  </si>
  <si>
    <t>граница</t>
  </si>
  <si>
    <t>ост</t>
  </si>
  <si>
    <t>такелажка</t>
  </si>
  <si>
    <t>охрана объектов</t>
  </si>
  <si>
    <t>ост. Командировки</t>
  </si>
  <si>
    <t>Следственная проверка после СОЧ</t>
  </si>
  <si>
    <t>№217 от 01.11.2023</t>
  </si>
  <si>
    <t>№765 от 27.10.2023</t>
  </si>
  <si>
    <t xml:space="preserve">СОЧ </t>
  </si>
  <si>
    <t>пос. Гвардейское</t>
  </si>
  <si>
    <t>рапорт командира 9МСР №4007 от 01 ноября 2023 года</t>
  </si>
  <si>
    <t>ЗШ 9 МСР</t>
  </si>
  <si>
    <t>Лазарев Дмитрий Антонович</t>
  </si>
  <si>
    <t>Марякин Юрий Сергеевич</t>
  </si>
  <si>
    <t>№186 от 01.11.2023</t>
  </si>
  <si>
    <t>Казупица Александр Геннадьевич</t>
  </si>
  <si>
    <t>АВ-204536</t>
  </si>
  <si>
    <t>Мамишев Евгений Вячеславович</t>
  </si>
  <si>
    <t>АВ-204534</t>
  </si>
  <si>
    <t>Андреев Сергей Владимирович</t>
  </si>
  <si>
    <t>АВ-204539</t>
  </si>
  <si>
    <t>Иванов Николай Владимирович</t>
  </si>
  <si>
    <t>АВ-204537</t>
  </si>
  <si>
    <t>Мисюк Никита Николаевич</t>
  </si>
  <si>
    <t>Х-720569</t>
  </si>
  <si>
    <t>АВ-204542</t>
  </si>
  <si>
    <t>Уколов Сергей Вадимович</t>
  </si>
  <si>
    <t>АВ-204526</t>
  </si>
  <si>
    <t>Кустиков Вадим Александрович</t>
  </si>
  <si>
    <t>АВ-204540</t>
  </si>
  <si>
    <t>АВ-204530</t>
  </si>
  <si>
    <t>Экс Борис Борисович</t>
  </si>
  <si>
    <t>АВ-328082</t>
  </si>
  <si>
    <t>Боев Никита Владимирович</t>
  </si>
  <si>
    <t>Х-656286</t>
  </si>
  <si>
    <t>Отсутствовал на службе</t>
  </si>
  <si>
    <t>Боевой и численный состав 79 мотострелкового полка</t>
  </si>
  <si>
    <t>по состоянию на "___" 10.2023 года</t>
  </si>
  <si>
    <t xml:space="preserve">Наименование соединений
и воинских частей, подразделений </t>
  </si>
  <si>
    <t>Личный состав</t>
  </si>
  <si>
    <t>ВООРУЖЕНИЕ</t>
  </si>
  <si>
    <t>ТЕХНИКА</t>
  </si>
  <si>
    <t>охрана гос. грнаницы</t>
  </si>
  <si>
    <t>ППД</t>
  </si>
  <si>
    <t xml:space="preserve">отпуск </t>
  </si>
  <si>
    <t>мпп</t>
  </si>
  <si>
    <t>солдаты</t>
  </si>
  <si>
    <t>% укомпл-ти</t>
  </si>
  <si>
    <t>АК-12 / 74 / У / М / РМО</t>
  </si>
  <si>
    <t xml:space="preserve"> РПК-74 / РПК-47 / РПК-16</t>
  </si>
  <si>
    <t>ПМ / ПЯ / ПБ</t>
  </si>
  <si>
    <t>РПГ-7 / РПГ-30</t>
  </si>
  <si>
    <t>СВД / СВД-С / СВ-98</t>
  </si>
  <si>
    <t>АСВК</t>
  </si>
  <si>
    <t xml:space="preserve">    ДШК / НСВ(Т)"УТЕС / КПВТ</t>
  </si>
  <si>
    <t>АГС-17</t>
  </si>
  <si>
    <t>Огнемет (РПО-А)</t>
  </si>
  <si>
    <t>ГП-25</t>
  </si>
  <si>
    <t>ПКМ / ПКП(М)</t>
  </si>
  <si>
    <t>ПЗРК "Игла"</t>
  </si>
  <si>
    <t>Р-187 П1</t>
  </si>
  <si>
    <t>Р-159М</t>
  </si>
  <si>
    <t>МР-155 / ИЖ-55</t>
  </si>
  <si>
    <t>ЗУ-23-2</t>
  </si>
  <si>
    <t>С-60</t>
  </si>
  <si>
    <t>ПЗУ-ЗП1</t>
  </si>
  <si>
    <t>Бинокль Б8х30</t>
  </si>
  <si>
    <t>Бинокль Б12х1</t>
  </si>
  <si>
    <t>Прицелы</t>
  </si>
  <si>
    <t>ЛПР-3</t>
  </si>
  <si>
    <t>Орион (Наперсток И)</t>
  </si>
  <si>
    <t>НСВТ</t>
  </si>
  <si>
    <t>БПЛА</t>
  </si>
  <si>
    <t>Минометы</t>
  </si>
  <si>
    <t>Орудия</t>
  </si>
  <si>
    <t>РСЗО</t>
  </si>
  <si>
    <t>ПТРК</t>
  </si>
  <si>
    <t xml:space="preserve">БМП </t>
  </si>
  <si>
    <t>Т-72Б3 (Т-72 Б1)</t>
  </si>
  <si>
    <t>Т-80У</t>
  </si>
  <si>
    <t>2С3 "Акация"</t>
  </si>
  <si>
    <t>МТ-ЛБ</t>
  </si>
  <si>
    <t xml:space="preserve">      бтр-80 (МП-2ИМ) Р-149МА1</t>
  </si>
  <si>
    <t xml:space="preserve">КамАЗ </t>
  </si>
  <si>
    <t xml:space="preserve">Урал </t>
  </si>
  <si>
    <t>Уаз "Патриот" / мод.</t>
  </si>
  <si>
    <t>Газель</t>
  </si>
  <si>
    <t>Соболь</t>
  </si>
  <si>
    <t>Луидор</t>
  </si>
  <si>
    <t>Ахмат</t>
  </si>
  <si>
    <t>БРЭМ-л</t>
  </si>
  <si>
    <t>БРЭМ-1</t>
  </si>
  <si>
    <t>БТС</t>
  </si>
  <si>
    <t>МТО-УБ1</t>
  </si>
  <si>
    <t>МТО-АТ</t>
  </si>
  <si>
    <t>МЗА-М1</t>
  </si>
  <si>
    <t>МРС-БТ</t>
  </si>
  <si>
    <t>РЭМ-КЛ</t>
  </si>
  <si>
    <t>МТП-А2</t>
  </si>
  <si>
    <t>ИМР-2</t>
  </si>
  <si>
    <t>КП-125</t>
  </si>
  <si>
    <t>КП-130</t>
  </si>
  <si>
    <t>ЦВ-1,2</t>
  </si>
  <si>
    <t>ЦВ-4</t>
  </si>
  <si>
    <t>ОАР-2</t>
  </si>
  <si>
    <t>ЭОВ-3523</t>
  </si>
  <si>
    <t>АЦПТ-5,6</t>
  </si>
  <si>
    <t>Урал-4320 (АЦ-6,5)</t>
  </si>
  <si>
    <t>Урал-4320 (АТМЗ-5)</t>
  </si>
  <si>
    <t>Урал-4320 (АЦПТ-5)</t>
  </si>
  <si>
    <t>МАЗ-5334 (ТВД-7,5)</t>
  </si>
  <si>
    <t>КамАЗ-4310 (АЦ-7)</t>
  </si>
  <si>
    <t>ДДП</t>
  </si>
  <si>
    <t>1Н25</t>
  </si>
  <si>
    <t>1П87</t>
  </si>
  <si>
    <t>1ПН138</t>
  </si>
  <si>
    <t>1ПН140-2</t>
  </si>
  <si>
    <t>1ПН141-1</t>
  </si>
  <si>
    <t>1ПН141-2</t>
  </si>
  <si>
    <t xml:space="preserve">Квадрокоптеры </t>
  </si>
  <si>
    <t>Суперкам</t>
  </si>
  <si>
    <t>Элерон</t>
  </si>
  <si>
    <t>Леер</t>
  </si>
  <si>
    <t>Орлан-10/30</t>
  </si>
  <si>
    <t>Тахион</t>
  </si>
  <si>
    <t xml:space="preserve">    82 мм 2Б14 / 2Б24</t>
  </si>
  <si>
    <t>120 мм 2Б11</t>
  </si>
  <si>
    <t>240 мм 2С4</t>
  </si>
  <si>
    <t>МТ-12</t>
  </si>
  <si>
    <t>122 мм Д-30</t>
  </si>
  <si>
    <t>152 мм 2С3</t>
  </si>
  <si>
    <t>152 мм Д-20</t>
  </si>
  <si>
    <t>152 мм 2С19</t>
  </si>
  <si>
    <t>152 мм  2А36</t>
  </si>
  <si>
    <t>122 мм Град1-1</t>
  </si>
  <si>
    <t xml:space="preserve">        220 мм 9П140 "Ураган"</t>
  </si>
  <si>
    <t>ТЗМ 9Т452</t>
  </si>
  <si>
    <t>Всего БМ РСЗО</t>
  </si>
  <si>
    <t>9П135 "Фагот"</t>
  </si>
  <si>
    <t>9П151 "Метис"</t>
  </si>
  <si>
    <t>9П149 "Штурм-С"</t>
  </si>
  <si>
    <t>БМП-1</t>
  </si>
  <si>
    <t>БМП-2</t>
  </si>
  <si>
    <t>БМП-3</t>
  </si>
  <si>
    <t>КамАЗ-53501</t>
  </si>
  <si>
    <t>КамАЗ-4350</t>
  </si>
  <si>
    <t>КамАЗ-5350</t>
  </si>
  <si>
    <t>КамАЗ-43501</t>
  </si>
  <si>
    <t>КамАЗ-4310</t>
  </si>
  <si>
    <t>КамАЗ-43114</t>
  </si>
  <si>
    <t>Урал-4320</t>
  </si>
  <si>
    <t>Урал-43202</t>
  </si>
  <si>
    <t>Урал-43206</t>
  </si>
  <si>
    <t>79 мсп</t>
  </si>
  <si>
    <t>Упр. ГСАБатр</t>
  </si>
  <si>
    <t>1 ГСАВ</t>
  </si>
  <si>
    <t>2 ГСАВ</t>
  </si>
  <si>
    <t>Упр. ЗРБатр</t>
  </si>
  <si>
    <t>1 ЗРВ</t>
  </si>
  <si>
    <t>2 ЗРВ</t>
  </si>
  <si>
    <t>3 ЗРВ</t>
  </si>
  <si>
    <t>Расчёт АСУ</t>
  </si>
  <si>
    <t>Упр. ИСР</t>
  </si>
  <si>
    <t>Упр. РУ</t>
  </si>
  <si>
    <t>Упр. Рем. Р</t>
  </si>
  <si>
    <t>На лиццо</t>
  </si>
  <si>
    <t>ВУ ГСАБатр</t>
  </si>
  <si>
    <t>2-23</t>
  </si>
  <si>
    <t>д</t>
  </si>
  <si>
    <t>Гороховский Владимир Павлович</t>
  </si>
  <si>
    <t>АВ-204532</t>
  </si>
  <si>
    <t>Зайцево</t>
  </si>
  <si>
    <t>Сорвачев Даниил Иванович</t>
  </si>
  <si>
    <t>№219 от 03.11.2023</t>
  </si>
  <si>
    <t>п. Ладушкино</t>
  </si>
  <si>
    <t>рапорт командира 5 МСР №4130 от 03 ноября 2023 года</t>
  </si>
  <si>
    <t>мл. спец.</t>
  </si>
  <si>
    <t>боевое распоряжение № 037/КП от 28 октября 2023 года</t>
  </si>
  <si>
    <t>Украинец</t>
  </si>
  <si>
    <t>Татар</t>
  </si>
  <si>
    <t>Чуваш</t>
  </si>
  <si>
    <t>Казакх</t>
  </si>
  <si>
    <t>Узбек</t>
  </si>
  <si>
    <t>Удмурт</t>
  </si>
  <si>
    <t>Армян</t>
  </si>
  <si>
    <t>Кыргыз</t>
  </si>
  <si>
    <t>Таджик</t>
  </si>
  <si>
    <t>Молдован</t>
  </si>
  <si>
    <t>Кыргуз</t>
  </si>
  <si>
    <t>ВК Татышлинского и Балтачевского р-на Республики Башкортостан</t>
  </si>
  <si>
    <t>ВК Дзержинского района Калужской области</t>
  </si>
  <si>
    <t>ВК МО п. Парголова города Санкт-Петербург</t>
  </si>
  <si>
    <t>ВК Верхнехавского р-на Воронежской области</t>
  </si>
  <si>
    <t>ВК Ленинского АО г. Тюмени</t>
  </si>
  <si>
    <t>ВК г. Лиски и Лискинского района Воронежского</t>
  </si>
  <si>
    <t>ВК г. Пугачёв, Ивантеевского, Кр. Партизанского, Перелюбского и Пугачевского районов</t>
  </si>
  <si>
    <t>ВК Пермского края по Чернушинскому и Кусдинскому р-ам</t>
  </si>
  <si>
    <t>ВК Гайского гор. Округа и Новоорского р-на Оренбургской области</t>
  </si>
  <si>
    <t>ВК Никольского мун. р-на Вологодской обл</t>
  </si>
  <si>
    <t>ВК г. Лиски и Лискинского р-на Воронежской области</t>
  </si>
  <si>
    <t>ВК г. Урай</t>
  </si>
  <si>
    <t>ВК Дмитровского ГО, ГО Дубна и Талдомского ГО Московской области</t>
  </si>
  <si>
    <t>ВК МО Динской р-н Краснодарский край</t>
  </si>
  <si>
    <t>ВК Сокольского и Усть-Куллинского МО, Вологодской обл.</t>
  </si>
  <si>
    <t>ВК г. Кургана Курганской области</t>
  </si>
  <si>
    <t>ВК Петрозаводского ГО Респ. Карелия</t>
  </si>
  <si>
    <t xml:space="preserve">ВК Пермского края </t>
  </si>
  <si>
    <t>ВК Колпинского и Пушкинского р-ов города Санкт - Петербург</t>
  </si>
  <si>
    <t>ВК г.о. Кингисепа и Сланцы, Кингисепского, Волосовского и Сланцевского района Ленинградской области</t>
  </si>
  <si>
    <t>ВК Мокроусовского района Курганской обл</t>
  </si>
  <si>
    <t xml:space="preserve">ВК г. Петрозаводск, респ. Карелия </t>
  </si>
  <si>
    <t>ВК МО Пулковский меридиан Московского района Ленинградской области</t>
  </si>
  <si>
    <t>ВК г. Курган</t>
  </si>
  <si>
    <t>ВК г. Курчатов Курчатовского и Октябрьского р-ов, Курской обл.</t>
  </si>
  <si>
    <t>ВК Навлинского района Брянской области</t>
  </si>
  <si>
    <t>ВК Промышленного района г. Самара Самарской области</t>
  </si>
  <si>
    <t>ВК г. Мичуринск, Мичуринского, Никифоровского и Петровского р-нов Тамбовской области</t>
  </si>
  <si>
    <t>ВК г. Костомукина, Республики Карелия</t>
  </si>
  <si>
    <t>ВК Пронского, Старохиловского р-ов, Рязанской обл.</t>
  </si>
  <si>
    <t>ВК Анжеронского р-на, Краснодарского края</t>
  </si>
  <si>
    <t>ВК Козельского и Перемысильского р-ов, Калужской области</t>
  </si>
  <si>
    <t>ВК Западного и Прикубанского округов г. Краснодар</t>
  </si>
  <si>
    <t>ВК города Петразаводск Республики Карелия</t>
  </si>
  <si>
    <t>ВК г. Федосия и Кировского района Республики Крым</t>
  </si>
  <si>
    <t>ВК Крымского муниципального района Краснодарского Края</t>
  </si>
  <si>
    <t>ВК Титкярантского и Олонецкого районов Республики Карелия</t>
  </si>
  <si>
    <t xml:space="preserve">ВК Алтайского края </t>
  </si>
  <si>
    <t>ВК ГО Шатура и Егорьевск Московской области</t>
  </si>
  <si>
    <t>ВК г. Вологда Вологодской области</t>
  </si>
  <si>
    <t>ВК Ярославский, Заволасский</t>
  </si>
  <si>
    <t>ВК Заволжского р-на, Ивановской обл.</t>
  </si>
  <si>
    <t>ВК г. Нурлат</t>
  </si>
  <si>
    <t>ВК Заволжского р-на Ивановской области</t>
  </si>
  <si>
    <t>ВК г. Чнаул, Янаульского и Калтасинского районов Республики Башкортостан</t>
  </si>
  <si>
    <t>ВК Калужской области</t>
  </si>
  <si>
    <t>ВК Невского р-на, г. Санкт-Петербург</t>
  </si>
  <si>
    <t>ВК г. Сургут и Сургутского р-на</t>
  </si>
  <si>
    <t>ВК г. Янаул, Янаульского и Калтасинского районов Республики Башкоркостан</t>
  </si>
  <si>
    <t>ВК Шуйского мун. р-на Ивановской обл.</t>
  </si>
  <si>
    <t>ВК г.о. Советский Ставропольского Края</t>
  </si>
  <si>
    <t>ВК Невьянского ГО, Свердловской области</t>
  </si>
  <si>
    <t>ВК г. Лиски, Каменского и Лискинского района Воронежской области</t>
  </si>
  <si>
    <t>ВК Невского р-на г. Санкт-Петербург</t>
  </si>
  <si>
    <t>ВК г. Златоуст и Кусинского р-на, Челябинской обл.</t>
  </si>
  <si>
    <t>ВК г. Красноперск и ГО Армянск Красноперского р-на Республики Крым</t>
  </si>
  <si>
    <t>ВК МО Красноармейский р-н, Краснодарского края</t>
  </si>
  <si>
    <t>ВК г. Смоленск</t>
  </si>
  <si>
    <t>ВК Антеронского района Краснодарского Края</t>
  </si>
  <si>
    <t>ВК Адмиралтейского и Кировского р-ов г. Санкт-Петербурга</t>
  </si>
  <si>
    <t>ВК МО Пулковский меридиан, Московского р-на СПб</t>
  </si>
  <si>
    <t>ВК Палехского МО Ивановской области</t>
  </si>
  <si>
    <t>ВК Красноармейского р-на г. Волгоград и Светлярского р-на</t>
  </si>
  <si>
    <t>ВК Новохоперского р-на Воронежской области</t>
  </si>
  <si>
    <t>ВК Волжского р-на Самарской обл.</t>
  </si>
  <si>
    <t>ВК г. Тейково и Титковоского р-на, Ивановоской области</t>
  </si>
  <si>
    <t>ВК Брокинского г.о. Белгородской области</t>
  </si>
  <si>
    <t>ВК Яльчикского МО Чувашской Республики</t>
  </si>
  <si>
    <t>ВК Октябрьскуого р-на и Центрального админ. Округа г. Бийск</t>
  </si>
  <si>
    <t>ВК г. Сасово, Кадомского, Сосовского и Тителинского р-ов, Рязанской обл.</t>
  </si>
  <si>
    <t>ВК Таловского р-на, Воронежской области</t>
  </si>
  <si>
    <t>ВК Колпашевского района Томской области</t>
  </si>
  <si>
    <t>ВК Волоконовского р-на, Белгородской обл.</t>
  </si>
  <si>
    <t>ВК Губкинского городского округа Белгородской области</t>
  </si>
  <si>
    <t>ВК Жуковского района Калужской области</t>
  </si>
  <si>
    <t>ВК ФТ г. Альметьевск</t>
  </si>
  <si>
    <t>ВК г. Бердск</t>
  </si>
  <si>
    <t>ВК Тотемского, Бабушкинского, Нюксенского и Тарногекого МО, Вологодской обл.</t>
  </si>
  <si>
    <t>ВК Краснокутского, Советского и Федоровского р-ов Саратовской области</t>
  </si>
  <si>
    <t>ВК г. Азов и Азовского р-на, Ростовской области</t>
  </si>
  <si>
    <t xml:space="preserve">ВК Свердловской оюласти </t>
  </si>
  <si>
    <t>ВК г. Скопин, Скопинского и Милославского р-ов Рязанской обл.</t>
  </si>
  <si>
    <t>ВК Новохоперского района Воронежской области</t>
  </si>
  <si>
    <t>ВК Старооскольского городского округа Белгородской области</t>
  </si>
  <si>
    <t>ВК МО Санкт-Петербурга, г. Колпино</t>
  </si>
  <si>
    <t>ВК г. Искитим, Новосибирской области</t>
  </si>
  <si>
    <t>ВК МО города Брянска Брянской области</t>
  </si>
  <si>
    <t>ВК Демидовского р-на Смоленской области</t>
  </si>
  <si>
    <t>ВК Тимашевского и Калининского районов Краснодарского Края</t>
  </si>
  <si>
    <t>ВК ГО Балашиха и Реутов Московской области</t>
  </si>
  <si>
    <t>ВК г. Кузнецк, Кунецкого и Сосновоборского р-ов, пензенской обл.</t>
  </si>
  <si>
    <t>ВК г. Томск Томской обл.</t>
  </si>
  <si>
    <t xml:space="preserve">ВК г. Нижнекамск и Нижнекамского ГО </t>
  </si>
  <si>
    <t>ВК г. Орел</t>
  </si>
  <si>
    <t>ВК Красносельский р-н города Санкт-Петербург</t>
  </si>
  <si>
    <t>ВК города Жигулевск и Ставропольского Края</t>
  </si>
  <si>
    <t>ВК г. Тосно Тоснинского р-на Ленинградской обл.</t>
  </si>
  <si>
    <t>ВК Колинского и Пушкинского районов города Санкт-Петербург</t>
  </si>
  <si>
    <t>ВК г. Ростов, Борисоглебского и Ростовского р-ов Ярославской обл.</t>
  </si>
  <si>
    <t>ВК Клининского р-на, Рязанской обл.</t>
  </si>
  <si>
    <t>ВК Кировского и Ленинского р-ов г. Новосибирск</t>
  </si>
  <si>
    <t>ВК МО Вавожский р-н Удмуртской Республики</t>
  </si>
  <si>
    <t>ВК Колпиянского и Должанского районов Орловской области</t>
  </si>
  <si>
    <t>ВК г. Великие Луки, Великолукского, куньинского и Новосокольниниского р-ов</t>
  </si>
  <si>
    <t>ВК МО "Петергоф" Петродворцовый р-н</t>
  </si>
  <si>
    <t>ВК Нижегородского и Советского района Республики Крым</t>
  </si>
  <si>
    <t>ВК г. Феодосия и Кировского района Республики Крым</t>
  </si>
  <si>
    <t>ВК ГО г. Урюпинск, Урюпинского, Новониколаевского и Нихаевского мун. р-ов Волгоградской области</t>
  </si>
  <si>
    <t xml:space="preserve">Шалафан Евгений Александрович </t>
  </si>
  <si>
    <t>ВК Ершовского, Дергачевского и Озинского р-в Саратовской обл.</t>
  </si>
  <si>
    <t>ВК Краснодарского края по МО Гулькевичскиому р-ну</t>
  </si>
  <si>
    <t>ВК Верховажского МО Вологодской области</t>
  </si>
  <si>
    <t>ВК г. Тогучин, Тогучинского, Болотнинского и Московского р-ов</t>
  </si>
  <si>
    <t>ВК Кировского и Красноперекопского, Фрунзенского р-ов, г. Ярославль</t>
  </si>
  <si>
    <t>ВК Волховского и Киришского районов Ленинградской области</t>
  </si>
  <si>
    <t>06.07.2023</t>
  </si>
  <si>
    <t>ВК Волокамского г.о и Шаховская Московской области</t>
  </si>
  <si>
    <t>ВК г. Калиниград Калининградской области</t>
  </si>
  <si>
    <t>ВК Кставского и Дальнеконстантиновского муниципального округов Нижегородской области</t>
  </si>
  <si>
    <t>боевое распоряжение № 1931/КП от 30 октября 2023 года</t>
  </si>
  <si>
    <t>боевое распоряжение № 1952/КП от 01 ноября 2023 года</t>
  </si>
  <si>
    <t>боевое распоряжение № 1896/КП от 25 октября 2023 года</t>
  </si>
  <si>
    <t>боевое распоряжение № 1907/КП от 26 октября 2023 года</t>
  </si>
  <si>
    <t>Вещевая служба</t>
  </si>
  <si>
    <t>05.07.2023</t>
  </si>
  <si>
    <t>ВК Ливны и Ливенского р-на Орловской области</t>
  </si>
  <si>
    <t>ВК Автозаводского р-на г.Нижний Новгород</t>
  </si>
  <si>
    <t>ВК г. Калининград</t>
  </si>
  <si>
    <t>ВК г. Калининград, Калининградской области</t>
  </si>
  <si>
    <t>05.07.23</t>
  </si>
  <si>
    <t>ВК Сергонского и Пильнинского МО Нижегородской области</t>
  </si>
  <si>
    <t xml:space="preserve">ВК города Александров и Александровского района Владимирской области </t>
  </si>
  <si>
    <t>ВК Гвардейского и Полесского муниципальных округов Калининградской области</t>
  </si>
  <si>
    <t>ВК г. Ливны и Ливского р-на Орловской обл.</t>
  </si>
  <si>
    <t>ВК города Юрга и Юргинского района Кемеровской области - Кузбаса</t>
  </si>
  <si>
    <t>ВК г. Виволожск и Виволожского района Ленинградской области</t>
  </si>
  <si>
    <t>ВК г. Калининград Калининградской области</t>
  </si>
  <si>
    <t>ВК Сергочского муниципального округа Нижегородской области</t>
  </si>
  <si>
    <t>ВК г.Тейкова, Тейковского р-на, Ивановской обл.</t>
  </si>
  <si>
    <t>ВК г.Тосно и Тосненского р-на Ленинградской области</t>
  </si>
  <si>
    <t>ВК гор. окр. Семеновский и Воскресенского пун. окр. Нижегородской обл.</t>
  </si>
  <si>
    <t>ВК г. Дзержинск и Володарского МО Нижегородской области</t>
  </si>
  <si>
    <t>ВК городского округа г. Арзамас Нижегородской области</t>
  </si>
  <si>
    <t>ВК г. Вологда и Вологодского МО Вологодской области</t>
  </si>
  <si>
    <t>ВК Левобережного и Железнодорожного р-в г. Воронеж</t>
  </si>
  <si>
    <t>ВК г.Вичуга и Вичугского района Ивановской области</t>
  </si>
  <si>
    <t>ВК г. Заринск Залесовского муниципального округа, Заринского и Кытмановского района, Алтайского края</t>
  </si>
  <si>
    <t>ВК Плесецкого района и города Мирный Архангельской области</t>
  </si>
  <si>
    <t>ВК городского округа Арзамас Нижегородской области</t>
  </si>
  <si>
    <t>ВК г.Калининград Калининградской области</t>
  </si>
  <si>
    <t>ВК г. Кинешма и Киншемского района Ивановской области</t>
  </si>
  <si>
    <t xml:space="preserve">ВК г. Иваново Ивановской области </t>
  </si>
  <si>
    <t>ВК Зеленоградского МО, Пионерского и Светлогорского ГО Калининградской обл.</t>
  </si>
  <si>
    <t>ВК г. Иваново</t>
  </si>
  <si>
    <t>ВК Советского и Центрального р-в г. Красноярск</t>
  </si>
  <si>
    <t>ВК Западнодвинского МО, Тверской области</t>
  </si>
  <si>
    <t>ВК Обоянского р-на Курской области</t>
  </si>
  <si>
    <t>Желехнодорожного округа г. Курск, Курского района, Курской области</t>
  </si>
  <si>
    <t>ВК Приморского района г. Санкт-Петербурга</t>
  </si>
  <si>
    <t>ВК г. Кинешма и Кинешемского района Ивановской области</t>
  </si>
  <si>
    <t xml:space="preserve">ВК г. Калининград, Калининградской области </t>
  </si>
  <si>
    <t>ВК Автозаводского района гор. Нижний Новгород</t>
  </si>
  <si>
    <t>ВК г. Кирсанов, Кирсановского, Гавриловского и Уметского р-ов, Тамбовской обл.</t>
  </si>
  <si>
    <t>ВК Зеленоградского МО, Светлогорской и Пионерской городских окр.</t>
  </si>
  <si>
    <t>ВК г. Ливны и Ливенского р-на Орловской области</t>
  </si>
  <si>
    <t>ВК Борисоглебск, Борисоглебского и Грибановского районов Воронежской области</t>
  </si>
  <si>
    <t>ВК ГО Солнечногорск, Московской обл.</t>
  </si>
  <si>
    <t>ВК Гурьевского МО Калининградской обл.</t>
  </si>
  <si>
    <t>ВК Тарусского района Калужской области</t>
  </si>
  <si>
    <t>ВК Черняховского и Озерского муниципальных округов, Калининградской обл.</t>
  </si>
  <si>
    <t>ВК Черняховского и Озерского МО Калининградской области</t>
  </si>
  <si>
    <t>ВК ГО город Махачкала РД</t>
  </si>
  <si>
    <t>ВК Гусевского ГО, Краснознаменского и Нестеревского МО Калининградской обл.</t>
  </si>
  <si>
    <t>ВК Свердловского р-на г. Красноярск, Дивногорск Красноярского края</t>
  </si>
  <si>
    <t>ВК гордского округа г. Буйнакск и Буйнакского муниципального района</t>
  </si>
  <si>
    <t>ВК Лакского и Кулинского муниципальных районов Респ. Дагестан</t>
  </si>
  <si>
    <t>ВК городского округа г. Махачкала, Республики Дагестан</t>
  </si>
  <si>
    <t>ВК Лакского и Кулинского муниципальных районов РД</t>
  </si>
  <si>
    <t>ВК ГО г. Дербент и г. Даг. Огни, Дербентского р-на РД</t>
  </si>
  <si>
    <t>ВК Тарумовского и Ногайского муниципальных районов РД</t>
  </si>
  <si>
    <t>ВК Бабаюртовского муниципального района РД</t>
  </si>
  <si>
    <t>ВК Сулейман-Стальского и Курахского районов республики Дагестан</t>
  </si>
  <si>
    <t xml:space="preserve">ВК Заволжского района Ивановской области </t>
  </si>
  <si>
    <t>ВК города Гатчина и Гатчинского р-на Ленинградской обл.</t>
  </si>
  <si>
    <t>06.07.23</t>
  </si>
  <si>
    <t xml:space="preserve">ВК Калининград, Калининградской области </t>
  </si>
  <si>
    <t>ВК г. Выборг и Выборгского района, Ленинградской области</t>
  </si>
  <si>
    <t>ВК Советского и Железнодорожного районов г.Самара Самарской области</t>
  </si>
  <si>
    <t>ВК Фурманов, Приволжского и Фурмановского районов Ивановской обл.</t>
  </si>
  <si>
    <t>ВК г. Котлас и Коряжма Котласского района Архангельской области</t>
  </si>
  <si>
    <t>ВК Богородского,вачского, павловского и сосновского муниципальных округов Нижегородской обл.</t>
  </si>
  <si>
    <t>ВК Гусевского ГО, Краснознаменского и Нестеровского МО Калининградской области</t>
  </si>
  <si>
    <t>ВК Невского района г. Санкт-Петербурга</t>
  </si>
  <si>
    <t>ВК г. Калиниград, Калиниградской области</t>
  </si>
  <si>
    <t xml:space="preserve">ВК Бабаюртовского мниципального района, республики Дагестан </t>
  </si>
  <si>
    <t>ВК Офевского и Араньевского р-ов Тульской области</t>
  </si>
  <si>
    <t>ВК г. Буй, Буйского и Сусакинского районов Костромской области</t>
  </si>
  <si>
    <t>ВК г. Рославль и Рославльского р-на Смоленской обл.</t>
  </si>
  <si>
    <t>ВК г. Смоленск и Смоленского района Смоленской области</t>
  </si>
  <si>
    <t>ВК городского округа город Махачкала Республики Дагестан</t>
  </si>
  <si>
    <t>ВК Зеленоградского МО Пионерского и Светлогорского ГО Калининградской обл.</t>
  </si>
  <si>
    <t>ВК г. Костромы Костромской обл.</t>
  </si>
  <si>
    <t>ВК Уярского Манского и Партизанского р-в Красноярского края</t>
  </si>
  <si>
    <t>ВК Антроповского и Парфеньевского р-ов, Костромской области</t>
  </si>
  <si>
    <t xml:space="preserve">ВК Коченевского и Калыванского р-ов Новосибирской обл. </t>
  </si>
  <si>
    <t>ВК г. Богородицк, Богородицкого и Куринского р-ов, Тульской обл.</t>
  </si>
  <si>
    <t>ВК г.Богородицк, Богородицкогои Куркинского р-ов, Тульской обл.</t>
  </si>
  <si>
    <t xml:space="preserve">ВК г. Краснокамск, Пермского края </t>
  </si>
  <si>
    <t>ВК Академического и Ленинского районов г. Екатеринбург</t>
  </si>
  <si>
    <t>ВК Индустриального и Дзержинского районов г. Пермь</t>
  </si>
  <si>
    <t>04.07.23</t>
  </si>
  <si>
    <t xml:space="preserve">ВК городского округа город Тула, Тульской области </t>
  </si>
  <si>
    <t>ВК Гусевского ГО, Краснознменского и Нестеровского МО Калиниградкой области</t>
  </si>
  <si>
    <t>ВК Черняховского и Озерского МО, Калининградской области</t>
  </si>
  <si>
    <t>ВК городского округа, город Тула, Тульской области</t>
  </si>
  <si>
    <t>ВК г. Ачинск, Ачинского и Большеулуйского районов Красноярского края</t>
  </si>
  <si>
    <t>ВК городского округа Коломна, Московской области</t>
  </si>
  <si>
    <t>ВК г. Тверь, Тверская область</t>
  </si>
  <si>
    <t>ВК Кировского и Ленинского районов г. Новосибирска</t>
  </si>
  <si>
    <t>ВК г. Черепаново, Черепановского и Маслянинского р-ов Новосибирской обл.</t>
  </si>
  <si>
    <t>ВК г. Буй Буйского и Сусанинского районов Костромской области</t>
  </si>
  <si>
    <t>ВК Бежеухого и Сонковского муниц. Р-в Краснохаллеского МО, Тверской области</t>
  </si>
  <si>
    <t>ВК Калининского района, города Санкт-Петербурга</t>
  </si>
  <si>
    <t>03.07.23</t>
  </si>
  <si>
    <t>ВК г.о. Мытищи и Королев, Московской области</t>
  </si>
  <si>
    <t>ВК Щекинского района, Тульской области</t>
  </si>
  <si>
    <t>ВК г. Суздаль и Суздальского р-на, Владимирскойобласти</t>
  </si>
  <si>
    <t>ВК города Алесандров и Александровского района, Владимирской области</t>
  </si>
  <si>
    <t>ВК Александров и Александрровского района, Владимирской области</t>
  </si>
  <si>
    <t>ВК города Ефремов, Ефремовского и Каменского районов, Тульской области</t>
  </si>
  <si>
    <t>ВК г. Вязники и Вязниковского района, Владимирской области</t>
  </si>
  <si>
    <t>ВК г. Александровск и Кизел Пермского края</t>
  </si>
  <si>
    <t>ВК Судиславского и Островского районов Костромской области</t>
  </si>
  <si>
    <t xml:space="preserve">ВК Калагеевского и Петропавловского районов Воронежской области </t>
  </si>
  <si>
    <t>ВК Новохонерского района Воронежской области</t>
  </si>
  <si>
    <t>ВК Капачеевского и Петропавловского районов Воронежской области</t>
  </si>
  <si>
    <t>ВК Киреевского района Тульской области</t>
  </si>
  <si>
    <t>ВК г. Кострома, Костромской обл.</t>
  </si>
  <si>
    <t>ВК г. Рославль и Рославльского р-на Смоленской области</t>
  </si>
  <si>
    <t>ВК Волгореченск Костромской обл.</t>
  </si>
  <si>
    <t>ВК Дзерджинского и Калининского районов г. Новосибирск</t>
  </si>
  <si>
    <t>ВК Веневского района Тульской области</t>
  </si>
  <si>
    <t>ВК г.Богородицк, Богородицкого и Куркинского р-ов, Тульской обл.</t>
  </si>
  <si>
    <t>ВК ПО г. Дербент и г. Дал Огни, Дерб-го муниц. Р-на, республики Дагестан</t>
  </si>
  <si>
    <t>ВК Чародинского муниципального района РД</t>
  </si>
  <si>
    <t xml:space="preserve">ВК Левашинского и Гергебинского р-в, р. Дагестан </t>
  </si>
  <si>
    <t>ВК городского округа города Хасавюрт, Новолакского муниципальных районов РД</t>
  </si>
  <si>
    <t>ВК г. Хасавюрт, Хасавюртовского и Новолакского муниципальных районов РД</t>
  </si>
  <si>
    <t>ВК Демитовского района Смоленской обл.</t>
  </si>
  <si>
    <t>Химич Алексей Викторович</t>
  </si>
  <si>
    <t>ВК Костромского р-на Костромской области</t>
  </si>
  <si>
    <t>ВК Сузунского района Новосибирской обл.</t>
  </si>
  <si>
    <t>ВК г. Ярцево, Духовиненского, Кардымовского и Ярцевского р-ов Смоленской обл.</t>
  </si>
  <si>
    <t>ВК Октябрьского района и Центрального админ. округа г. Новосибирск</t>
  </si>
  <si>
    <t>ВК Березовского р-на и гор. Сосновоборск Красноярского края</t>
  </si>
  <si>
    <t>ВК городского округа Клин Московского области</t>
  </si>
  <si>
    <t>ВК г. Соликамск и Соликамского р-на, Пермского края</t>
  </si>
  <si>
    <t>ВК Свердловского и Ленинского районов г. Пермь</t>
  </si>
  <si>
    <t>ВК Черняховского муниципального округа Калининградской области</t>
  </si>
  <si>
    <t>ВК Калининград, Калининградской обл.</t>
  </si>
  <si>
    <t>ВК Кишертского и суксунского районов Пермского края</t>
  </si>
  <si>
    <t>ВК г. Асбест Свердловской области</t>
  </si>
  <si>
    <t>ВК Верх-Исетского и железнодорожного районов г. Екатеренбурга</t>
  </si>
  <si>
    <t>ВК Советского ГО, Цемашского и Славного муниципальных округов, Калининградской области</t>
  </si>
  <si>
    <t xml:space="preserve">ВК г. Касимов и Касимовского района, Рязанской области </t>
  </si>
  <si>
    <t>ВК Багратионовского и Правдинского муниципальных округов Калининградской области</t>
  </si>
  <si>
    <t>ВК Калининград, Калининградской области</t>
  </si>
  <si>
    <t>ВК Багратионовского и Правдинского муниципальных округов, Калининградской области</t>
  </si>
  <si>
    <t>ВК г. Клинцы, Клинцовского, Гордеевского и Красногорского р-в Брянской обл.</t>
  </si>
  <si>
    <t>ВК Октяборьского района Центрального админ. Округа, г. Новосибирск</t>
  </si>
  <si>
    <t>ВК города Костромы, Костромской области</t>
  </si>
  <si>
    <t>ВК Волховского и Кирижского р-ов Ленинградской области</t>
  </si>
  <si>
    <t>ВК города Гатчина и Гатчинского р-на Ленингродской обл.</t>
  </si>
  <si>
    <t>Куликов Антон Вячеславович</t>
  </si>
  <si>
    <t>ВК г. Нея и Нейского района Костромской обл.</t>
  </si>
  <si>
    <t>ВК Бобровского р-на Воронежской области</t>
  </si>
  <si>
    <t>ВК Вохомского октябрьского районов Костромской области</t>
  </si>
  <si>
    <t>ВК г. Калининград,Калининградской области</t>
  </si>
  <si>
    <t>ВК Удаменского и Лесного м.о. Тверской области</t>
  </si>
  <si>
    <t>ВК Брединского р-на, Челябинской обл.</t>
  </si>
  <si>
    <t>ВК г. Ванореченск Костромской области</t>
  </si>
  <si>
    <t>ВК Балтийского и Светлогорского городских округов Калининградской области</t>
  </si>
  <si>
    <t>ВК Зеленоградского МО, Пионерского и Светлогорского ГО Калининградской области</t>
  </si>
  <si>
    <t>ВК г. Тверь, Тверской области</t>
  </si>
  <si>
    <t>ВК г. Каргат, Каргаитского Убинского и Чулымского р-ов НСО</t>
  </si>
  <si>
    <t>ВК Старрусского района Новгородской области</t>
  </si>
  <si>
    <t>ВК городских округов Шакура и Егорьевск Московской области</t>
  </si>
  <si>
    <t>ВК городских округов Шатура и Егоровск Московской области</t>
  </si>
  <si>
    <t xml:space="preserve">ВК Гурьевского МО Калинигградской области </t>
  </si>
  <si>
    <t>Титаев Мирослав Александрович</t>
  </si>
  <si>
    <t>ВК городов Бокситогорск и Тихвин, Ленинградской области</t>
  </si>
  <si>
    <t>ВК городского окруна Коломна, Московской области</t>
  </si>
  <si>
    <t xml:space="preserve">Вк Немировского городского округа, Бельского района и Оленинского муниципального округа, Тверсокй области </t>
  </si>
  <si>
    <t xml:space="preserve">ВК г. Калининград, Алиниградской области </t>
  </si>
  <si>
    <t>ВК г. Калининград Канинградской области</t>
  </si>
  <si>
    <t>ВК Богородского гор.окр, г.о Электросталь и Черноголовка Моск. Обл.</t>
  </si>
  <si>
    <t>ВК Романовского и Верхнехавского районов Воронежской области</t>
  </si>
  <si>
    <t>ВК г. Александров и Анежандровского района, Владимирской области</t>
  </si>
  <si>
    <t>ВК Ленинск-Кузнецкий и Полысаево, Ленинск-Кузнецкого и Крапивинского районов Кумеровской области - Кузбасса</t>
  </si>
  <si>
    <t>ВК Демянского р-на Новгородской области</t>
  </si>
  <si>
    <t>ВК Шекснинского муниципального района Вологодской области</t>
  </si>
  <si>
    <t>ВК г. Брянск Брянской области</t>
  </si>
  <si>
    <t>ВК Центрального и Коминтерновского районов г. Воронеж</t>
  </si>
  <si>
    <t>ВК. Г. Калининград, Калининградской области</t>
  </si>
  <si>
    <t>ВК Зеленоградского МО, Пионерского и Светлогорского ГО, Калининградской обл.</t>
  </si>
  <si>
    <t xml:space="preserve">ВК Совеетского округа, Неманского и Соавского муниципальных округов, Калининградской области </t>
  </si>
  <si>
    <t>ВК ГО города Кострома Костромской области</t>
  </si>
  <si>
    <t>ВК Пушкинского городского округа Московской области</t>
  </si>
  <si>
    <t>ВК Подпорожского и Лодейнопольского р-в Ленинградской области</t>
  </si>
  <si>
    <t>ВК Валдайского р-на Новгородской области</t>
  </si>
  <si>
    <t>ВК Каратузского района, Красноярского края</t>
  </si>
  <si>
    <t>ВК городского округа города Белгород Белгородской области</t>
  </si>
  <si>
    <t>ВК Муезерского района Республика Карелия</t>
  </si>
  <si>
    <t>ВК городских округов Балашиха и Реутов Московской области</t>
  </si>
  <si>
    <t>ВК Черняховского и Озерского муниципальных округов Калининградской области</t>
  </si>
  <si>
    <t>ВК Питкярантского и Олонецкого районов Республики Карелия</t>
  </si>
  <si>
    <t>ВК Выгоничского и Жирятинского районов Брянской области</t>
  </si>
  <si>
    <t>ВК Рыльского р-на Курской области</t>
  </si>
  <si>
    <t>ВК Брянского р-на и г. Сельцо Брянской области</t>
  </si>
  <si>
    <t>Богородского гор. Окр., Электросталь и Черноголовка Моск.обл.</t>
  </si>
  <si>
    <t>ВК г. Северодвинск Архангельской области</t>
  </si>
  <si>
    <t>ВК Удомельского г.о. и Лесного м.о. Тверской области</t>
  </si>
  <si>
    <t>ВК Боровичского района Новгородской области</t>
  </si>
  <si>
    <t>ВК Демьянского муниципального района Новгородской области</t>
  </si>
  <si>
    <t>ВК Облостного р-а Курской области</t>
  </si>
  <si>
    <t>ВК Прохоровского р-на Белгородской области</t>
  </si>
  <si>
    <t>ВК Демянского муниципального района Новгородской области</t>
  </si>
  <si>
    <t>ВК Гусевского г.о. Краснознаменского и Нестеровского МО Калининградской области</t>
  </si>
  <si>
    <t xml:space="preserve">ВК Левобережного и железнодорожного р-нов г. Воронеж </t>
  </si>
  <si>
    <t>ВК Поныровского р-на Курской области</t>
  </si>
  <si>
    <t>ВК Центрального и Коминтерновского р-ов г. Воронеж, Воронежской области</t>
  </si>
  <si>
    <t>ВК Кингисены и Сланцы, Кингисенского, Волосовского и Сланцевского районов Лен. Обл.</t>
  </si>
  <si>
    <t>ВК Питкирянтского и Олонецкого района Республика Карелия</t>
  </si>
  <si>
    <t>ВК Петродворцового р-на города Санкт-Петербург</t>
  </si>
  <si>
    <t>ВК г. Гатчина и Гатчинского р-на Ленинградской обл.</t>
  </si>
  <si>
    <t>ВрИО ЗНШ по СВ</t>
  </si>
  <si>
    <t>АВ-542941</t>
  </si>
  <si>
    <t>20.11.2003</t>
  </si>
  <si>
    <t>МТ-827096</t>
  </si>
  <si>
    <t>09.07.2002</t>
  </si>
  <si>
    <t>Х-623037</t>
  </si>
  <si>
    <t xml:space="preserve">11 классов </t>
  </si>
  <si>
    <t>№115 от 10.06.2022</t>
  </si>
  <si>
    <t>Егишев Никита Андреевич</t>
  </si>
  <si>
    <t>боевое распоряжение № 036/КП от 28 октября 2023 года</t>
  </si>
  <si>
    <t>№133 от 28.08.2023</t>
  </si>
  <si>
    <t>№157 от 28.09.2023</t>
  </si>
  <si>
    <t>Крачевский Александр Николаевич</t>
  </si>
  <si>
    <t>№220 от 07.11.2023</t>
  </si>
  <si>
    <t>Мигалев Илья Мелодиевич</t>
  </si>
  <si>
    <t>ВК г. Норильск, Красноярского края</t>
  </si>
  <si>
    <t>ВК г. Златоуст, Кусинского р-на, Челябинской обл.</t>
  </si>
  <si>
    <t xml:space="preserve">ВК Пермского р-на, Пермского края </t>
  </si>
  <si>
    <t>Юдин Виталий Борисович</t>
  </si>
  <si>
    <t>С-994904</t>
  </si>
  <si>
    <t>№193 09.11.2023</t>
  </si>
  <si>
    <t>Насруллоев Дилшод Нусратуллоевич</t>
  </si>
  <si>
    <t>АВ-204985</t>
  </si>
  <si>
    <t>Гомазков Сергей</t>
  </si>
  <si>
    <t>АВ-204691</t>
  </si>
  <si>
    <t>№193 от 07.11.2023</t>
  </si>
  <si>
    <t>№170 от 08.09.2022</t>
  </si>
  <si>
    <t>УК-755218</t>
  </si>
  <si>
    <t>Андрущак Юрий Сергеевич</t>
  </si>
  <si>
    <t>№271 от 26.10.2023</t>
  </si>
  <si>
    <t>г. Кострома(в/ч 62297)</t>
  </si>
  <si>
    <t>Астафьев Павел Владимирович</t>
  </si>
  <si>
    <t>АВ-204543</t>
  </si>
  <si>
    <t>Болдин Тимофей Александрович</t>
  </si>
  <si>
    <t>Х-719855</t>
  </si>
  <si>
    <t>Слабицкий Федор Владимирович</t>
  </si>
  <si>
    <t>Х-705675</t>
  </si>
  <si>
    <t>АВ-204492</t>
  </si>
  <si>
    <t>Рота(взвод)</t>
  </si>
  <si>
    <t>рапорт командира 5 МСР 2 МСБ № 4210 от 07 ноября 2023 года</t>
  </si>
  <si>
    <t>в/ч 45752-Д, поселок Прохладное</t>
  </si>
  <si>
    <t>рапорт СПНШ в/ч 63940 № 4211 от 07 ноября 2023 года</t>
  </si>
  <si>
    <t>№221 от 08.11.2023</t>
  </si>
  <si>
    <t>в/ч 25810</t>
  </si>
  <si>
    <t>Офицеры</t>
  </si>
  <si>
    <t>Прапорщики</t>
  </si>
  <si>
    <t>Контрактники</t>
  </si>
  <si>
    <t>Срочники</t>
  </si>
  <si>
    <t>Всего за 1 МСБ</t>
  </si>
  <si>
    <t>Всего за 2 МСБ</t>
  </si>
  <si>
    <t>в\ч 38838</t>
  </si>
  <si>
    <t>Всего за 3 МСБ</t>
  </si>
  <si>
    <t>Обучение БМП-2</t>
  </si>
  <si>
    <t>Штаб дивизии</t>
  </si>
  <si>
    <t>Фролов Алексей Михайлович</t>
  </si>
  <si>
    <t>№194 от 08.11.2023</t>
  </si>
  <si>
    <t>Рукавишников Николай Николаевич</t>
  </si>
  <si>
    <t>АВ-583198</t>
  </si>
  <si>
    <t>рапорт военнослужащего № 4213 от 08 ноября 2023 года</t>
  </si>
  <si>
    <t>№802 от 07.11.2023</t>
  </si>
  <si>
    <t>в/ч 49324-К п. Федотово, Вологодской области</t>
  </si>
  <si>
    <t>в/ч 88730 г. Гусев</t>
  </si>
  <si>
    <t>№766 от 27.10.2023</t>
  </si>
  <si>
    <t>№222 от 09.11.2023</t>
  </si>
  <si>
    <t>Обучение БПЛА</t>
  </si>
  <si>
    <t>кодограмма №1205НШ от 08 ноября 2023 года</t>
  </si>
  <si>
    <t>указание командующего группировки "Запад" №12/ВПУ/8883Ш от 09 июня 2023 года</t>
  </si>
  <si>
    <t>Неизвестная месность</t>
  </si>
  <si>
    <t>боевое распоряжение № 429 от 08 ноября 2023 года</t>
  </si>
  <si>
    <t>Шевчук Николай Анатольевич</t>
  </si>
  <si>
    <t>Х-655362</t>
  </si>
  <si>
    <t>№156 от 30.10.2023</t>
  </si>
  <si>
    <t>№57 от 01.05.2023</t>
  </si>
  <si>
    <t>№96 от 11.07.2023</t>
  </si>
  <si>
    <t>№168 от 16.10.2023</t>
  </si>
  <si>
    <t>№119 от 03.08.2023</t>
  </si>
  <si>
    <t>№224 от 10.11.2023</t>
  </si>
  <si>
    <t>рапорт военнослужащего № 4292 от 10 ноября 2023 года</t>
  </si>
  <si>
    <t>Авакян Артур Михайлович</t>
  </si>
  <si>
    <t>Лукин Максим Александрович</t>
  </si>
  <si>
    <t>АВ-442776</t>
  </si>
  <si>
    <t>Назюков Илья Радиславиович</t>
  </si>
  <si>
    <t>ВЕ-162919</t>
  </si>
  <si>
    <t>Смирнов Роман Олегович</t>
  </si>
  <si>
    <t>АВ-442784</t>
  </si>
  <si>
    <t>Иргашев Акмал Бахритдинович</t>
  </si>
  <si>
    <t>АВ-201556</t>
  </si>
  <si>
    <t>Тиунов Вячеслав Салиманович</t>
  </si>
  <si>
    <t>АВ-915401</t>
  </si>
  <si>
    <t>Тиунов Олег Салиманович</t>
  </si>
  <si>
    <t>Сарсенов Каирбулат Маликович</t>
  </si>
  <si>
    <t>Паншезов Равиль Рахимович</t>
  </si>
  <si>
    <t>Аксенов Александр Петрович</t>
  </si>
  <si>
    <t>Белоусов Антон Максимович</t>
  </si>
  <si>
    <t>Беляев Алексей Николаевич</t>
  </si>
  <si>
    <t>Божко Валерий Андреевич</t>
  </si>
  <si>
    <t>Грачев Иван Сергеевич</t>
  </si>
  <si>
    <t>Демидов Вадим Андреевич</t>
  </si>
  <si>
    <t>Денисов Виталий Викторович</t>
  </si>
  <si>
    <t>Жирнов Кирилл Сергеевич</t>
  </si>
  <si>
    <t>Жирнов Данила Сергеевич</t>
  </si>
  <si>
    <t>Копылов Роман Юрьевич</t>
  </si>
  <si>
    <t>Панкевич Дмитрий Романович</t>
  </si>
  <si>
    <t>Пинаев Дмитрий Владимирович</t>
  </si>
  <si>
    <t>Поларшинов Максим Игоревич</t>
  </si>
  <si>
    <t>Попов Григорий Владимирович</t>
  </si>
  <si>
    <t>Ревенков Александр Владимирович</t>
  </si>
  <si>
    <t>Смородинов Дмитрий Денисович</t>
  </si>
  <si>
    <t>Собещанский Николай Алексеевич</t>
  </si>
  <si>
    <t>Тормосин Даниил Евгеньевич</t>
  </si>
  <si>
    <t>Федяшев Алексей Андреевич</t>
  </si>
  <si>
    <t>Шалесный Иван Александрович</t>
  </si>
  <si>
    <t>Рапорт командира взвода РМП №4306 от 10.11.2023</t>
  </si>
  <si>
    <t>ВК г. Волжск и Волжского района Республиуи Марий Эл</t>
  </si>
  <si>
    <t>ВК г. Янаш, Янаульского и Калтасинского районов Респ. Башкортостан</t>
  </si>
  <si>
    <t>ВК Медведевского и Килемарского районов Республики Марий Эл</t>
  </si>
  <si>
    <t>ВК Комсомольского и и Центрального районов города тольятти Самарской области</t>
  </si>
  <si>
    <t>АВ-915381</t>
  </si>
  <si>
    <t>АВ-915395</t>
  </si>
  <si>
    <t>ВК Краснояренко, Елховского и Кошкинского районов Самарской области</t>
  </si>
  <si>
    <t>ВК Октябрьского и Правобережного АО г. Иркутск Иркутской области</t>
  </si>
  <si>
    <t>МТ-693243</t>
  </si>
  <si>
    <t>АВ - 893443</t>
  </si>
  <si>
    <t>ВК Ершовского, Дергачевского и Озинского р-ов, Саратовской обл.</t>
  </si>
  <si>
    <t>ВК городов Вольск, Хвалынск и Шиханы, Вольского, Воскресенского и Хвалынского райнов Саратовской области</t>
  </si>
  <si>
    <t>ВК Заводского и Октябрьского районов, города Саратов, Саратовской области</t>
  </si>
  <si>
    <t>ВК города Балаково, Балаковского и Духовницкого районов Сратовской области</t>
  </si>
  <si>
    <t>Армянин</t>
  </si>
  <si>
    <t>АВ-915374</t>
  </si>
  <si>
    <t>ВК Комсомольского и Центрального р-ов г. Тольятти  Самарской обл</t>
  </si>
  <si>
    <t>АВ-201540</t>
  </si>
  <si>
    <t>ВК г. Калининград Калининградской обл.</t>
  </si>
  <si>
    <t>АВ-201541</t>
  </si>
  <si>
    <t>АВ-201524</t>
  </si>
  <si>
    <t>ВК Калининградской обл. по Краснознаменскому ГО</t>
  </si>
  <si>
    <t>АВ-893452</t>
  </si>
  <si>
    <t>ВК города Красноармейск и Крсноармейского района, Саратовской области</t>
  </si>
  <si>
    <t>АВ-893453</t>
  </si>
  <si>
    <t>ВК Хвалынск и Шиханы, Вольского Воскресенского и Хвалынского р-ов Саратовской обл.</t>
  </si>
  <si>
    <t>АВ-915380</t>
  </si>
  <si>
    <t>ВК Самарской обл. по Комсомольского и центральных р-ов г. Тольятти</t>
  </si>
  <si>
    <t>АВ-201561</t>
  </si>
  <si>
    <t xml:space="preserve">г. Калининград, Калининиградмкой области </t>
  </si>
  <si>
    <t>АВ-893460</t>
  </si>
  <si>
    <t>ВК г. Эльск, Ровенского и Этельсского р-ов, Саратовской обл.</t>
  </si>
  <si>
    <t>АВ-915396</t>
  </si>
  <si>
    <t>ВК Промышленного р-на г. Самары, Самарской обл.</t>
  </si>
  <si>
    <t>ВЕ-196749</t>
  </si>
  <si>
    <t xml:space="preserve">ВК городов Черемково и Свирок, Черемховского района, Иркусткой облсти </t>
  </si>
  <si>
    <t>АВ-201572</t>
  </si>
  <si>
    <t>ВК г. Города Калининград, Калининградской области</t>
  </si>
  <si>
    <t>АВ-893490</t>
  </si>
  <si>
    <t>ВК Новоузенского, Александрово - Гайского и Питерского районов, Саратовской области</t>
  </si>
  <si>
    <t>города Балаково, Балаковского и Духовницкого районов, Саратовской области</t>
  </si>
  <si>
    <t>АВ-893492</t>
  </si>
  <si>
    <t>АВ-442785</t>
  </si>
  <si>
    <t>ВК Марий Эл по г. Йошкар - Ола</t>
  </si>
  <si>
    <t>АВ-915402</t>
  </si>
  <si>
    <t>АВ-915404</t>
  </si>
  <si>
    <t xml:space="preserve">Комсомольского и Центрального районов, города Тольяти, Самрской области </t>
  </si>
  <si>
    <t>ВЕ-180724</t>
  </si>
  <si>
    <t>ВК Респ. Татарстан по Альметьевскому МР</t>
  </si>
  <si>
    <t>ВК г. Пугачев, Ивнтеевского, Кр.партизанского, Перелюбского и Пугачевского районов, Саратовской облсти</t>
  </si>
  <si>
    <t>АВ-893473</t>
  </si>
  <si>
    <t>Баржаксин Рустам Маратович</t>
  </si>
  <si>
    <t>№225 от 13.11.2023</t>
  </si>
  <si>
    <t xml:space="preserve">СПО </t>
  </si>
  <si>
    <t>8 классов</t>
  </si>
  <si>
    <t xml:space="preserve">8 классов </t>
  </si>
  <si>
    <t>(вид комплектования)</t>
  </si>
  <si>
    <t>Смешанный</t>
  </si>
  <si>
    <t>Контрактный</t>
  </si>
  <si>
    <t>Всего за 79 МСП</t>
  </si>
  <si>
    <t>15.05.2003</t>
  </si>
  <si>
    <t>08.08.2003</t>
  </si>
  <si>
    <t>27.11.2003</t>
  </si>
  <si>
    <t>25.05.2003</t>
  </si>
  <si>
    <t>13.11.2004</t>
  </si>
  <si>
    <t>08.02.2005</t>
  </si>
  <si>
    <t>13.12.2002</t>
  </si>
  <si>
    <t>30.10.2003</t>
  </si>
  <si>
    <t>05.02.2003</t>
  </si>
  <si>
    <t>29.04.2003</t>
  </si>
  <si>
    <t>Валов Максим Михайлович</t>
  </si>
  <si>
    <t>10.03.2003</t>
  </si>
  <si>
    <t>12.05.2003</t>
  </si>
  <si>
    <t>22.09.2004</t>
  </si>
  <si>
    <t>17.07.2004</t>
  </si>
  <si>
    <t>10.12.2002.</t>
  </si>
  <si>
    <t>19.04.2003</t>
  </si>
  <si>
    <t>26.06.2002</t>
  </si>
  <si>
    <t>18.02.2004</t>
  </si>
  <si>
    <t>02.02.2004</t>
  </si>
  <si>
    <t>28.04.2004</t>
  </si>
  <si>
    <t>27.01.2002</t>
  </si>
  <si>
    <t>16.07.2004</t>
  </si>
  <si>
    <t>13.08.2004</t>
  </si>
  <si>
    <t>28.01.2003</t>
  </si>
  <si>
    <t>04.12.2003</t>
  </si>
  <si>
    <t>23.09.2003</t>
  </si>
  <si>
    <t>14.09.2004</t>
  </si>
  <si>
    <t>20.05.2004</t>
  </si>
  <si>
    <t>01.03.2003</t>
  </si>
  <si>
    <t>23.10.2002</t>
  </si>
  <si>
    <t>14.02.2004</t>
  </si>
  <si>
    <t>16.11.2002</t>
  </si>
  <si>
    <t>30.07.2004</t>
  </si>
  <si>
    <t>02.08.2002</t>
  </si>
  <si>
    <t>24.04.2003</t>
  </si>
  <si>
    <t>24.09.2003</t>
  </si>
  <si>
    <t>18.08.2004</t>
  </si>
  <si>
    <t>26.10.2003</t>
  </si>
  <si>
    <t>17.10.2002</t>
  </si>
  <si>
    <t>08.09.2003</t>
  </si>
  <si>
    <t>13.03.2003</t>
  </si>
  <si>
    <t>21.06.2004</t>
  </si>
  <si>
    <t>18.08.2002</t>
  </si>
  <si>
    <t>11.08.2003</t>
  </si>
  <si>
    <t>28.06.2003</t>
  </si>
  <si>
    <t>14.03.2004</t>
  </si>
  <si>
    <t>07.07.2004</t>
  </si>
  <si>
    <t>31.12.2003</t>
  </si>
  <si>
    <t>27.02.2003</t>
  </si>
  <si>
    <t>24.07.2004</t>
  </si>
  <si>
    <t>10.08.2002</t>
  </si>
  <si>
    <t>02.01.2003</t>
  </si>
  <si>
    <t>30.01.2003</t>
  </si>
  <si>
    <t>23.12.2002</t>
  </si>
  <si>
    <t>16.04.2003</t>
  </si>
  <si>
    <t>27.04.2004</t>
  </si>
  <si>
    <t>06.12.2003</t>
  </si>
  <si>
    <t>25.12.1999</t>
  </si>
  <si>
    <t>06.08.2004</t>
  </si>
  <si>
    <t>Воронов Евгений Александрович</t>
  </si>
  <si>
    <t>09.04.2004</t>
  </si>
  <si>
    <t>31.03.2004</t>
  </si>
  <si>
    <t>26.02.2002</t>
  </si>
  <si>
    <t>Место положения</t>
  </si>
  <si>
    <t>г. Гусев (в/ч 38838)</t>
  </si>
  <si>
    <t>Смешанное</t>
  </si>
  <si>
    <t>г. Советск (в/ч 63940)</t>
  </si>
  <si>
    <t>г. Калининград (в/ч 06414)</t>
  </si>
  <si>
    <t>Количество</t>
  </si>
  <si>
    <t>рапорт командира 5 МСР №4331 от 13 ноября 2023 года</t>
  </si>
  <si>
    <t>Фролов Борис Игоревич</t>
  </si>
  <si>
    <t>СУ-122469</t>
  </si>
  <si>
    <t>№197 от 13.11.2023</t>
  </si>
  <si>
    <t>рапорт командира ИСР № 4345 от 13 ноября 2023 года</t>
  </si>
  <si>
    <t>№227 от 15.11.2023</t>
  </si>
  <si>
    <t>Джураев Дмитрий Русланович</t>
  </si>
  <si>
    <t>АВ-201637</t>
  </si>
  <si>
    <t>Андронов Илья Владиславович</t>
  </si>
  <si>
    <t>АВ-201598</t>
  </si>
  <si>
    <t>Новиков Андрей Юрьевич</t>
  </si>
  <si>
    <t>АВ-201595</t>
  </si>
  <si>
    <t>Ральченко Никита Романович</t>
  </si>
  <si>
    <t>АВ-201612</t>
  </si>
  <si>
    <t>Иванов Александр Юрьевич</t>
  </si>
  <si>
    <t>АВ-201638</t>
  </si>
  <si>
    <t>Галанский Роман Алексеевич</t>
  </si>
  <si>
    <t>АВ-201635</t>
  </si>
  <si>
    <t>Сковородко Дмитрий Владимирович</t>
  </si>
  <si>
    <t>АВ-201613</t>
  </si>
  <si>
    <t>Холоманов Даниил Викторович</t>
  </si>
  <si>
    <t>АВ-201647</t>
  </si>
  <si>
    <t>Чевалков Владислав Витальевич</t>
  </si>
  <si>
    <t>АВ-201451</t>
  </si>
  <si>
    <t>Соловьев Антон Олегович</t>
  </si>
  <si>
    <t>АВ-201596</t>
  </si>
  <si>
    <t>9 классов, свидетельство проф. Рабочего</t>
  </si>
  <si>
    <t>ВК Гвардейского и Полесского мун. Округов Калининградской обл.</t>
  </si>
  <si>
    <t>ВК Гвардейского и Полесского МО Калининградской обл.</t>
  </si>
  <si>
    <t>ВК Черняховского и Озерского МО Калининградской обл.</t>
  </si>
  <si>
    <t>ВК Калининградской обл. по Правдинскому ГО</t>
  </si>
  <si>
    <t>ВК Калининградской обл. по Гвардейскому р-ну</t>
  </si>
  <si>
    <t>ВК Калининградской обл. по г.г. Гвардейск, Полесск, Гвардейскому и Полесскому р-нам</t>
  </si>
  <si>
    <t>ВК Калининградской обл. по гг. Черняховск, Озерск, Черняховскому и Озерскому р-нам</t>
  </si>
  <si>
    <t>Рапорт командира РМП №4384 от 15.11.2023</t>
  </si>
  <si>
    <t>№829 от 14.11.2023</t>
  </si>
  <si>
    <t>Розыскан после соч</t>
  </si>
  <si>
    <t>№839 от 15.11.2023</t>
  </si>
  <si>
    <t>ВСО СК России по Солнечногорскому гарнизону</t>
  </si>
  <si>
    <t>180174А</t>
  </si>
  <si>
    <t>№228 от 16.11.2023</t>
  </si>
  <si>
    <t xml:space="preserve">Боталов Никита Павлович </t>
  </si>
  <si>
    <t>Бич Андрей Вечиславович</t>
  </si>
  <si>
    <t>г. Белгород(200)</t>
  </si>
  <si>
    <t>№74 от 08.06.2023</t>
  </si>
  <si>
    <t>№229 от 17.11.2023</t>
  </si>
  <si>
    <t>мл.с-т</t>
  </si>
  <si>
    <t>Телеграмма №6/4/1103/9 от 30.09.2023 года</t>
  </si>
  <si>
    <t>Ахмедов Валихан Исаевич</t>
  </si>
  <si>
    <t>Хидирнабиев Сайид-мустафа Тофикович</t>
  </si>
  <si>
    <t>Абдуллаев Ислам Расулович</t>
  </si>
  <si>
    <t>Агаев Малик Юсупович</t>
  </si>
  <si>
    <t>Абраменков Павел Андреевич</t>
  </si>
  <si>
    <t>Асланбеков Амир Уруджбекович</t>
  </si>
  <si>
    <t>Бузунов Егор Владимирович</t>
  </si>
  <si>
    <t>Васильев Андрей Дмитриевич</t>
  </si>
  <si>
    <t>Довлатбекян Давид Ашотович</t>
  </si>
  <si>
    <t>Дубина Кирилл Сергеевич</t>
  </si>
  <si>
    <t>Журавлев Алексей Александрович</t>
  </si>
  <si>
    <t>Закарьяев Магомед Ахмедович</t>
  </si>
  <si>
    <t>Кутепов Николай Викторович</t>
  </si>
  <si>
    <t>Мударов Джамалдин Валериевич</t>
  </si>
  <si>
    <t>Мусаев Магомед Асхабалиевич</t>
  </si>
  <si>
    <t>Нурмагомедов Раджабали Велимагомедович</t>
  </si>
  <si>
    <t>Ружанский Сергей Евгеньевич</t>
  </si>
  <si>
    <t>Салиев Султан Алимарданович</t>
  </si>
  <si>
    <t>Ткачев Максим Андреевич</t>
  </si>
  <si>
    <t>Усматов Рамазан Вагидович</t>
  </si>
  <si>
    <t>Хрипков Станислав Владиславович</t>
  </si>
  <si>
    <t>Шураев Эдиге Рамазанович</t>
  </si>
  <si>
    <t>Эсенбаев Бакир Батирсултанович</t>
  </si>
  <si>
    <t>Отмена приказа</t>
  </si>
  <si>
    <t>Багандов Муртуз Мурадович</t>
  </si>
  <si>
    <t>АВ-607117</t>
  </si>
  <si>
    <t>ВК г. Калининград, Калининградской обл.</t>
  </si>
  <si>
    <t>АВ-607116</t>
  </si>
  <si>
    <t>ВК Казбековского и Гумбековского мун. Р-ов, респ. Дагестан</t>
  </si>
  <si>
    <t>АВ-607051</t>
  </si>
  <si>
    <t>ВК Ахтынского, Рутульского и Докузпаринского м. р. Ркспублики Дагестан</t>
  </si>
  <si>
    <t>АВ-607112</t>
  </si>
  <si>
    <t>ВК Сулейман-Стальского и Курахского муниципальных районов, Республики Дагестан</t>
  </si>
  <si>
    <t>АВ-605898</t>
  </si>
  <si>
    <t>ВК Сергокалинского и Акушинского МР, респ. Дагестан</t>
  </si>
  <si>
    <t>ВС-607037</t>
  </si>
  <si>
    <t>ВК ГО г. Махачкала Республики Дагестан</t>
  </si>
  <si>
    <t>АВ-607042</t>
  </si>
  <si>
    <t>ВК ГО г. Буйнакск и Буйнакского муниципального р-на, респ. Дагестан</t>
  </si>
  <si>
    <t>АВ-201739</t>
  </si>
  <si>
    <t>ВК г. Калининград, Калиниградской обл.</t>
  </si>
  <si>
    <t>АВ-607107</t>
  </si>
  <si>
    <t>ВК Казбековского и Тумбетовского р-в, Республики Дагестан</t>
  </si>
  <si>
    <t>АВ-201716</t>
  </si>
  <si>
    <t>АВ-607050</t>
  </si>
  <si>
    <t>ВК Респ. Дагестан по г. Дербент, Дагестанские Огни и Дербентскому р-ну</t>
  </si>
  <si>
    <t>АВ-836260</t>
  </si>
  <si>
    <t>ВК городов Белово и Гурьевск, Беловского района Кемеровской области</t>
  </si>
  <si>
    <t>АВ-836329</t>
  </si>
  <si>
    <t>ВК г.Прокопьева и Прокопьевского района Кемеровской области</t>
  </si>
  <si>
    <t>ВК г.Калининград, Калининградской обл.</t>
  </si>
  <si>
    <t>АВ-201721</t>
  </si>
  <si>
    <t>АВ-836269</t>
  </si>
  <si>
    <t>АВ-607062</t>
  </si>
  <si>
    <t>ВК ГО г. Избербаян, Каякентского и Карабудакентского МР респ. Дагестан.</t>
  </si>
  <si>
    <t>ВК Респ. Дагестан по г. Хасавюрт, Хасавюртскому и Новолакскому р-нам</t>
  </si>
  <si>
    <t>АВ-201728</t>
  </si>
  <si>
    <t>АВ-607087</t>
  </si>
  <si>
    <t>АВ-607089</t>
  </si>
  <si>
    <t>ВК г. Кизилюрт, кизилюртовского и Кумторкалинского муниципальных районов Республики Дагестан</t>
  </si>
  <si>
    <t>ВК Респ. Дагестан по Ахтынского и Рутульского р-нам</t>
  </si>
  <si>
    <t>АВ-607094</t>
  </si>
  <si>
    <t>АВ-201736</t>
  </si>
  <si>
    <t>ВК г. Хасавюрт, Хасавюртовского и Новолакского мун. р-ов</t>
  </si>
  <si>
    <t>АВ-607100</t>
  </si>
  <si>
    <t>АВ-898004</t>
  </si>
  <si>
    <t>Пешко Данил Александрович</t>
  </si>
  <si>
    <t>ВК Абанского р-на</t>
  </si>
  <si>
    <t>МТ-933244</t>
  </si>
  <si>
    <t>Правденко Николай Александрович</t>
  </si>
  <si>
    <t>ВК Автозаводского р-на, г.о. г. Н.Новгород</t>
  </si>
  <si>
    <t>АВ-402980</t>
  </si>
  <si>
    <t>Дергачев Юрий Алексеевич</t>
  </si>
  <si>
    <t>АВ-346963</t>
  </si>
  <si>
    <t>Морозов Илья Алексеевич</t>
  </si>
  <si>
    <t>ВК Приокского р-на и Новинсого сельсовета, г. Нижний Новгород Нижегородской обл</t>
  </si>
  <si>
    <t>АВ-402999</t>
  </si>
  <si>
    <t>Мыльников Максим Эдуардович</t>
  </si>
  <si>
    <t>ВК Советского и Центрального р-ов, г. Красноярск</t>
  </si>
  <si>
    <t>АВ-402972</t>
  </si>
  <si>
    <t>ВК Березовского района и города Сосновоборск Красноярского Края</t>
  </si>
  <si>
    <t>ВЕ-196001</t>
  </si>
  <si>
    <t>Могучев Алексей Николаевич</t>
  </si>
  <si>
    <t>ВК г. Усолье-Сибирское и Усольского р-на Иркутской области</t>
  </si>
  <si>
    <t>МТ-933862</t>
  </si>
  <si>
    <t>ВК городского округа, г. Бор, Нижегоросдкой обл.</t>
  </si>
  <si>
    <t>АВ-898002</t>
  </si>
  <si>
    <t xml:space="preserve">Пастухов Роман Сергеевич </t>
  </si>
  <si>
    <t xml:space="preserve">ВК Советкского и Цетрального районов г. Красноярск </t>
  </si>
  <si>
    <t>МТ-933036</t>
  </si>
  <si>
    <t>ВК Городецкого МО и ГО Сокольский, Нижегоросдкой области</t>
  </si>
  <si>
    <t>АВ-898003</t>
  </si>
  <si>
    <t>Перцев Иван Евгеньевич</t>
  </si>
  <si>
    <t>ВК Свердловского р-на г. Красноярск и г. Дивногорск, Красноярского края</t>
  </si>
  <si>
    <t>МТ-933044</t>
  </si>
  <si>
    <t>Лапин Кирилл Евгеьевич</t>
  </si>
  <si>
    <t>АВ-898007</t>
  </si>
  <si>
    <t>Подрез Александр Юрьевич</t>
  </si>
  <si>
    <t>ВК Березовского района и г. Сосновоборск, Красноярского края</t>
  </si>
  <si>
    <t>АВ-402992</t>
  </si>
  <si>
    <t>Кудашов Евгений Александрович</t>
  </si>
  <si>
    <t xml:space="preserve">Основное общее </t>
  </si>
  <si>
    <t>МТ-929610</t>
  </si>
  <si>
    <t>Шабанов Гасан афганович</t>
  </si>
  <si>
    <t>ВК Сормовского и Московского р-ов, г. Нижний Новгород, Нижегородской обл.</t>
  </si>
  <si>
    <t>АВ-605913</t>
  </si>
  <si>
    <t>Сулейманов Гаджимагомед Даниялбегович</t>
  </si>
  <si>
    <t>ВК Левашинского и Гергебельского р-в, респ. Дагестан</t>
  </si>
  <si>
    <t>Бакиров Камиль Елутаевич</t>
  </si>
  <si>
    <t>№199 от 20.11.2023</t>
  </si>
  <si>
    <t>Степанов Максим Владимирович</t>
  </si>
  <si>
    <t>форма № 8</t>
  </si>
  <si>
    <t>СУТОЧНАЯ ВЕДОМОСТЬ</t>
  </si>
  <si>
    <t>в/ч 63940</t>
  </si>
  <si>
    <t>(наименование воинской части)</t>
  </si>
  <si>
    <t>на "___"___________ 2023 г.</t>
  </si>
  <si>
    <t xml:space="preserve">прапорщики </t>
  </si>
  <si>
    <t xml:space="preserve">сержанты, проходящие военную службу </t>
  </si>
  <si>
    <t>солдаты, проходящие военную службу</t>
  </si>
  <si>
    <t>всего военнослужащих</t>
  </si>
  <si>
    <r>
      <t>I</t>
    </r>
    <r>
      <rPr>
        <b/>
        <sz val="8"/>
        <rFont val="Times New Roman"/>
        <family val="1"/>
        <charset val="204"/>
      </rPr>
      <t>.Положено по штату</t>
    </r>
  </si>
  <si>
    <r>
      <t>II</t>
    </r>
    <r>
      <rPr>
        <b/>
        <sz val="8"/>
        <rFont val="Times New Roman"/>
        <family val="1"/>
        <charset val="204"/>
      </rPr>
      <t>. Состоит по списку</t>
    </r>
  </si>
  <si>
    <r>
      <t>III</t>
    </r>
    <r>
      <rPr>
        <b/>
        <sz val="8"/>
        <rFont val="Times New Roman"/>
        <family val="1"/>
        <charset val="204"/>
      </rPr>
      <t xml:space="preserve">. Находится вне воинской части :                  </t>
    </r>
    <r>
      <rPr>
        <sz val="8"/>
        <rFont val="Times New Roman"/>
        <family val="1"/>
        <charset val="204"/>
      </rPr>
      <t>а) в отпуске</t>
    </r>
  </si>
  <si>
    <t>б) больных в госпитале</t>
  </si>
  <si>
    <t>в) в наряде вне воинской части</t>
  </si>
  <si>
    <t>г) в командировке</t>
  </si>
  <si>
    <t>д) полевой выход</t>
  </si>
  <si>
    <t>е) полевой выход вблизи ППД</t>
  </si>
  <si>
    <t>ж) самовольно оставило воинскую часть</t>
  </si>
  <si>
    <t>з)_______________</t>
  </si>
  <si>
    <t>и)_______________</t>
  </si>
  <si>
    <t>Итого вне воинской части</t>
  </si>
  <si>
    <r>
      <t>IV</t>
    </r>
    <r>
      <rPr>
        <b/>
        <sz val="8"/>
        <rFont val="Times New Roman"/>
        <family val="1"/>
        <charset val="204"/>
      </rPr>
      <t>. Состоит на лицо:</t>
    </r>
  </si>
  <si>
    <t>из них:                                                                        а) в строю</t>
  </si>
  <si>
    <t>б) в наряде внутри воинской части</t>
  </si>
  <si>
    <t>в) освобождено от занятий по болезни</t>
  </si>
  <si>
    <t>г) больных в лазарете воинской части</t>
  </si>
  <si>
    <r>
      <t>д)___________________</t>
    </r>
    <r>
      <rPr>
        <u/>
        <sz val="7"/>
        <rFont val="Times New Roman"/>
        <family val="1"/>
        <charset val="204"/>
      </rPr>
      <t xml:space="preserve">               </t>
    </r>
  </si>
  <si>
    <t>е)__________________</t>
  </si>
  <si>
    <r>
      <t>V</t>
    </r>
    <r>
      <rPr>
        <b/>
        <sz val="7"/>
        <rFont val="Times New Roman"/>
        <family val="1"/>
        <charset val="204"/>
      </rPr>
      <t xml:space="preserve">.Кроме того:               </t>
    </r>
    <r>
      <rPr>
        <sz val="7"/>
        <rFont val="Times New Roman"/>
        <family val="1"/>
        <charset val="204"/>
      </rPr>
      <t xml:space="preserve">  а)прикомандированных</t>
    </r>
  </si>
  <si>
    <t>б) прикрепленных на довольствие</t>
  </si>
  <si>
    <t>в) в распоряжении</t>
  </si>
  <si>
    <t>Наименования подразделений</t>
  </si>
  <si>
    <t>(мичманы)</t>
  </si>
  <si>
    <t>Сержанты и солдаты</t>
  </si>
  <si>
    <t>Итого</t>
  </si>
  <si>
    <t>Из них получают котловое довольствие</t>
  </si>
  <si>
    <t>п/к</t>
  </si>
  <si>
    <t>п/п</t>
  </si>
  <si>
    <t>ВО П</t>
  </si>
  <si>
    <t>ИТОГО:</t>
  </si>
  <si>
    <t>Ершово</t>
  </si>
  <si>
    <t>Солдатово</t>
  </si>
  <si>
    <t>Пугачево</t>
  </si>
  <si>
    <t>Армейское</t>
  </si>
  <si>
    <t>Стажировка</t>
  </si>
  <si>
    <t>Прикоманд.</t>
  </si>
  <si>
    <t>VI. Состоит на довольствии по подразделениям</t>
  </si>
  <si>
    <t>VII. Музыкальных воспитанников:  по штату ____ чел.;  по списку____ чел.</t>
  </si>
  <si>
    <t>VIII. Лиц гражданского персонала: по штату ____ чел.;  по списку____ чел.</t>
  </si>
  <si>
    <t>Начальник штаба ___________________________________________________</t>
  </si>
  <si>
    <t xml:space="preserve">                       (воинское звание, подпись, инициал имени, фамилия)</t>
  </si>
  <si>
    <t>М.П.</t>
  </si>
  <si>
    <r>
      <t xml:space="preserve">ИТОГО </t>
    </r>
    <r>
      <rPr>
        <sz val="14"/>
        <color theme="1"/>
        <rFont val="Times New Roman"/>
        <family val="1"/>
        <charset val="204"/>
      </rPr>
      <t>(поля)</t>
    </r>
  </si>
  <si>
    <t>Кленин Никита Витальевич</t>
  </si>
  <si>
    <t>АВ-200010</t>
  </si>
  <si>
    <t>№200 от 21.11.2023</t>
  </si>
  <si>
    <t>282543А</t>
  </si>
  <si>
    <t>Водитель-электрик</t>
  </si>
  <si>
    <t>869557А</t>
  </si>
  <si>
    <t>ВрИО начальника службы РАВ</t>
  </si>
  <si>
    <t>№233 от 22.11.2023</t>
  </si>
  <si>
    <t>СИЗО №2 г. Черняховск</t>
  </si>
  <si>
    <t>Следственные мероприятия (ст. 334 ч. 3)</t>
  </si>
  <si>
    <t>УД №12302002007000102 от 09.11.2023</t>
  </si>
  <si>
    <t>Комплектование ВПД</t>
  </si>
  <si>
    <t>Манакин Андрей Андреевич</t>
  </si>
  <si>
    <t>МТ-570150</t>
  </si>
  <si>
    <t>ефр.</t>
  </si>
  <si>
    <t>Котельников Михаил Олегович</t>
  </si>
  <si>
    <t>Телеграмма ЗГВ № 04 467 от 30 июля 2022 года</t>
  </si>
  <si>
    <t>Иванов Дмитрий Владимирович</t>
  </si>
  <si>
    <t>АВ-201778</t>
  </si>
  <si>
    <t>Калининградской обл. по г. Калининград</t>
  </si>
  <si>
    <t>Шугаев Никита Владимирович</t>
  </si>
  <si>
    <t>АВ-201773</t>
  </si>
  <si>
    <t>Алтайского края по Третьяковскому р-ну</t>
  </si>
  <si>
    <t>Шмаков Алексей Игоревич</t>
  </si>
  <si>
    <t>АВ-201784</t>
  </si>
  <si>
    <t>Лабутин Михаил Алексеевич</t>
  </si>
  <si>
    <t>АВ-201780</t>
  </si>
  <si>
    <t>Бессонов Александр Михайлович</t>
  </si>
  <si>
    <t>АВ-201776</t>
  </si>
  <si>
    <t>Афанасьев Денис Александрович</t>
  </si>
  <si>
    <t>АВ-201775</t>
  </si>
  <si>
    <t>Горьковский Федор Петрович</t>
  </si>
  <si>
    <t>АВ-201777</t>
  </si>
  <si>
    <t>Шевцов Денис Алексеевич</t>
  </si>
  <si>
    <t>ВЕ-153322</t>
  </si>
  <si>
    <t>ВК Об единеногоДамиссиского р-на г. Москвы</t>
  </si>
  <si>
    <t>9 лассов</t>
  </si>
  <si>
    <t>Рапорт начальника сборов РМП №4520 от 23.11.2023</t>
  </si>
  <si>
    <t>№234 от 23.11.2023</t>
  </si>
  <si>
    <t>Долгов Юрий Альбертович</t>
  </si>
  <si>
    <t>РА-113580</t>
  </si>
  <si>
    <t>№201 от 24.11.2023</t>
  </si>
  <si>
    <t>ЕХ-912236</t>
  </si>
  <si>
    <t>Ляхов Роман Викторович</t>
  </si>
  <si>
    <t>МТ-571720</t>
  </si>
  <si>
    <t>Игнатюк Геннадий Владимирович</t>
  </si>
  <si>
    <t>МТ-571880</t>
  </si>
  <si>
    <t>№235 от 24.11.2023</t>
  </si>
  <si>
    <t>направление № 280 от 24 ноября 2023 года</t>
  </si>
  <si>
    <t>отпуск по семейным</t>
  </si>
  <si>
    <t>Рябоконь Екатерина Николаевна</t>
  </si>
  <si>
    <t>заявление работника № 1355 от 20 ноября 2023года</t>
  </si>
  <si>
    <t>отпуск за период с 25 июня 2022 года по 24 июня 2023 года</t>
  </si>
  <si>
    <t>Мамадов Идибек Ярашбоевич</t>
  </si>
  <si>
    <t>УК-608684</t>
  </si>
  <si>
    <t>ВК г. Новый Уренгой  ЯНАО</t>
  </si>
  <si>
    <t>Шелудько Ярослав Викторович</t>
  </si>
  <si>
    <t>УК-608675</t>
  </si>
  <si>
    <t>ВК г. Лабытнанги и Шурышкарского р-на Ямало-Ненецкого АО</t>
  </si>
  <si>
    <t>Аббясов Дамир Рафаэлевич</t>
  </si>
  <si>
    <t>АВ-525919</t>
  </si>
  <si>
    <t>ВК Заволжского р-на, г. Ульяновск, Ульяновской обл.</t>
  </si>
  <si>
    <t>Вэлло Денис Константинович</t>
  </si>
  <si>
    <t>ВК Губкинский Пуровского и Красносельского р-ов ЯМАО</t>
  </si>
  <si>
    <t>УК-608679</t>
  </si>
  <si>
    <t xml:space="preserve">Журавлев Григорий Алексеевич </t>
  </si>
  <si>
    <t>ВК Зеленоградского МО, Пионерского и Светлогорского ГО</t>
  </si>
  <si>
    <t>АВ-201816</t>
  </si>
  <si>
    <t>Жигалов Максим Дмитриевич</t>
  </si>
  <si>
    <t>ВК г. Белово и Гурьевск, Беловского р-на, Кемеровской обл.</t>
  </si>
  <si>
    <t>АВ-836264</t>
  </si>
  <si>
    <t>Шадрин Дмитрий Алексеевич</t>
  </si>
  <si>
    <t>ВК г. Наебрыси и Муравленко Ямало-Ненецкого АО</t>
  </si>
  <si>
    <t>УК-608694</t>
  </si>
  <si>
    <t>Акопян Арман Артурович</t>
  </si>
  <si>
    <t>АВ-201810</t>
  </si>
  <si>
    <t>Пяк Егор Игоревич</t>
  </si>
  <si>
    <t>УК-608690</t>
  </si>
  <si>
    <t>Репях Олег Андреевич</t>
  </si>
  <si>
    <t>АВ-201832</t>
  </si>
  <si>
    <t>Тупиленко Самир Сергеевич</t>
  </si>
  <si>
    <t>АВ-201833</t>
  </si>
  <si>
    <t>Яцук Максим Андреевич</t>
  </si>
  <si>
    <t>АВ-201836</t>
  </si>
  <si>
    <t>Концевич Руслан Рустамович</t>
  </si>
  <si>
    <t>АВ-201820</t>
  </si>
  <si>
    <t>Кудашов Максим Игоревич</t>
  </si>
  <si>
    <t>ВК Засвияжского р-на, г. Ульяновск, Ульяновской обл.</t>
  </si>
  <si>
    <t>ВЕ-149535</t>
  </si>
  <si>
    <t>Бурлуцкий Арсен Леонидович</t>
  </si>
  <si>
    <t>ВЕ-149094</t>
  </si>
  <si>
    <t>Улитин Владимир Сергеевич</t>
  </si>
  <si>
    <t>АВ-201807</t>
  </si>
  <si>
    <t>Окотэтто Юрий Анатольевич</t>
  </si>
  <si>
    <t>ВК Ямальского р-на Ямало-Ненецкого АО</t>
  </si>
  <si>
    <t>УК-608672</t>
  </si>
  <si>
    <t>Осадчий Константин Николаевич</t>
  </si>
  <si>
    <t>ВК г-ов Ноябрьск и Муравиенко Ямало-Ненецкого АО</t>
  </si>
  <si>
    <t>УК-608687</t>
  </si>
  <si>
    <t>Николаев Алексей Алексеевич</t>
  </si>
  <si>
    <t>АВ-201826</t>
  </si>
  <si>
    <t>Варнаев Максим Вячеславович</t>
  </si>
  <si>
    <t>ВЕ-149145</t>
  </si>
  <si>
    <t>ВК г. Димитроград Мелехского и Новолакского р-ов Ульяновской обл.</t>
  </si>
  <si>
    <t>Филимонов Егор Николаевич</t>
  </si>
  <si>
    <t>ВК Гвардейского и Полянского МО Калининградской обл.</t>
  </si>
  <si>
    <t>АВ-201834</t>
  </si>
  <si>
    <t>Рябиков Дмитрий Николаевич</t>
  </si>
  <si>
    <t>СВО(водитель ФСБ)</t>
  </si>
  <si>
    <t>Х-712902</t>
  </si>
  <si>
    <t>№202 от 24.11.2023</t>
  </si>
  <si>
    <t>СВО (КП 18 МСД)</t>
  </si>
  <si>
    <t>г. Белгород (200)</t>
  </si>
  <si>
    <t>не проведен</t>
  </si>
  <si>
    <t>боевое распоряжение № 2027/КП от 09 ноября 2023 года</t>
  </si>
  <si>
    <t>Усиление объектов</t>
  </si>
  <si>
    <t>Смоленкин Илья Олегович</t>
  </si>
  <si>
    <t>Виетрин Даниил Владимирович</t>
  </si>
  <si>
    <t>Грузнев Сергей Николаевич</t>
  </si>
  <si>
    <t>Набиев Шангар Надирович</t>
  </si>
  <si>
    <t>АВ-201135</t>
  </si>
  <si>
    <t>МТ-826536</t>
  </si>
  <si>
    <t>АВ-200861</t>
  </si>
  <si>
    <t>МТ-753672</t>
  </si>
  <si>
    <t>№237 от 28.11.2023</t>
  </si>
  <si>
    <t>АВ-893451</t>
  </si>
  <si>
    <t>АВ-893474</t>
  </si>
  <si>
    <t>АВ-893447</t>
  </si>
  <si>
    <t>АВ-201741</t>
  </si>
  <si>
    <t>№236 от 27.11.2023</t>
  </si>
  <si>
    <t>Иванов Виктор Викторович</t>
  </si>
  <si>
    <t>МТ-571167</t>
  </si>
  <si>
    <t>№203 от 29.11.2023</t>
  </si>
  <si>
    <t>Архипов Андрей Иванович</t>
  </si>
  <si>
    <t>АВ-512698</t>
  </si>
  <si>
    <t>Темиров Илья Витальевич</t>
  </si>
  <si>
    <t>ЕХ-909489</t>
  </si>
  <si>
    <t>РА-202386</t>
  </si>
  <si>
    <t>Колесников Александр Владимирович</t>
  </si>
  <si>
    <t>Ф-522035</t>
  </si>
  <si>
    <t>Ф-553734</t>
  </si>
  <si>
    <t>№879 ОТ 28.11.2023</t>
  </si>
  <si>
    <t>№878 от 28.11.2023</t>
  </si>
  <si>
    <t>№238 от 29.11.2023</t>
  </si>
  <si>
    <t>Фомин Алексей Владимирович</t>
  </si>
  <si>
    <t>СУ-307312</t>
  </si>
  <si>
    <t>№209 от 30.11.2023</t>
  </si>
  <si>
    <t>№239 от 30.11.2023</t>
  </si>
  <si>
    <t>заключение ВВК № 31/2121 от 23 ноября 2023 года</t>
  </si>
  <si>
    <t>г. Светлый Калин. Обл</t>
  </si>
  <si>
    <t>Шамсиев Ренат Икрамович</t>
  </si>
  <si>
    <t>№240 от 01.12.2023</t>
  </si>
  <si>
    <t>Тогачев Валерий Игоревич</t>
  </si>
  <si>
    <t>Хомяков Никита Владимирович</t>
  </si>
  <si>
    <t>Пономаренко Никита Сергеевич</t>
  </si>
  <si>
    <t>Ахметов Денис Радикович</t>
  </si>
  <si>
    <t>Трофимов Кирилл Максимович</t>
  </si>
  <si>
    <t>Ляльков Роман Юрьевич</t>
  </si>
  <si>
    <t>Ширяев Владислав Вячеславович</t>
  </si>
  <si>
    <t>Зайцев Демьян Александрович</t>
  </si>
  <si>
    <t>Урбонас Павел С. Андрю</t>
  </si>
  <si>
    <t>Майоров Владислав Иванович</t>
  </si>
  <si>
    <t>Полукеев Андрей Алексеевич</t>
  </si>
  <si>
    <t>Серебряков Никита Витальевич</t>
  </si>
  <si>
    <t>Бабушкин Данил Александрович</t>
  </si>
  <si>
    <t>Сатеев Александр Николаевич</t>
  </si>
  <si>
    <t>Десятов Николай Юрьевич</t>
  </si>
  <si>
    <t>Камских Александр Дмитриевич</t>
  </si>
  <si>
    <t>Терехов Владимир Анатольевич</t>
  </si>
  <si>
    <t>Фаттахов Максим Ринатович</t>
  </si>
  <si>
    <t>Кузнецов Николай Игоревич</t>
  </si>
  <si>
    <t>Гусев Никита Алексеевич</t>
  </si>
  <si>
    <t>Окотэтто Антон Михайлович</t>
  </si>
  <si>
    <t>Бабушкин Сергей Александрович</t>
  </si>
  <si>
    <t>Федоров Артем Андреевич</t>
  </si>
  <si>
    <t>Кистенев Евгений Александрович</t>
  </si>
  <si>
    <t>Козелецкий Артем Александрович</t>
  </si>
  <si>
    <t>Малышев Григорий Витальевич</t>
  </si>
  <si>
    <t>Садыков Максим Андреевич</t>
  </si>
  <si>
    <t>Садыков Вадим Юрьевич</t>
  </si>
  <si>
    <t>Тетерин Эдуард Юрьевич</t>
  </si>
  <si>
    <t>Косых Евгений Денисович</t>
  </si>
  <si>
    <t>Бычик Захар Борисович</t>
  </si>
  <si>
    <t>Нурбахтин Артур Камилевич</t>
  </si>
  <si>
    <t>Муратов Дамир Зульфатович</t>
  </si>
  <si>
    <t>Куликов Иван Алексеевич</t>
  </si>
  <si>
    <t>Хакимов Никита Алексеевич</t>
  </si>
  <si>
    <t>Афанасьев Николай Романович</t>
  </si>
  <si>
    <t>Зайнуллин Булат Альбертович</t>
  </si>
  <si>
    <t>Аверьянов Олег Дмитриевич</t>
  </si>
  <si>
    <t>Шваб Даниил Евгеньевич</t>
  </si>
  <si>
    <t>Ильтуганов Леонард Викторович</t>
  </si>
  <si>
    <t>Мустафин Алмаз Фанзилевич</t>
  </si>
  <si>
    <t>Хамитов Винер Альбертович</t>
  </si>
  <si>
    <t>Лондо Прокопий Алексеевич</t>
  </si>
  <si>
    <t>Дунец Владимир Юрьевич</t>
  </si>
  <si>
    <t xml:space="preserve">Иксанов Анатолий Игоревич </t>
  </si>
  <si>
    <t>УК-608832</t>
  </si>
  <si>
    <t>МТ-693516</t>
  </si>
  <si>
    <t>АВ-834137</t>
  </si>
  <si>
    <t>АВ-834044</t>
  </si>
  <si>
    <t>АВ-855061</t>
  </si>
  <si>
    <t>АВ-855138</t>
  </si>
  <si>
    <t>ВЕ-173607</t>
  </si>
  <si>
    <t>АВ-855141</t>
  </si>
  <si>
    <t>ВЕ-196050</t>
  </si>
  <si>
    <t>ВЕ-196171</t>
  </si>
  <si>
    <t>АВ-855057</t>
  </si>
  <si>
    <t>УК-801781</t>
  </si>
  <si>
    <t>АВ-855137</t>
  </si>
  <si>
    <t>АВ-855062</t>
  </si>
  <si>
    <t>АВ-855135</t>
  </si>
  <si>
    <t>МТ-697338</t>
  </si>
  <si>
    <t>АВ-855064</t>
  </si>
  <si>
    <t>УК-801771</t>
  </si>
  <si>
    <t>АВ-855074</t>
  </si>
  <si>
    <t>АВ-855054</t>
  </si>
  <si>
    <t>АВ-855063</t>
  </si>
  <si>
    <t>УК-608838</t>
  </si>
  <si>
    <t>АВ-917960</t>
  </si>
  <si>
    <t>УК-801786</t>
  </si>
  <si>
    <t>МТ-697364</t>
  </si>
  <si>
    <t>АВ-855067</t>
  </si>
  <si>
    <t>МТ-693520</t>
  </si>
  <si>
    <t>АВ-855134</t>
  </si>
  <si>
    <t>АВ-855073</t>
  </si>
  <si>
    <t>АВ-548903</t>
  </si>
  <si>
    <t>АВ-834162</t>
  </si>
  <si>
    <t>АВ-855053</t>
  </si>
  <si>
    <t>АВ-855070</t>
  </si>
  <si>
    <t>МТ-622620</t>
  </si>
  <si>
    <t>МТ-622649</t>
  </si>
  <si>
    <t>АВ-885321</t>
  </si>
  <si>
    <t xml:space="preserve">АВ-855140 </t>
  </si>
  <si>
    <t>АВ-855060</t>
  </si>
  <si>
    <t>МТ-622638</t>
  </si>
  <si>
    <t>АВ-885289</t>
  </si>
  <si>
    <t>АВ-885331</t>
  </si>
  <si>
    <t>АВ-885317</t>
  </si>
  <si>
    <t>АВ-885323</t>
  </si>
  <si>
    <t>АВ-885329</t>
  </si>
  <si>
    <t>АВ-855139</t>
  </si>
  <si>
    <t>УК-608841</t>
  </si>
  <si>
    <t>МТ-697906</t>
  </si>
  <si>
    <t>УК-801778</t>
  </si>
  <si>
    <t>ВК Лабытнанги и Шурышкарского р-на Ямало-Ненецкого АО</t>
  </si>
  <si>
    <t>ВК Усть-Кутского МО Иркутской области</t>
  </si>
  <si>
    <t>ВК Ленинского и Свердловского АО г. Иркутск Иркутской области</t>
  </si>
  <si>
    <t>ВК г. Тулун и Тулунского р-на Иркутской обл.</t>
  </si>
  <si>
    <t>ВК Агаповского и Кизильского р-ов Челябинской обл.</t>
  </si>
  <si>
    <t>ВК г. Верхний Уфалей и Нязепятровского р-на, Челябинская обл.</t>
  </si>
  <si>
    <t>ВК г. Ангарск Иркутской обл.</t>
  </si>
  <si>
    <t>ВК г. Аша и Ашинского р-на Челябинской обл.</t>
  </si>
  <si>
    <t>ВК Нижнеилимского р-на Иркутской обл.</t>
  </si>
  <si>
    <t>ВК г. Южноуральск и Пласт, Ювельского р-на Челябинской обл.</t>
  </si>
  <si>
    <t>ВК г. Бодайбо, Бодайбийского и Чуйского р-ов, Иркутской обл.</t>
  </si>
  <si>
    <t>ВК г. Копейск Челябинской обл.</t>
  </si>
  <si>
    <t>ВК г. Сатка, Челябинской обл.</t>
  </si>
  <si>
    <t xml:space="preserve">ВК Жигаловского и Кочирского р-ов </t>
  </si>
  <si>
    <t>ВК г. Чебаркуль Чебаркульского и Уйского р-в Челябинской области</t>
  </si>
  <si>
    <t>ВК Курчатовского и Калининского р-ов г. Челябинск</t>
  </si>
  <si>
    <t>ВК г. Озерск Челябинской обл.</t>
  </si>
  <si>
    <t>ВК г. Надым, Надымского р-на, Ямало-Ненецкого АО</t>
  </si>
  <si>
    <t>ВК г. Можга, Можгин, Алнали, Грахов и Кизнер р-ов, Удмуртской респ</t>
  </si>
  <si>
    <t>ВК г. Усть-Кут и Жиренск, Усть-Кутского и Жиренского р-ов Иркутской области</t>
  </si>
  <si>
    <t>ВК г. Златоуст и Кусинского р-на Челябинской обл.</t>
  </si>
  <si>
    <t>ВК г. Магнитогорск Челябинской обл.</t>
  </si>
  <si>
    <t>ВК Казачинско-Ленского р-на Мркутской обл</t>
  </si>
  <si>
    <t>ВК г. Троицк, Троицкого и Октябрьского р-ов Челябинской области</t>
  </si>
  <si>
    <t>ВК Приволжского и Вахитовского р-ов г. Казани</t>
  </si>
  <si>
    <t xml:space="preserve">ВК Центрального р-на и г. Набережные Челны респ Татарстан </t>
  </si>
  <si>
    <t>ВК г. Ишимбай и Иишимбайского р-на респ. Башкортостан</t>
  </si>
  <si>
    <t>ВК Кусинского р-на Челябинской обл.</t>
  </si>
  <si>
    <t>ВК Высокогорского р-на респ. Татарстан</t>
  </si>
  <si>
    <t>ВК г. Сибай и Хайбуллинского р-на, респ. Башкортостан</t>
  </si>
  <si>
    <t>ВК Миякинского и Стеринбашевского р-ов, респ. Башкортостан</t>
  </si>
  <si>
    <t>ВК Ишимского и Нуримановского р-ов респ. Башкортостан</t>
  </si>
  <si>
    <t>ВК г. Туймазы и Турмазинского р-на Р. Балик</t>
  </si>
  <si>
    <t>ВК г. Копейск, Челябинской обл.</t>
  </si>
  <si>
    <t>ВК г. Губкинский, Пуровского и красносельского р-на, Ямало Ненецкого АО</t>
  </si>
  <si>
    <t>ВК Аларского и Заларинского районов, Иркутской области</t>
  </si>
  <si>
    <t>ВК г. Бодайбо, Бодайбиского р-на, Иркутской обл.</t>
  </si>
  <si>
    <t>Ненец</t>
  </si>
  <si>
    <t>Ширяев Данил Владимирович</t>
  </si>
  <si>
    <t>ВЕ-196646</t>
  </si>
  <si>
    <t>Лютин Денис Александрович</t>
  </si>
  <si>
    <t>АВ-897191</t>
  </si>
  <si>
    <t>Сысков Николай Андреевич</t>
  </si>
  <si>
    <t>АВ-855131</t>
  </si>
  <si>
    <t>АВ-855059</t>
  </si>
  <si>
    <t>Кижапкин Александр Олегович</t>
  </si>
  <si>
    <t>АВ-855065</t>
  </si>
  <si>
    <t>Муртазин Нияз Кайратович</t>
  </si>
  <si>
    <t>Сердюков Василий Вячеславович</t>
  </si>
  <si>
    <t>АВ-855069</t>
  </si>
  <si>
    <t>АВ-855136</t>
  </si>
  <si>
    <t>Булгаков Иван Игоревич</t>
  </si>
  <si>
    <t>АВ-834161</t>
  </si>
  <si>
    <t>Кирилкин Роман Дмитриевич</t>
  </si>
  <si>
    <t>УК-608827</t>
  </si>
  <si>
    <t>МТ-697811</t>
  </si>
  <si>
    <t>Мельников Иван Олегович</t>
  </si>
  <si>
    <t>Дехконов Бахтовар Изатулоевич</t>
  </si>
  <si>
    <t>АВ-459720</t>
  </si>
  <si>
    <t>Худа Кирилл Васильевич</t>
  </si>
  <si>
    <t>АВ-548905</t>
  </si>
  <si>
    <t xml:space="preserve">Яковлев Никита Сергеевич </t>
  </si>
  <si>
    <t>Саитгафаров Айнур Радикович</t>
  </si>
  <si>
    <t>АВ-855075</t>
  </si>
  <si>
    <t>АВ-885301</t>
  </si>
  <si>
    <t>Брянцев Сергей Александрович</t>
  </si>
  <si>
    <t>Шафиков Тимур Ришатович</t>
  </si>
  <si>
    <t>МТ-693280</t>
  </si>
  <si>
    <t>АВ-885330</t>
  </si>
  <si>
    <t>Клочко Дмитрий Романович</t>
  </si>
  <si>
    <t>АВ-855066</t>
  </si>
  <si>
    <t>Хамматов Ильмир Илфарович</t>
  </si>
  <si>
    <t>АВ-885306</t>
  </si>
  <si>
    <t>Комар Антон Вадимович</t>
  </si>
  <si>
    <t>Турусов Андрей Афанасьевич</t>
  </si>
  <si>
    <t>АВ-855068</t>
  </si>
  <si>
    <t>ВЕ-196949</t>
  </si>
  <si>
    <t>Байнов Виталий Вячеславович</t>
  </si>
  <si>
    <t>Кашин Иван Константинович</t>
  </si>
  <si>
    <t>АВ-925402</t>
  </si>
  <si>
    <t>АВ-925422</t>
  </si>
  <si>
    <t>Белослудцев Данил Юрьевич</t>
  </si>
  <si>
    <t>АВ-425406</t>
  </si>
  <si>
    <t>Гусейнов Константин Бадраддин Оглы</t>
  </si>
  <si>
    <t>АВ-577561</t>
  </si>
  <si>
    <t>Оганнисян Давит Мхитарович</t>
  </si>
  <si>
    <t>АВ-201951</t>
  </si>
  <si>
    <t>Кизилов Алексей Вячеславович</t>
  </si>
  <si>
    <t>АВ-925423</t>
  </si>
  <si>
    <t>Сырчин Юрий Николаевич</t>
  </si>
  <si>
    <t>АВ-577551</t>
  </si>
  <si>
    <t>Спицкий Артем Романович</t>
  </si>
  <si>
    <t>АВ-920449</t>
  </si>
  <si>
    <t>Назыров Кирилл Геннадьевич</t>
  </si>
  <si>
    <t>АВ-577579</t>
  </si>
  <si>
    <t xml:space="preserve">Чернышов Виктор Викторович </t>
  </si>
  <si>
    <t>АВ-201915</t>
  </si>
  <si>
    <t>Тачанов Руслан Станиславович</t>
  </si>
  <si>
    <t>ВЕ-173768</t>
  </si>
  <si>
    <t>УК-801783</t>
  </si>
  <si>
    <t>Петров Руслан Олегович</t>
  </si>
  <si>
    <t>АВ-201892</t>
  </si>
  <si>
    <t xml:space="preserve">Елизаров Виталий Николаевич </t>
  </si>
  <si>
    <t>АВ-201896</t>
  </si>
  <si>
    <t>Морозов Никита Юрьевич</t>
  </si>
  <si>
    <t>АВ-201907</t>
  </si>
  <si>
    <t>Кияненко Павел Павлович</t>
  </si>
  <si>
    <t>Морозов Максим Юрьевич</t>
  </si>
  <si>
    <t>АВ-201899</t>
  </si>
  <si>
    <t>АВ-201906</t>
  </si>
  <si>
    <t>ВК г. Каменск-Уральский и Каменского р-на</t>
  </si>
  <si>
    <t>ВК Качканар, Лесной и Н.Турай-Верхотурского уезда</t>
  </si>
  <si>
    <t>ВК Калининского и Центрального АО г. Пермь</t>
  </si>
  <si>
    <t xml:space="preserve">ВК Боханского района </t>
  </si>
  <si>
    <t>АВ-201723</t>
  </si>
  <si>
    <t>ВК г. Невьянск, Кировоград и Невьянского р-на СО</t>
  </si>
  <si>
    <t>ВК Тюменского Нижнетавдинского и Ярковского р-ов</t>
  </si>
  <si>
    <t>ВК г. Нижний Тагил и Пригородного р-на</t>
  </si>
  <si>
    <t>ВК Багратионовского и Правдинского МО, Калининградской обл.</t>
  </si>
  <si>
    <t>ВК г. Братск, Иркутской области</t>
  </si>
  <si>
    <t>ВК г. Калинингра, калиниградской области</t>
  </si>
  <si>
    <t>Сафиуллин Руслан Рамилевич</t>
  </si>
  <si>
    <t>Рудковский Эдуард Анатольевич</t>
  </si>
  <si>
    <t>Хайруллоев Вайдулло Дилмуродович</t>
  </si>
  <si>
    <t xml:space="preserve">Рудометов Никита Евгеньевич </t>
  </si>
  <si>
    <t>Устьянцев Олег Павлович</t>
  </si>
  <si>
    <t>г. Москва</t>
  </si>
  <si>
    <t>телеграмма НОК БФ № 13/24/8262дсп от 28 ноября 2023 года</t>
  </si>
  <si>
    <t>№241 от 04.12.2023</t>
  </si>
  <si>
    <t>рапорт старшины 4 МСР № 4744 от 04 декабря 2023 года</t>
  </si>
  <si>
    <t>№241 от 23.12.2023</t>
  </si>
  <si>
    <t>заявление работника № 1728 от 01 декабря 2023 года</t>
  </si>
  <si>
    <t>отпуск по уходу за ребенком</t>
  </si>
  <si>
    <t>Мугидинов Мурад Гашинович</t>
  </si>
  <si>
    <t>МТ-753669</t>
  </si>
  <si>
    <t>Салибиев Магомед Салманович</t>
  </si>
  <si>
    <t>МТ-753691</t>
  </si>
  <si>
    <t>Рыбакова Тамара Андреевна</t>
  </si>
  <si>
    <t>№95 от 22.05.2023</t>
  </si>
  <si>
    <t>заявление работника № 780 от 21 июля 2023 года</t>
  </si>
  <si>
    <t>№139 от 21.07.2023</t>
  </si>
  <si>
    <t>Лотырев Михаил Анатольевич</t>
  </si>
  <si>
    <t>МТ-571723</t>
  </si>
  <si>
    <t>№213 от 04.12.2023</t>
  </si>
  <si>
    <t>Павлов Владимир Сергеевич</t>
  </si>
  <si>
    <t>МТ-914819</t>
  </si>
  <si>
    <t>№213 от 06.12.2023</t>
  </si>
  <si>
    <t>Федотов Ярослав Владимирович</t>
  </si>
  <si>
    <t>Х-724800</t>
  </si>
  <si>
    <t>Буханцов Алексей Сергеевич</t>
  </si>
  <si>
    <t>№243 от 06.12.2023</t>
  </si>
  <si>
    <t>Финогенов Александр Михайлович</t>
  </si>
  <si>
    <t>Урусов Василий Валерьевич</t>
  </si>
  <si>
    <t>Х-622968</t>
  </si>
  <si>
    <t>Андрианов Владимир Владимирович</t>
  </si>
  <si>
    <t>СУ-128461</t>
  </si>
  <si>
    <t>ВрИО старшины ИСР</t>
  </si>
  <si>
    <t>Бесхлебный Игорь Сергеевич</t>
  </si>
  <si>
    <t>АВ-253129</t>
  </si>
  <si>
    <t>Ползиков Александр Олегович</t>
  </si>
  <si>
    <t>АВ-253131</t>
  </si>
  <si>
    <t>Молочков Михаил Валерьевич</t>
  </si>
  <si>
    <t>МТ-537990</t>
  </si>
  <si>
    <t>Сорокин Александр Николаевич</t>
  </si>
  <si>
    <t>АВ-251118</t>
  </si>
  <si>
    <t>Проскурин Юрий Михайлович</t>
  </si>
  <si>
    <t>АВ-251130</t>
  </si>
  <si>
    <t>Гридин Алексей Николаевич</t>
  </si>
  <si>
    <t>АВ-253160</t>
  </si>
  <si>
    <t>АВ-253171</t>
  </si>
  <si>
    <t>Фарбитный Сергей Викторович</t>
  </si>
  <si>
    <t>АВ-251132</t>
  </si>
  <si>
    <t>Сурин Михаил Павлович</t>
  </si>
  <si>
    <t>АВ-282596</t>
  </si>
  <si>
    <t>боевое распоряжение № 2368/КП от 27 ноября 2023 года</t>
  </si>
  <si>
    <t>№244 от 07.12.2023</t>
  </si>
  <si>
    <t>полигон Барсуковка</t>
  </si>
  <si>
    <t>рапорт военнослужащего № 3402 от 07 октября 2023 года</t>
  </si>
  <si>
    <t>Водитель Ком. Корпуса</t>
  </si>
  <si>
    <t>Куранов Дмитрий Геннадьевич</t>
  </si>
  <si>
    <t>АВ204600</t>
  </si>
  <si>
    <t>№214 от 08.12.2023</t>
  </si>
  <si>
    <t>№245 от 08.12.2023</t>
  </si>
  <si>
    <t>Каранкевич Игорь Владимирович</t>
  </si>
  <si>
    <t>АВ-204599</t>
  </si>
  <si>
    <t>Петров Дмитрий Владимирович</t>
  </si>
  <si>
    <t>АВ-204538</t>
  </si>
  <si>
    <t>Хасбулатов Батирхан Магомедрасулович</t>
  </si>
  <si>
    <t>АВ-606372</t>
  </si>
  <si>
    <t>Наврузов Рамазан Аливердиевич</t>
  </si>
  <si>
    <t>АВ-606460</t>
  </si>
  <si>
    <t>ВК Казбековского и Гулебетовского мун. р-ов РД</t>
  </si>
  <si>
    <t>ВК Магарашкентского р-на РД</t>
  </si>
  <si>
    <t>Шихбалаев Акбар Имрамович</t>
  </si>
  <si>
    <t>АВ-606496</t>
  </si>
  <si>
    <t>Шамилов Саид Шахбанович</t>
  </si>
  <si>
    <t>АВ-606491</t>
  </si>
  <si>
    <t>ВК Шамильского и Тляратинского мун. Р-ов</t>
  </si>
  <si>
    <t>Мусаев Магомед Гаджиевич</t>
  </si>
  <si>
    <t>АВ-606360</t>
  </si>
  <si>
    <t>Алиев Магомед Камилович</t>
  </si>
  <si>
    <t>АВ-606335</t>
  </si>
  <si>
    <t>ВК Кайтагского и Дахиадевского р-ов, Респ. Дагестан</t>
  </si>
  <si>
    <t>Амирханов Болат Махачевич</t>
  </si>
  <si>
    <t>АВ-606394</t>
  </si>
  <si>
    <t>Мамедов Ильям Шарабутдинович</t>
  </si>
  <si>
    <t>Юшаев Тагир Шамилович</t>
  </si>
  <si>
    <t>АВ-606355</t>
  </si>
  <si>
    <t>АВ-606439</t>
  </si>
  <si>
    <t>ВК Табасаранского мун. Р-на, РД</t>
  </si>
  <si>
    <t>ВК ГО г. Кизилюрт, Кизилюртовского и Кумтаркалинского МФ Респ. Дагестан</t>
  </si>
  <si>
    <t>Абдулаев Ахмед Адильсултанович</t>
  </si>
  <si>
    <t xml:space="preserve">ВК г. Кизляр и г. Ю. Сухокумск, Шулярского мун. р-на РД  </t>
  </si>
  <si>
    <t>АВ-606385</t>
  </si>
  <si>
    <t>Гюлметов Руслан Фахрудинович</t>
  </si>
  <si>
    <t>АВ-606411</t>
  </si>
  <si>
    <t>ВК Мазарамкентского р-на РД</t>
  </si>
  <si>
    <t>Магомедмирзаев Албег Асхабалиевич</t>
  </si>
  <si>
    <t>АВ-606351</t>
  </si>
  <si>
    <t>ВК Бабаюртовского мун. р-на, РД</t>
  </si>
  <si>
    <t>Самсаев Эмирхан Эмильевич</t>
  </si>
  <si>
    <t>АВ-606471</t>
  </si>
  <si>
    <t>Гамзаев Нежмутдин Тажбитдинович</t>
  </si>
  <si>
    <t>АВ-606343</t>
  </si>
  <si>
    <t>ВК ГО Дербент и Дол. Огкны, Дербентского мун. Р-на РД</t>
  </si>
  <si>
    <t>Гаджиев Мурад Казанабович</t>
  </si>
  <si>
    <t>АВ-606340</t>
  </si>
  <si>
    <t>Курбанов Гасан Магомедзапирович</t>
  </si>
  <si>
    <t>АВ-606432</t>
  </si>
  <si>
    <t>ВК ГО г. Избербаш, Каякентского и Карабудакентского МР респ. Дагестан.</t>
  </si>
  <si>
    <t>Галимов Заур Росланович</t>
  </si>
  <si>
    <t>АВ-606342</t>
  </si>
  <si>
    <t>Мутуков Бийгиши Сапиюлаевич</t>
  </si>
  <si>
    <t>АВ-606459</t>
  </si>
  <si>
    <t>ВК ГО г. Каспийск Респ. Дагестан</t>
  </si>
  <si>
    <t>Рапорт начальника сборов РМП №4811 от 06.12.2023</t>
  </si>
  <si>
    <t>Буров Дмитрий Витальевич</t>
  </si>
  <si>
    <t>МТ-274373</t>
  </si>
  <si>
    <t>№222 от 09.12.2023</t>
  </si>
  <si>
    <t>Хохлов Виталий Александрович</t>
  </si>
  <si>
    <t>МТ-570697</t>
  </si>
  <si>
    <t>Ожема Максим Витальевич</t>
  </si>
  <si>
    <t>Хайрутдинов Рустам Радикович</t>
  </si>
  <si>
    <t>АВ-256892</t>
  </si>
  <si>
    <t>№214 от 07.12.2023</t>
  </si>
  <si>
    <t>Агарков Алексей Александрович</t>
  </si>
  <si>
    <t>МТ-914720</t>
  </si>
  <si>
    <t>№247 от 12.12.2023</t>
  </si>
  <si>
    <t>телеграмма начальника Калининградского территориального гарнизона № 022 от 10 февраля 2023 года</t>
  </si>
  <si>
    <t>отдел ФСБ в/ч 46443 г. Гусев</t>
  </si>
  <si>
    <t>Герасимов Ярослав Павлович</t>
  </si>
  <si>
    <t>АВ-201543</t>
  </si>
  <si>
    <t>№248 от 13.12.2023</t>
  </si>
  <si>
    <t>№212 от 02.12.2023</t>
  </si>
  <si>
    <t>Алигишиев Алигиши Шамильевич</t>
  </si>
  <si>
    <t>№157 от 16.08.2023</t>
  </si>
  <si>
    <t>рапорт старшины №2113 от 16 августа 2023 года</t>
  </si>
  <si>
    <t>Гавриков Максим Николаевич</t>
  </si>
  <si>
    <t>АВ-378810</t>
  </si>
  <si>
    <t>Чижов Андрей Андреевич</t>
  </si>
  <si>
    <t>ВЕ-348269</t>
  </si>
  <si>
    <t>Шатов Артем Александрович</t>
  </si>
  <si>
    <t>СУ-339634</t>
  </si>
  <si>
    <t>Лачев Дмитрий Александрович</t>
  </si>
  <si>
    <t>ВЕ-358942</t>
  </si>
  <si>
    <t>Фомин Матвей Леонидович</t>
  </si>
  <si>
    <t>ВЕ-351899</t>
  </si>
  <si>
    <t>Ростов Никита Михайлович</t>
  </si>
  <si>
    <t>Ю-994225</t>
  </si>
  <si>
    <t>Бондарь Евгений Александрович</t>
  </si>
  <si>
    <t>РА-097177</t>
  </si>
  <si>
    <t>Смолин Максим Антонович</t>
  </si>
  <si>
    <t>УК-739617</t>
  </si>
  <si>
    <t>Канищев Евгений Алексеевич</t>
  </si>
  <si>
    <t>УК-749575</t>
  </si>
  <si>
    <t>УК-822035</t>
  </si>
  <si>
    <t>Гришин Владислав Владимирович</t>
  </si>
  <si>
    <t>МТ-504189</t>
  </si>
  <si>
    <t>Соколов Александр Александрович</t>
  </si>
  <si>
    <t>МТ-539704</t>
  </si>
  <si>
    <t>Дибиров Амир Ахмедгаджиевич</t>
  </si>
  <si>
    <t>МТ-725720</t>
  </si>
  <si>
    <t>Никитин Вадим Вячеславович</t>
  </si>
  <si>
    <t>ЕХ-923114</t>
  </si>
  <si>
    <t>Дианов Вадим Викторович</t>
  </si>
  <si>
    <t>АБ-013187</t>
  </si>
  <si>
    <t>Бажин Алексей Николаевич</t>
  </si>
  <si>
    <t>МТ-949582</t>
  </si>
  <si>
    <t>Напоров Алексей Сергеевич</t>
  </si>
  <si>
    <t>МТ-949590</t>
  </si>
  <si>
    <t>Коськов Виктор Сергеевич</t>
  </si>
  <si>
    <t>МТ-928161</t>
  </si>
  <si>
    <t>Киселёв Станислав Денисович</t>
  </si>
  <si>
    <t>АБ-013189</t>
  </si>
  <si>
    <t>Мудрецов Илья Дмитриевич</t>
  </si>
  <si>
    <t>Э-408811</t>
  </si>
  <si>
    <t>Каленков Денис Сергеевич</t>
  </si>
  <si>
    <t>АБ-027641</t>
  </si>
  <si>
    <t>Бужин Виктор Александрович</t>
  </si>
  <si>
    <t>АБ-027642</t>
  </si>
  <si>
    <t>Головкин Максим Владимирович</t>
  </si>
  <si>
    <t>АБ-027643</t>
  </si>
  <si>
    <t>Медведев Дмитрий Олегович</t>
  </si>
  <si>
    <t>МТ-914519</t>
  </si>
  <si>
    <t>Смирнов Максим Алексеевич</t>
  </si>
  <si>
    <t>МТ-914551</t>
  </si>
  <si>
    <t>Галактионов Артем Владимирович</t>
  </si>
  <si>
    <t>АБ-013149</t>
  </si>
  <si>
    <t>Александров Алексей Николаевич</t>
  </si>
  <si>
    <t>АВ-958227</t>
  </si>
  <si>
    <t>Шпилин Михаил Александрович</t>
  </si>
  <si>
    <t>АВ-256770</t>
  </si>
  <si>
    <t>Чисандин Алексей Леонидович</t>
  </si>
  <si>
    <t>У-107363</t>
  </si>
  <si>
    <t>Строилов Артур Викторович</t>
  </si>
  <si>
    <t>АВ-282814</t>
  </si>
  <si>
    <t>Сапич Евгений Александрович</t>
  </si>
  <si>
    <t>АВ-253928</t>
  </si>
  <si>
    <t>Киселев Николай Константинович</t>
  </si>
  <si>
    <t>МТ-928225</t>
  </si>
  <si>
    <t>Гурусин Андрей Андреевич</t>
  </si>
  <si>
    <t>АВ-257444</t>
  </si>
  <si>
    <t>Захаров Олег Александрович</t>
  </si>
  <si>
    <t>Ю-001871</t>
  </si>
  <si>
    <t>Колычихин Алексей Сергеевич</t>
  </si>
  <si>
    <t>АБ-027455</t>
  </si>
  <si>
    <t>Магеррамов Сергей Олегович</t>
  </si>
  <si>
    <t>АВ-958351</t>
  </si>
  <si>
    <t>Васичкин Иван Николаевич</t>
  </si>
  <si>
    <t>АВ-958353</t>
  </si>
  <si>
    <t>Клюев Алексей Александрович</t>
  </si>
  <si>
    <t>МТ-914698</t>
  </si>
  <si>
    <t>Печерский Владислав Витальевич</t>
  </si>
  <si>
    <t>МТ-914701</t>
  </si>
  <si>
    <t>Плаксин Борис Андреевич</t>
  </si>
  <si>
    <t>МТ-914702</t>
  </si>
  <si>
    <t>Ажбеков Алексей Валерьевич</t>
  </si>
  <si>
    <t>МТ-902515</t>
  </si>
  <si>
    <t>Федоров Анатолий Павлович</t>
  </si>
  <si>
    <t>МТ-902564</t>
  </si>
  <si>
    <t>Костромин Евгений Николаевич</t>
  </si>
  <si>
    <t>АВ-251710</t>
  </si>
  <si>
    <t>Кочемазов Владимир Владимирович</t>
  </si>
  <si>
    <t>МТ-905361</t>
  </si>
  <si>
    <t>Андреев Андрей Юрьевич</t>
  </si>
  <si>
    <t>МТ-908229</t>
  </si>
  <si>
    <t>Левченко Сергей Сергеевич</t>
  </si>
  <si>
    <t>МТ-928242</t>
  </si>
  <si>
    <t>Широков Евгений Павлович</t>
  </si>
  <si>
    <t>АБ-013012</t>
  </si>
  <si>
    <t>Титов Михаил Станиславович</t>
  </si>
  <si>
    <t>МТ-908353</t>
  </si>
  <si>
    <t>Петруненко Иван Иванович</t>
  </si>
  <si>
    <t>Ю-001017</t>
  </si>
  <si>
    <t>Головесов Александр Олегович</t>
  </si>
  <si>
    <t>АВ-256541</t>
  </si>
  <si>
    <t>Першин Алексей Алексеевич</t>
  </si>
  <si>
    <t>АВ-256540</t>
  </si>
  <si>
    <t>Карташов Сергей Владимирович</t>
  </si>
  <si>
    <t>АБ-027454</t>
  </si>
  <si>
    <t>Камнев Александр Владимирович</t>
  </si>
  <si>
    <t>МТ-914718</t>
  </si>
  <si>
    <t>Ивашкин Юрий Игоревич</t>
  </si>
  <si>
    <t>МТ-914722</t>
  </si>
  <si>
    <t>Гулый Валерий Владимирович</t>
  </si>
  <si>
    <t>МТ-914724</t>
  </si>
  <si>
    <t>Майстрика Василий Владимирович</t>
  </si>
  <si>
    <t>МТ-914728</t>
  </si>
  <si>
    <t>Тимощук Игорь Константинович</t>
  </si>
  <si>
    <t>МТ-914729</t>
  </si>
  <si>
    <t>Булычев Олег Андреевич</t>
  </si>
  <si>
    <t>МТ-914735</t>
  </si>
  <si>
    <t>Фадеев Анатолий Николаевич</t>
  </si>
  <si>
    <t>МТ-928258</t>
  </si>
  <si>
    <t>Пупаев Максим Владимирович</t>
  </si>
  <si>
    <t>МТ-928259</t>
  </si>
  <si>
    <t>Красильников Юрий Викторович</t>
  </si>
  <si>
    <t>МТ-931064</t>
  </si>
  <si>
    <t>Рочев Николай Валериевич</t>
  </si>
  <si>
    <t>МТ-914748</t>
  </si>
  <si>
    <t>Дозорцев Александр Александрович</t>
  </si>
  <si>
    <t>МТ-914750</t>
  </si>
  <si>
    <t>Колченко Евгений Александрович</t>
  </si>
  <si>
    <t>МТ-914753</t>
  </si>
  <si>
    <t>Севастьянов Владимир Владиславович</t>
  </si>
  <si>
    <t>МТ-914755</t>
  </si>
  <si>
    <t>Остальцев Григорий Владимирович</t>
  </si>
  <si>
    <t>Ю-703749</t>
  </si>
  <si>
    <t>Никитин Игорь Николаевич</t>
  </si>
  <si>
    <t>МТ-914758</t>
  </si>
  <si>
    <t>Зыбин Никита Владимирович</t>
  </si>
  <si>
    <t>Ю-280440</t>
  </si>
  <si>
    <t>Миронов Алексей Алексеевич</t>
  </si>
  <si>
    <t>МТ-914767</t>
  </si>
  <si>
    <t>Поляков Максим Владимирович</t>
  </si>
  <si>
    <t>АВ-251720</t>
  </si>
  <si>
    <t>Исаков Алексей Владимирович</t>
  </si>
  <si>
    <t>АВ-251732</t>
  </si>
  <si>
    <t>Андреев Андрей Владимирович</t>
  </si>
  <si>
    <t>МТ-928233</t>
  </si>
  <si>
    <t>Завалин Виталий Александрович</t>
  </si>
  <si>
    <t>МТ-928262</t>
  </si>
  <si>
    <t>Смирнов Николай Васильевич</t>
  </si>
  <si>
    <t>АБ-013032</t>
  </si>
  <si>
    <t>Старковский Роман Витальевич</t>
  </si>
  <si>
    <t>МТ-927483</t>
  </si>
  <si>
    <t>Кузняк Евгений Викторович</t>
  </si>
  <si>
    <t>АВ-256542</t>
  </si>
  <si>
    <t>Афанасьев Владислав Владимирович</t>
  </si>
  <si>
    <t>АВ-255183</t>
  </si>
  <si>
    <t>Чуйкин Илья Андреевич</t>
  </si>
  <si>
    <t>АВ-255139</t>
  </si>
  <si>
    <t>Шанин Василий Васильевич</t>
  </si>
  <si>
    <t>МТ-928264</t>
  </si>
  <si>
    <t>Воронов Евгений Анатольевич</t>
  </si>
  <si>
    <t>МТ-928265</t>
  </si>
  <si>
    <t>Дубовка Антон Романович</t>
  </si>
  <si>
    <t>АВ-958355</t>
  </si>
  <si>
    <t>Сургин Павел Олегович</t>
  </si>
  <si>
    <t>СУ-369066</t>
  </si>
  <si>
    <t>Дмитриев Павел Викторович</t>
  </si>
  <si>
    <t>МТ-928215</t>
  </si>
  <si>
    <t>Трофимов Станислав Валерьевич</t>
  </si>
  <si>
    <t>МТ-928269</t>
  </si>
  <si>
    <t>Спатарь Евгений Михайлович</t>
  </si>
  <si>
    <t>Ю-719516</t>
  </si>
  <si>
    <t>МТ-928271</t>
  </si>
  <si>
    <t>Князев Александр Сергеевич</t>
  </si>
  <si>
    <t>МТ-928270</t>
  </si>
  <si>
    <t>Хомяков Сергей Леонидович</t>
  </si>
  <si>
    <t>АБ-013137</t>
  </si>
  <si>
    <t>Лягушкин Андрей Викторович</t>
  </si>
  <si>
    <t>Э-945170</t>
  </si>
  <si>
    <t>Антипов Олег Владимирович</t>
  </si>
  <si>
    <t>АВ-251744</t>
  </si>
  <si>
    <t>Зайцев Алексей Артёмович</t>
  </si>
  <si>
    <t>АВ-253951</t>
  </si>
  <si>
    <t>Велюханов Руслан Владимирович</t>
  </si>
  <si>
    <t>АВ-282874</t>
  </si>
  <si>
    <t>Аносов Игорь Васильевич</t>
  </si>
  <si>
    <t>АВ-282870</t>
  </si>
  <si>
    <t>Положенцев Сергей Викторович</t>
  </si>
  <si>
    <t>АВ-282871</t>
  </si>
  <si>
    <t>Чистяков Сергей Сергеевич</t>
  </si>
  <si>
    <t>АВ-282868</t>
  </si>
  <si>
    <t>Жидовкин Евгений Николаевич</t>
  </si>
  <si>
    <t>АВ-251753</t>
  </si>
  <si>
    <t>Потапов Виталий Валентинович</t>
  </si>
  <si>
    <t>АВ-251758</t>
  </si>
  <si>
    <t>Шевченко Андрей Александрович</t>
  </si>
  <si>
    <t>АВ-251759</t>
  </si>
  <si>
    <t>г. Балтийск</t>
  </si>
  <si>
    <t>№248 от 14.12.2023</t>
  </si>
  <si>
    <t>рапорт старшины 4 МСР 2 МСБ № 4965 от 13 декабря 2023 года</t>
  </si>
  <si>
    <t>ВрИО нач. прод.</t>
  </si>
  <si>
    <t>№945 от 13.12.2023</t>
  </si>
  <si>
    <t>№946 от 13.12.2023</t>
  </si>
  <si>
    <t>МТ-913847</t>
  </si>
  <si>
    <t>№231 от 14.12.2023</t>
  </si>
  <si>
    <t>Шаркова Анастасия Николаевна</t>
  </si>
  <si>
    <t>МТ-913839</t>
  </si>
  <si>
    <t>боевое распоряжение № 2482/КП от 09 ноября 2023 года</t>
  </si>
  <si>
    <t>№250 от 15.12.2023</t>
  </si>
  <si>
    <t xml:space="preserve">г. Белгород </t>
  </si>
  <si>
    <t>боевое распоряжение № 2610/КП от 13 декабря 2023 года</t>
  </si>
  <si>
    <t>рапорт старшины 4 МСР № 5033 от 16 декабря 2023 года</t>
  </si>
  <si>
    <t>№230 от 14.12.2023</t>
  </si>
  <si>
    <t>телеграмма ЗГВ № 04 467 от 30 июля 2022 года</t>
  </si>
  <si>
    <t>№225 от 11.12.2023</t>
  </si>
  <si>
    <t>Ярцев Алексей Сергеевич</t>
  </si>
  <si>
    <t>АВ-257002</t>
  </si>
  <si>
    <t>Мишаев Вячеслав Викторович</t>
  </si>
  <si>
    <t>ЕХ-640273</t>
  </si>
  <si>
    <t>Черняев Кирилл Михайлович</t>
  </si>
  <si>
    <t>РА-153897</t>
  </si>
  <si>
    <t>Соловьев Константин Дмитриевич</t>
  </si>
  <si>
    <t>УК-707785</t>
  </si>
  <si>
    <t>Старший механик-водитель(ЗРБ)</t>
  </si>
  <si>
    <t>ВрИО ЗНШ</t>
  </si>
  <si>
    <t>Жидков Дмитрий Анатольевич</t>
  </si>
  <si>
    <t>МТ-571416</t>
  </si>
  <si>
    <t>№234 от 20.12.2023</t>
  </si>
  <si>
    <t xml:space="preserve">Санников Андрей Александрович </t>
  </si>
  <si>
    <t>№246 от 17.12.2023</t>
  </si>
  <si>
    <t>ЕХ-912180</t>
  </si>
  <si>
    <t>Зелинский Петр Владимирович</t>
  </si>
  <si>
    <t>МТ-726594</t>
  </si>
  <si>
    <t>Габбасов Рамиль Габдулхаевич</t>
  </si>
  <si>
    <t>Т-058096</t>
  </si>
  <si>
    <t>№236 от 22.12.2023</t>
  </si>
  <si>
    <t>Жбучкина Ангелина Васильевна</t>
  </si>
  <si>
    <t>№255 от 22.12.2023</t>
  </si>
  <si>
    <t>Начальник КТП</t>
  </si>
  <si>
    <t>Командир отделения (ГРВ МСР)</t>
  </si>
  <si>
    <t>Жданов Игорь Андреевич</t>
  </si>
  <si>
    <t xml:space="preserve">    82 мм 2Б9 "Василёк"</t>
  </si>
  <si>
    <t>Командир взвода(ШТР)</t>
  </si>
  <si>
    <t>Основной отпуск за 2023 год</t>
  </si>
  <si>
    <t>№256 от 25.12.2023</t>
  </si>
  <si>
    <t>Урал-4320-31</t>
  </si>
  <si>
    <t>БТР-80</t>
  </si>
  <si>
    <t>БРЭМ-Л</t>
  </si>
  <si>
    <t>Урал-5557-31</t>
  </si>
  <si>
    <t>Урал-5557</t>
  </si>
  <si>
    <t>КПБМ-150</t>
  </si>
  <si>
    <t>Урал-53236</t>
  </si>
  <si>
    <t>УАЗ-3962</t>
  </si>
  <si>
    <t>Дивизия</t>
  </si>
  <si>
    <t>ВПУ 9П163</t>
  </si>
  <si>
    <t>ГМЗ-3</t>
  </si>
  <si>
    <t>БАТ-2</t>
  </si>
  <si>
    <t>МДК-3</t>
  </si>
  <si>
    <t>Урал43206</t>
  </si>
  <si>
    <t>КаМАЗ 535011</t>
  </si>
  <si>
    <t>Краз-260</t>
  </si>
  <si>
    <t>КАМАЗ-6350</t>
  </si>
  <si>
    <t>Урал-43203</t>
  </si>
  <si>
    <t>КАМАЗ-5351</t>
  </si>
  <si>
    <t>КАМАЗ-4350</t>
  </si>
  <si>
    <t>УАЗ-3163-103-61</t>
  </si>
  <si>
    <t>ЗиЛ-131</t>
  </si>
  <si>
    <t>БРЭМ-1(Т-72)</t>
  </si>
  <si>
    <t>Урал-43203-31</t>
  </si>
  <si>
    <t>КАМАЗ-43114</t>
  </si>
  <si>
    <t>9В871-6</t>
  </si>
  <si>
    <t>ГАЗ-66</t>
  </si>
  <si>
    <t>Армейский мотовездеход АС-1</t>
  </si>
  <si>
    <t>2С1(МТ-ЛБУ)</t>
  </si>
  <si>
    <t>АС-4350.1</t>
  </si>
  <si>
    <t>ВрИО ЗКП по вооружению</t>
  </si>
  <si>
    <t>ВрИО Нач. прод. Склада</t>
  </si>
  <si>
    <t>БТР-60</t>
  </si>
  <si>
    <t>КамАЗ-6350</t>
  </si>
  <si>
    <t>КРАЗ-260</t>
  </si>
  <si>
    <t>рапорт командира 5 МСР 2 МСБ № 5279 от 26 декабря 2023 года</t>
  </si>
  <si>
    <t>№257 от 26.12.2023</t>
  </si>
  <si>
    <t>телеграмма ВрИО НШ в/ч 90151 № 5/729дсп от 25 декабря 2023 года</t>
  </si>
  <si>
    <t>отдел ФСБ войсковой части 46443 города Гусев</t>
  </si>
  <si>
    <t xml:space="preserve">Игнатов Данила Алексеевич </t>
  </si>
  <si>
    <t>АВ-200357</t>
  </si>
  <si>
    <t>Джангоян Эдмонд Торунович</t>
  </si>
  <si>
    <t>№258 от 27.12.2023</t>
  </si>
  <si>
    <t>в/ч 42155 поселка Великолукжское</t>
  </si>
  <si>
    <t>№ 258 от 27.12.2023</t>
  </si>
  <si>
    <t>приказ ВрИО командира 3 МСБ № 5313 от 27 декабря 2023 года</t>
  </si>
  <si>
    <t>Букин Сергей Владимирович</t>
  </si>
  <si>
    <t>У-771350</t>
  </si>
  <si>
    <t>боевое распоряжение № 345/КП от 26 декабря 2023 года</t>
  </si>
  <si>
    <t>заключение ВВК № 8/350 от 25 декабря 2023 года</t>
  </si>
  <si>
    <t>Суктар Начын Даш-Оолович</t>
  </si>
  <si>
    <t>№259 от 28.12.2023</t>
  </si>
  <si>
    <t>№94 от 28.06.2022</t>
  </si>
  <si>
    <t>№115 от 10.06.2023</t>
  </si>
  <si>
    <t>Башкис Владислав Римантович</t>
  </si>
  <si>
    <t>АВ-201508</t>
  </si>
  <si>
    <t>№259 28.12.2023</t>
  </si>
  <si>
    <t>№143 от 04.09.2023</t>
  </si>
  <si>
    <t>№91 от 16.05.2023</t>
  </si>
  <si>
    <t>кодограмма НШ группировки войск «ЗАПАД» №12/ВПУ/957Ш от 22 июня 2023 года.</t>
  </si>
  <si>
    <t>кодограмма НШ группировки войск «ЗАПАД» №12/ВПУ/957Ш от 22 июня 2023 года</t>
  </si>
  <si>
    <t>Упоров Юрий Евгеньевич</t>
  </si>
  <si>
    <t>Попов Александр Владимирович</t>
  </si>
  <si>
    <t>направление №931 от 08 июля 2023 года.</t>
  </si>
  <si>
    <t>№240 от 01.01.2023</t>
  </si>
  <si>
    <t>рапорт начальника сборов РМП № 4731 от 02 декабря 2023 года</t>
  </si>
  <si>
    <t>№260 от 29.12.2023</t>
  </si>
  <si>
    <t>госпиталь ФГБУ «1409 ВМКГ» МО РФ города Калининград</t>
  </si>
  <si>
    <t>МТ-717088</t>
  </si>
  <si>
    <t>УК-934553</t>
  </si>
  <si>
    <t>УК-917916</t>
  </si>
  <si>
    <t>Мещеряков Дмитрий Сергеевич</t>
  </si>
  <si>
    <t>РА-115501</t>
  </si>
  <si>
    <t>Водитель ВО 3 МСБ</t>
  </si>
  <si>
    <t>ЗШ 3 МСБ</t>
  </si>
  <si>
    <t>ф</t>
  </si>
  <si>
    <t>рапорт военнослужащего № 5382 от 31 декабря 2023 года</t>
  </si>
  <si>
    <t>г. Иваново</t>
  </si>
  <si>
    <t>рапорт военнослужащего № 5373 от 30 декабря 2023 года</t>
  </si>
  <si>
    <t>рапорт военнослужащего № 5 от 02 января 2024 года</t>
  </si>
  <si>
    <t>указание НШ ОГВ(С) № 23/82Ш от 02 января 2024 года</t>
  </si>
  <si>
    <t>Отпуск по семейным</t>
  </si>
  <si>
    <t>рапорт военнослужащего № 6 от 02 января 2024 года</t>
  </si>
  <si>
    <t>боевое распоряжение № 3/ЗКП от 06 января 2024 года</t>
  </si>
  <si>
    <t>в/ч 24390 хутора Чкалова</t>
  </si>
  <si>
    <t>Переобучение</t>
  </si>
  <si>
    <t>кодограмма № 51/КП от 05 января 2024 года</t>
  </si>
  <si>
    <t>№260 от 29.12.2024</t>
  </si>
  <si>
    <t>в/ч 54006</t>
  </si>
  <si>
    <t>указание НШ 11 АК № 13/КП от 04 января 2024 года</t>
  </si>
  <si>
    <t>Шевелев Максим Павлович</t>
  </si>
  <si>
    <t>УК-708609</t>
  </si>
  <si>
    <t>№1 от 03.01.2024</t>
  </si>
  <si>
    <t>№1 от 09.01.2024</t>
  </si>
  <si>
    <t>телеграмма № 4/1/1782/39 от 27 декабря 2023 года</t>
  </si>
  <si>
    <t>боевое распоряжение № 348/КП от 29 декабря 2023 года</t>
  </si>
  <si>
    <t>Заключение ВВК №231 от 29 декабря 2023 года</t>
  </si>
  <si>
    <t>Командир отделения (ГРВ ШТУ)</t>
  </si>
  <si>
    <t xml:space="preserve">Номер расчёта </t>
  </si>
  <si>
    <t>ЗШ ШТУ</t>
  </si>
  <si>
    <t>Горюнов Андрей Александрович</t>
  </si>
  <si>
    <t>ЕХ-967661</t>
  </si>
  <si>
    <t>Грязнов Дмитрий Владимирович</t>
  </si>
  <si>
    <t>ЕХ-602279</t>
  </si>
  <si>
    <t>Ремонтное отделение(аккумуляторов для прицелов и артиллерийских приборов)</t>
  </si>
  <si>
    <t>Дугин Алексей Владимирович</t>
  </si>
  <si>
    <t>МТ-264731</t>
  </si>
  <si>
    <t>Радаев Максим Николаевич</t>
  </si>
  <si>
    <t>Командир взвода (МСБ)</t>
  </si>
  <si>
    <t>мл. л-т.</t>
  </si>
  <si>
    <t>Крупенин Константин Николаевич</t>
  </si>
  <si>
    <t>№231 от 15.12.2023</t>
  </si>
  <si>
    <t>СУ-126899</t>
  </si>
  <si>
    <t>Лановенко Роман Ильич</t>
  </si>
  <si>
    <t>МТ-299592</t>
  </si>
  <si>
    <t>Мачкасов Максим Александрович</t>
  </si>
  <si>
    <t>ВЕ‑266418</t>
  </si>
  <si>
    <t>Панов Антон Михайлович</t>
  </si>
  <si>
    <t>Х-761969</t>
  </si>
  <si>
    <t>№193 от 07.12.2023</t>
  </si>
  <si>
    <t>Савнора Дмитрий Владимирович</t>
  </si>
  <si>
    <t>Щеглов Олег Леонидович</t>
  </si>
  <si>
    <t>МТ-824939</t>
  </si>
  <si>
    <t>Егоров Денис Алексеевич</t>
  </si>
  <si>
    <t>УК-708749</t>
  </si>
  <si>
    <t>Номер расчёта (МСБ)</t>
  </si>
  <si>
    <t>№2 от 10.01.2023</t>
  </si>
  <si>
    <t>№2 от 10.01.2024</t>
  </si>
  <si>
    <t>рапорт старшины 4 МСР № 115 от 10 января 2024 года</t>
  </si>
  <si>
    <t>Капитан</t>
  </si>
  <si>
    <t>И. Тихонов</t>
  </si>
  <si>
    <t>Респ. Карелия</t>
  </si>
  <si>
    <t>№950 от 14.12.2023</t>
  </si>
  <si>
    <t>№973 от 21.12.2023</t>
  </si>
  <si>
    <t>№978 от 21.12.2023</t>
  </si>
  <si>
    <t>№988 от 25.12.2023</t>
  </si>
  <si>
    <t>№989 от 25.12.2023</t>
  </si>
  <si>
    <t>№1002 от 28.12.2023</t>
  </si>
  <si>
    <t>№1007 от 29.12.2023</t>
  </si>
  <si>
    <t>№1014 от 30.12.2023</t>
  </si>
  <si>
    <t>№11 от 10.01.2024</t>
  </si>
  <si>
    <t>№14 от 10.01.2024</t>
  </si>
  <si>
    <t>Обучение</t>
  </si>
  <si>
    <t>№3 от 11.01.2024</t>
  </si>
  <si>
    <t xml:space="preserve">госпиталь ФГБУ «1409 ВМКГ» МО РФ города Калининград </t>
  </si>
  <si>
    <t>№4 от 12.01.2024</t>
  </si>
  <si>
    <t>боевое распоряжение № 982 от 11 января 2024 года</t>
  </si>
  <si>
    <t>боевое распоряжение № 12/ВПУ/320Ш от 06 января 2024 года</t>
  </si>
  <si>
    <t>г. Воронеж</t>
  </si>
  <si>
    <t>Мензат Александр Сергеевич</t>
  </si>
  <si>
    <t>У-991110</t>
  </si>
  <si>
    <t>ЗШ 1 МСБ</t>
  </si>
  <si>
    <t>№4 от 11.01.2024</t>
  </si>
  <si>
    <t>телеграмма ВрИО НШ в/ч 90151 № 5/739дсп от 28 декабря 2023 года</t>
  </si>
  <si>
    <t>С</t>
  </si>
  <si>
    <t>С;В</t>
  </si>
  <si>
    <t>С;М</t>
  </si>
  <si>
    <t>В;С</t>
  </si>
  <si>
    <t>В;С;М</t>
  </si>
  <si>
    <t>С;D;F</t>
  </si>
  <si>
    <t>Желудков Игорь Олегович</t>
  </si>
  <si>
    <t>УК-707204</t>
  </si>
  <si>
    <t>№ 260 от 29.12.2023</t>
  </si>
  <si>
    <t>Обучение мл. офицеров</t>
  </si>
  <si>
    <t>№6 от 15.01.2024</t>
  </si>
  <si>
    <t>рапорт старшины 4 МСР 2 МСБ № 277 от 15 января 2024 года</t>
  </si>
  <si>
    <t>Полигон "Барсуковка"</t>
  </si>
  <si>
    <t>№24 от 13.01.2024</t>
  </si>
  <si>
    <t>СОЧ с СВО</t>
  </si>
  <si>
    <t>№27 от 13.01.2024</t>
  </si>
  <si>
    <t>№26 от 13.01.2024</t>
  </si>
  <si>
    <t>№28 от 13.01.2024</t>
  </si>
  <si>
    <t>№29 от 13.01.2024</t>
  </si>
  <si>
    <t>Комендатура г. Калининград от 11.01.2024</t>
  </si>
  <si>
    <t>ГРУППА ПСИХОЛОГИЧЕСКОЙ РАБОТЫ</t>
  </si>
  <si>
    <t>№7 от 16.01.2024</t>
  </si>
  <si>
    <t>рапорт военнослужащего № 296 от 16 января 2024 года</t>
  </si>
  <si>
    <t>№42 от 17.01.2024</t>
  </si>
  <si>
    <t>Проведение внеплановой инвентаризации стрелкового оружия</t>
  </si>
  <si>
    <t xml:space="preserve">Приказ командира в/ч90151 №20/дсп </t>
  </si>
  <si>
    <t>в/ч90151</t>
  </si>
  <si>
    <t>указание командующего группировки войск «Запад» №12/ВПУ/8883Ш от 09 июня 2023 года, рапорт НОК №2953 от 19 сентября 2023 года</t>
  </si>
  <si>
    <t>Военная комендатура г. Ковров</t>
  </si>
  <si>
    <t>№9 от 12.01.2024</t>
  </si>
  <si>
    <t>№9 от 18.01.2024</t>
  </si>
  <si>
    <t>рапорт командира 6 МСР 2 МСБ № 410 от 18 января 2024 года</t>
  </si>
  <si>
    <t>рапорт старшины 6 МСР 2 МСБ № 390 от 18 января 2024 года</t>
  </si>
  <si>
    <t>6 МСР 2 МСБ № 401 от 18 января 2024 года</t>
  </si>
  <si>
    <t>рапорт командира 3 МСБ № 417 от 18 января 2024 года</t>
  </si>
  <si>
    <t>в/ч 11046 п. Пакино Владимирская обл.(345 МСП)</t>
  </si>
  <si>
    <t>Место убытия</t>
  </si>
  <si>
    <t>№10 от 19.01.2024</t>
  </si>
  <si>
    <t>справка № 988 от 19 января 2024 года</t>
  </si>
  <si>
    <t>г. Светлогорск</t>
  </si>
  <si>
    <t>направление ВВК № 22/276 от 16 января 2024 года</t>
  </si>
  <si>
    <t>рапорт военнослужащего № 117 от 10 января 2024 года</t>
  </si>
  <si>
    <t>рапорт военнослужащего № 288 от 15 января 2024 года</t>
  </si>
  <si>
    <t>рапорт военнослужащего № 290 от 15 января 2024 года</t>
  </si>
  <si>
    <t>г. Калуга</t>
  </si>
  <si>
    <t>рапорт военнослужащего № 289 от 15 января 2024 года</t>
  </si>
  <si>
    <t>боевое распоряжение командира 11 АК № 17/ЛС от 15 января 2024 года</t>
  </si>
  <si>
    <t>№60 от 19.01.2024</t>
  </si>
  <si>
    <t>№59 от 19.01.2024</t>
  </si>
  <si>
    <t>№65 от 19.01.2024</t>
  </si>
  <si>
    <t>СОЧ с Белгорода</t>
  </si>
  <si>
    <t>№66 от 19.01.2024</t>
  </si>
  <si>
    <t>№64 от 19.01.2024</t>
  </si>
  <si>
    <t>№167 от 14.12.2022</t>
  </si>
  <si>
    <t>№68 19.01.2024</t>
  </si>
  <si>
    <t>№69 от 19.01.2024</t>
  </si>
  <si>
    <t>Цветков Максим Сергеевич</t>
  </si>
  <si>
    <t>ВЕ-312252</t>
  </si>
  <si>
    <t>№70 от 19.01.2024</t>
  </si>
  <si>
    <t>Говердовский Алексей Анатольевич</t>
  </si>
  <si>
    <t>Х-157538</t>
  </si>
  <si>
    <t>Каверин Павел Олегович</t>
  </si>
  <si>
    <t>Х‑723926</t>
  </si>
  <si>
    <t>Еременко Александр Александрович</t>
  </si>
  <si>
    <t>Х‑724443</t>
  </si>
  <si>
    <t>Кричевский Ян Игоревич</t>
  </si>
  <si>
    <t>Х‑724196</t>
  </si>
  <si>
    <t>Суворин Никита Андреевич</t>
  </si>
  <si>
    <t>Ю‑452497</t>
  </si>
  <si>
    <t>Колодин Павел Владимирович</t>
  </si>
  <si>
    <t>ВЕ‑380011</t>
  </si>
  <si>
    <t>Дыхнов Михаил Сергеевич</t>
  </si>
  <si>
    <t>СУ‑264449</t>
  </si>
  <si>
    <t>Чекан Владислав Романович</t>
  </si>
  <si>
    <t>РА‑113089</t>
  </si>
  <si>
    <t>боевое распоряжение командира 11 АК № 15/НШ от 19 января 2024 года</t>
  </si>
  <si>
    <t>ВрИО НШ</t>
  </si>
  <si>
    <t>№11 от 22.01.2024</t>
  </si>
  <si>
    <t xml:space="preserve">госпиталь филиала №2 ФГБУ «1409 ВМКГ» МО РФ города Черняховск </t>
  </si>
  <si>
    <t>направление № 1016 от 22 января 2024 года</t>
  </si>
  <si>
    <t>Васильев Евгений Олегович</t>
  </si>
  <si>
    <t>госп. 17 отд ( ? )</t>
  </si>
  <si>
    <t>№12 от 23.01.2024</t>
  </si>
  <si>
    <t>Рапорт военнослужащего №494 от 23 января 2024 года</t>
  </si>
  <si>
    <t xml:space="preserve"> №2 ФГБУ «1409 ВМКГ» МО РФ города Черняховск</t>
  </si>
  <si>
    <t>направление № 1021 от 23 января 2024 года</t>
  </si>
  <si>
    <t>направление № 1020 от 23 января 2024 года</t>
  </si>
  <si>
    <t>№12 от 24.01.2024</t>
  </si>
  <si>
    <t>направление № 987 от 19 января 2024 года</t>
  </si>
  <si>
    <t>Абдуллаев Намиг Русланович</t>
  </si>
  <si>
    <t>МТ‑253195</t>
  </si>
  <si>
    <t>Алёхин Андрей Владимирович</t>
  </si>
  <si>
    <t>ВЕ-281539</t>
  </si>
  <si>
    <t>Белогорский Андрей Михайлович</t>
  </si>
  <si>
    <t>УК‑706468</t>
  </si>
  <si>
    <t>Бугаев Андрей Куртович</t>
  </si>
  <si>
    <t>ВЕ-269906</t>
  </si>
  <si>
    <t>Долгов Владислав Евгеньевич</t>
  </si>
  <si>
    <t>УК‑707248</t>
  </si>
  <si>
    <t>Евсеев Константин Николаевич</t>
  </si>
  <si>
    <t>Э‑750184</t>
  </si>
  <si>
    <t>Железный Артур Алексеевич</t>
  </si>
  <si>
    <t>УК‑707842</t>
  </si>
  <si>
    <t>УК‑705671</t>
  </si>
  <si>
    <t>Зайцев Сергей Витальевич</t>
  </si>
  <si>
    <t>Земсков Андрей Михайлович</t>
  </si>
  <si>
    <t>ЕХ‑700628</t>
  </si>
  <si>
    <t>Крылов Андрей Александрович</t>
  </si>
  <si>
    <t>Х‑719783</t>
  </si>
  <si>
    <t>Манакин Алексей Михайлович</t>
  </si>
  <si>
    <t>МТ‑557093</t>
  </si>
  <si>
    <t>Мустафин Руслан Алтафович</t>
  </si>
  <si>
    <t>Э‑750486</t>
  </si>
  <si>
    <t>Мухин Иван Владимирович</t>
  </si>
  <si>
    <t>Ю‑967718</t>
  </si>
  <si>
    <t>Пачков Владислав Сергеевич</t>
  </si>
  <si>
    <t>МТ‑516625</t>
  </si>
  <si>
    <t>Подосенников Николай Игоревич</t>
  </si>
  <si>
    <t>Роенко Владислав Михайлович</t>
  </si>
  <si>
    <t>ВЕ‑281311</t>
  </si>
  <si>
    <t>Саканцев Александр Дмитриевич</t>
  </si>
  <si>
    <t>УК‑828635</t>
  </si>
  <si>
    <t>Салмин Сергей Михайлович</t>
  </si>
  <si>
    <t>ЕХ‑950288</t>
  </si>
  <si>
    <t>РА‑170010</t>
  </si>
  <si>
    <t>Соломенцев Роман Андреевич</t>
  </si>
  <si>
    <t>РА‑215966</t>
  </si>
  <si>
    <t>Филатов Бахриддин Шамсутдинович</t>
  </si>
  <si>
    <t>РА‑372326</t>
  </si>
  <si>
    <t>Худоногов Владимир Николаевич</t>
  </si>
  <si>
    <t>Шевкопляс Алексей Григорьевич</t>
  </si>
  <si>
    <t>Х‑155081</t>
  </si>
  <si>
    <t>УК‑690053</t>
  </si>
  <si>
    <t>Шмидт Сергей Валерьевич</t>
  </si>
  <si>
    <t>Якунин Алексей Иванович</t>
  </si>
  <si>
    <t>РА‑096124</t>
  </si>
  <si>
    <t>№13 от 24.01.2024</t>
  </si>
  <si>
    <t>направление № 1060 от 24 января 2024 года</t>
  </si>
  <si>
    <t>направление № 1049 от 23 января 2024 года</t>
  </si>
  <si>
    <t>направление № 1059 от 24 января 2024 года</t>
  </si>
  <si>
    <t>в/ч 42155 п. Великолужское</t>
  </si>
  <si>
    <t>Военная комендатура г. Гусев</t>
  </si>
  <si>
    <t>ВрИО КП</t>
  </si>
  <si>
    <t xml:space="preserve">ВрИО ЗКП по ВПР </t>
  </si>
  <si>
    <t>ВрИО СПНШ</t>
  </si>
  <si>
    <t>ВрИО нач. службы РХБЗ</t>
  </si>
  <si>
    <t>ВрИО нач. авто. Службы</t>
  </si>
  <si>
    <t>ВрИо ЗКП по тылу</t>
  </si>
  <si>
    <t>ВрИО нач. физ</t>
  </si>
  <si>
    <t>11 полк под арестом</t>
  </si>
  <si>
    <t>Лапикус Сергей Александрович</t>
  </si>
  <si>
    <t>Басенков Вячеслав Владиславович</t>
  </si>
  <si>
    <t>Гусейнов Азар Эльман Оглы</t>
  </si>
  <si>
    <t>№14 от 25.01.2024</t>
  </si>
  <si>
    <t>рапорт военнослужащего № 538 от 25 января 2024 года</t>
  </si>
  <si>
    <t>половина осн. Отпуска за 2022 год и за 2023 год</t>
  </si>
  <si>
    <t>Еров Даниил Сергеевич</t>
  </si>
  <si>
    <t>Раджабов Марат Раджабович</t>
  </si>
  <si>
    <t>Бабаев Заур Буабевич</t>
  </si>
  <si>
    <t>Комаров Роман Сергеевич</t>
  </si>
  <si>
    <t>Лимонов Владимир Валентинович</t>
  </si>
  <si>
    <t>Саримов Давид Фанисович</t>
  </si>
  <si>
    <t>Аджиев Рашидхан Аймурзаевич</t>
  </si>
  <si>
    <t>Магомедов Гасан Мурадович</t>
  </si>
  <si>
    <t>Стекольников Денис Евгеньевич</t>
  </si>
  <si>
    <t>Юсупов Азизбек Маматович</t>
  </si>
  <si>
    <t>№15 от 26.01.2024</t>
  </si>
  <si>
    <t>рапорт командира 3 МСБ № 562 от 26 января 2024 года</t>
  </si>
  <si>
    <t>телеграмма ВрИО командира в/ч 25810 № 19/324 от 26 января 2024 года</t>
  </si>
  <si>
    <t>заключение ВВК № 2/53 от 22 января 2024 года</t>
  </si>
  <si>
    <t>Олешко Владимир Алексеевич</t>
  </si>
  <si>
    <t>МТ-917351</t>
  </si>
  <si>
    <t>№15 от 27.01.2024</t>
  </si>
  <si>
    <t>Понеделко Александр Иванович</t>
  </si>
  <si>
    <t>МТ-917349</t>
  </si>
  <si>
    <t>Шиняков Дмитрий Анатольевич</t>
  </si>
  <si>
    <t>МТ-917350</t>
  </si>
  <si>
    <t>Абулханова Жангуль Жумажановна</t>
  </si>
  <si>
    <t>заключение ВВК № 76 от 26 января 2024 года</t>
  </si>
  <si>
    <t>рапорт военнослужащего № 543 от 25 января 2024 года</t>
  </si>
  <si>
    <t>справка № 994 от 20 января 2024 года</t>
  </si>
  <si>
    <t>№1005 от 29.12.2023</t>
  </si>
  <si>
    <t>СОЧ Белгород</t>
  </si>
  <si>
    <t>№119 от 26.01.2024</t>
  </si>
  <si>
    <t>№94 от 24.01.2024</t>
  </si>
  <si>
    <t>№117 от 26.01.2024</t>
  </si>
  <si>
    <t>№109 от 26.01.2024</t>
  </si>
  <si>
    <t>№118 от 26.01.2024</t>
  </si>
  <si>
    <t>№115 от 26.01.2024</t>
  </si>
  <si>
    <t>№113 от 26.01.2024</t>
  </si>
  <si>
    <t>№ 110 от 26.01.2024</t>
  </si>
  <si>
    <t>№120 от 26.01.2024</t>
  </si>
  <si>
    <t>№111 от 26.01.2024</t>
  </si>
  <si>
    <t>№130 от 29.01.2024</t>
  </si>
  <si>
    <t>№128 от 29.01.2024</t>
  </si>
  <si>
    <t>№129 от 29.01.2024</t>
  </si>
  <si>
    <t>Тимошенко Сергей Петрович</t>
  </si>
  <si>
    <t>ЕХ-912544</t>
  </si>
  <si>
    <t>Бойко Роман Иванович</t>
  </si>
  <si>
    <t>ЕХ-879598</t>
  </si>
  <si>
    <t>Грузков Виктор Антонович</t>
  </si>
  <si>
    <t>МТ-702765</t>
  </si>
  <si>
    <t>№14 от 26.01.2024</t>
  </si>
  <si>
    <t>Командир ГРВ</t>
  </si>
  <si>
    <t>Лахов Анатолий Александрович</t>
  </si>
  <si>
    <t>Э-137693</t>
  </si>
  <si>
    <t>Вокуев Эдуард Николаевич</t>
  </si>
  <si>
    <t>Ф-748804</t>
  </si>
  <si>
    <t>Матвеев Виталий Алексеевич</t>
  </si>
  <si>
    <t>МТ-819394</t>
  </si>
  <si>
    <t>Симонян Геворк Дереникович</t>
  </si>
  <si>
    <t>МТ-098929</t>
  </si>
  <si>
    <t>№16 от 30.01.2024</t>
  </si>
  <si>
    <t>№17 от 30.01.2024</t>
  </si>
  <si>
    <t>направление № 1096 от 29 января 2024 года</t>
  </si>
  <si>
    <t>Учебный отпуск</t>
  </si>
  <si>
    <t>справка – вызов № 1341/40-1606 от 12 января 2024 года</t>
  </si>
  <si>
    <t>боевое распоряжение № 76/НШ/КП от 29 января 2024 года</t>
  </si>
  <si>
    <t>№16 от 29.01.2024</t>
  </si>
  <si>
    <t>госпиталь филиала №2 ФГБУ «1409 ВМКГ» МО РФ города Черняховск</t>
  </si>
  <si>
    <t>направление № 1107 от 29 января 2024 года</t>
  </si>
  <si>
    <t>филиала №2 ФГБУ «1409 ВМКГ» МО РФ города Черняховск</t>
  </si>
  <si>
    <t>направление № 1100 от 29 января 2024 года</t>
  </si>
  <si>
    <t>РА-115916</t>
  </si>
  <si>
    <t>Гоге Павел Викторович</t>
  </si>
  <si>
    <t>Соловьёв Николай Юрьевич</t>
  </si>
  <si>
    <t>Карасев Дмитрий Алексеевич</t>
  </si>
  <si>
    <t>Начальник службы (Квартирно-эксплуатационной)</t>
  </si>
  <si>
    <t>а</t>
  </si>
  <si>
    <t>№19 от 29.01.2024</t>
  </si>
  <si>
    <t>№17 от 29.01.2024</t>
  </si>
  <si>
    <t>№802 от 27.10.2023</t>
  </si>
  <si>
    <t>телеграмма ВрИО НШ в/ч 90151 №5/23дсп от 29 января 2024 года</t>
  </si>
  <si>
    <t>телеграмма ВрИО НШ в/ч 90151 №5/24дсп от 29 января 2024 года</t>
  </si>
  <si>
    <t>телеграмма ВрИО НШ в/ч 90151 №5/22дсп от 29 января 2024 года</t>
  </si>
  <si>
    <t>розыскан после СОЧ</t>
  </si>
  <si>
    <t>в/ч 41611 г. Гусев</t>
  </si>
  <si>
    <t>№18 от 31.01.2024</t>
  </si>
  <si>
    <t>рапорт командира роты управления № 810 от 31 января 2024 года</t>
  </si>
  <si>
    <t>Подготовка к военному параду</t>
  </si>
  <si>
    <t>в\Ч 38838</t>
  </si>
  <si>
    <t>№18 от 30.01.2024</t>
  </si>
  <si>
    <t>справка № 1116 от 31 января 2024 года</t>
  </si>
  <si>
    <t>направление № 1121 от 01 февраля 2024 года</t>
  </si>
  <si>
    <t>рапорт военнослужащего № 819 от 01 февраля 2024 года</t>
  </si>
  <si>
    <t>№19 от 01.02.2024</t>
  </si>
  <si>
    <t>справка № 1099 от 29 января 2024 года</t>
  </si>
  <si>
    <t>телеграмма ВрИО НШ в/ч 90151 № 18/76 от 28 января 2024 года</t>
  </si>
  <si>
    <t>рапорт военнослужащего № 522 от 24 января 2024 года</t>
  </si>
  <si>
    <t>№1 от 09.01.2023</t>
  </si>
  <si>
    <t>№196 от 10.11.2023</t>
  </si>
  <si>
    <t>№173 от 20.10.2023</t>
  </si>
  <si>
    <t>№196 10.11.2023</t>
  </si>
  <si>
    <t>№111 от 27.0.2023</t>
  </si>
  <si>
    <t>№124 от 10.08.2024</t>
  </si>
  <si>
    <t>г. Белгород(плен)</t>
  </si>
  <si>
    <t>телеграмма ВрИО НШ в/ч 25810 № 13/761 от 01 февраля 2024 год</t>
  </si>
  <si>
    <t>справка № 1117 от 31 января 2024 года</t>
  </si>
  <si>
    <t>Основной отпуск</t>
  </si>
  <si>
    <t>заявление работника № 178 от 31 января 2024 года</t>
  </si>
  <si>
    <t>24.02.024</t>
  </si>
  <si>
    <t>справка № 1118 от 31 января 2024 года</t>
  </si>
  <si>
    <t xml:space="preserve">ветеранский отпуск </t>
  </si>
  <si>
    <t>рапорт военнослужащего № 808 от 31 января 2024 года</t>
  </si>
  <si>
    <t>рапорт военнослужащего № 809 от 31 января 2024 года</t>
  </si>
  <si>
    <t>справка – вызов № 3305 от 30 января 2024 года</t>
  </si>
  <si>
    <t>СВО (9 МСП)</t>
  </si>
  <si>
    <t>указание НШ 11 АК № 13/КП от 04 января 2024 года.</t>
  </si>
  <si>
    <t>Обучение на младших специалистов</t>
  </si>
  <si>
    <t>г. Гусев(мед рота)</t>
  </si>
  <si>
    <t>г. Белгород (ТБ)</t>
  </si>
  <si>
    <t xml:space="preserve">Госпиталь 17 отделение </t>
  </si>
  <si>
    <t>телеграмма ЗАС № 15/3/5054/40 от 11 января 2024 года.</t>
  </si>
  <si>
    <t>в/ч 73621 п. Баковка, Московская обл.</t>
  </si>
  <si>
    <t>телеграмма начальника штаба Балтийского флота № НР 25/4/296 от 03 марта 2022 года.</t>
  </si>
  <si>
    <t>№20 от 02.02.2024</t>
  </si>
  <si>
    <t>направление № 1138 от 02 февраля 2024 года</t>
  </si>
  <si>
    <t>направление № 1136 от 02 февраля 2024 года</t>
  </si>
  <si>
    <t>направление № 1132 от 01 февраля 2024 года</t>
  </si>
  <si>
    <t>рапорт командира 5 МСР 2 МСБ № 845 от 02 февраля 2024 года</t>
  </si>
  <si>
    <t>основной отпуск за 2023 год</t>
  </si>
  <si>
    <t>ВрИО Нач. Арт. Дивизии Советск</t>
  </si>
  <si>
    <t>рапорт военнослужащего № 838 от 02 февраля 2024 года</t>
  </si>
  <si>
    <t>направление № 1122 от 01 февраля 2024 года</t>
  </si>
  <si>
    <t>Заместитель командира отряда по военно-политической работе</t>
  </si>
  <si>
    <t>Горелов Алексей Васильевич</t>
  </si>
  <si>
    <t>У-771136</t>
  </si>
  <si>
    <t>АВ-606388</t>
  </si>
  <si>
    <t>АВ-201512</t>
  </si>
  <si>
    <t>АВ-606437</t>
  </si>
  <si>
    <t>ВЕ-153293</t>
  </si>
  <si>
    <t>МТ-622656</t>
  </si>
  <si>
    <t>АВ-201448</t>
  </si>
  <si>
    <t>АВ-323210</t>
  </si>
  <si>
    <t>АВ-607052</t>
  </si>
  <si>
    <t>АВ-606363</t>
  </si>
  <si>
    <t>АВ-201750</t>
  </si>
  <si>
    <t>Высшее, Новосибирское высшее военное командное училище</t>
  </si>
  <si>
    <t>№158 от 31.01.2024</t>
  </si>
  <si>
    <t>№178 от 02.02.2024</t>
  </si>
  <si>
    <t>№175 от 02.02.2024</t>
  </si>
  <si>
    <t>№176 от 02.02.2024</t>
  </si>
  <si>
    <t>№174 от 02.02.2024</t>
  </si>
  <si>
    <t>Лечение(Белгород)</t>
  </si>
  <si>
    <t>Ниматулаев Магомед Рамазанович</t>
  </si>
  <si>
    <t>Аникеев Сергей Александрович</t>
  </si>
  <si>
    <t>АВ-939349</t>
  </si>
  <si>
    <t>№21 от 02.02.2024</t>
  </si>
  <si>
    <t>№21 от 05.02.2024</t>
  </si>
  <si>
    <t>рапорт старшины 6 МСР 2 МСБ № 868 от 05 февраля 2024 года</t>
  </si>
  <si>
    <t>в/ч 54229</t>
  </si>
  <si>
    <t xml:space="preserve">телеграмма ВрИО НШ в/ч 25810 № 22/60/мто от 03 февраля 2024 года
</t>
  </si>
  <si>
    <t>направление № 1171 от 05 февраля 2024 года</t>
  </si>
  <si>
    <t>: боевое распоряжение № 79/НШ/КП от 30 января 2024 года.</t>
  </si>
  <si>
    <t>боевое распоряжение № 79/НШ/КП от 30 января 2024 года</t>
  </si>
  <si>
    <t>6 МСР 2 МСБ № 870 от 05 февраля 2024 года</t>
  </si>
  <si>
    <t>№20 от 04.02.2024</t>
  </si>
  <si>
    <t>Псковская область</t>
  </si>
  <si>
    <t>Основной отпуск за 2022 год</t>
  </si>
  <si>
    <t>рапорт военнослужащего № 839 от 02 февраля 2024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</si>
</sst>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[$-F800]dddd\,\ mmmm\ dd\,\ yyyy"/>
    <numFmt numFmtId="166" formatCode="0;\-0;;@"/>
  </numFmts>
  <fonts count="7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E"/>
      <family val="2"/>
      <charset val="238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B050"/>
      <name val="Times New Roman"/>
      <family val="1"/>
      <charset val="204"/>
    </font>
    <font>
      <sz val="14"/>
      <color theme="4" tint="-0.249977111117893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26"/>
      <name val="Times New Roman"/>
      <family val="1"/>
      <charset val="204"/>
    </font>
    <font>
      <sz val="26"/>
      <color theme="4"/>
      <name val="Times New Roman"/>
      <family val="1"/>
      <charset val="204"/>
    </font>
    <font>
      <sz val="26"/>
      <color theme="0"/>
      <name val="Times New Roman"/>
      <family val="1"/>
      <charset val="204"/>
    </font>
    <font>
      <sz val="24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4"/>
      <color theme="3" tint="0.3999755851924192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206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theme="4"/>
      <name val="Times New Roman"/>
      <family val="1"/>
      <charset val="204"/>
    </font>
    <font>
      <sz val="12"/>
      <color theme="4" tint="-0.249977111117893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theme="3" tint="0.39997558519241921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24"/>
      <color theme="1"/>
      <name val="Times New Roman"/>
      <family val="1"/>
      <charset val="204"/>
    </font>
    <font>
      <sz val="10"/>
      <name val="Arial Cyr"/>
      <family val="2"/>
      <charset val="204"/>
    </font>
    <font>
      <b/>
      <sz val="2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24"/>
      <color theme="1"/>
      <name val="Times New Roman"/>
      <family val="1"/>
      <charset val="204"/>
    </font>
    <font>
      <b/>
      <sz val="14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6"/>
      <name val="Times New Roman"/>
      <family val="1"/>
      <charset val="204"/>
    </font>
    <font>
      <sz val="6"/>
      <name val="Arial Cyr"/>
      <charset val="204"/>
    </font>
    <font>
      <b/>
      <sz val="9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u/>
      <sz val="7"/>
      <name val="Times New Roman"/>
      <family val="1"/>
      <charset val="204"/>
    </font>
    <font>
      <b/>
      <sz val="7"/>
      <name val="Times New Roman"/>
      <family val="1"/>
      <charset val="204"/>
    </font>
    <font>
      <sz val="12"/>
      <color rgb="FF006100"/>
      <name val="Times New Roman"/>
      <family val="2"/>
      <charset val="204"/>
    </font>
    <font>
      <b/>
      <sz val="9"/>
      <color indexed="81"/>
      <name val="Tahoma"/>
      <family val="2"/>
      <charset val="204"/>
    </font>
    <font>
      <sz val="14"/>
      <color rgb="FF000000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45" fillId="0" borderId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72" fillId="21" borderId="0" applyNumberFormat="0" applyBorder="0" applyAlignment="0" applyProtection="0"/>
    <xf numFmtId="0" fontId="7" fillId="0" borderId="0">
      <alignment vertical="center"/>
    </xf>
  </cellStyleXfs>
  <cellXfs count="1726">
    <xf numFmtId="0" fontId="0" fillId="0" borderId="0" xfId="0"/>
    <xf numFmtId="0" fontId="10" fillId="3" borderId="5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8" applyFont="1" applyFill="1"/>
    <xf numFmtId="0" fontId="17" fillId="0" borderId="0" xfId="8" applyFont="1" applyFill="1" applyBorder="1"/>
    <xf numFmtId="0" fontId="18" fillId="0" borderId="0" xfId="9" applyFont="1" applyBorder="1" applyAlignment="1">
      <alignment horizontal="left"/>
    </xf>
    <xf numFmtId="0" fontId="20" fillId="0" borderId="0" xfId="8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17" fillId="0" borderId="0" xfId="8" applyFont="1" applyFill="1" applyAlignment="1">
      <alignment horizontal="center"/>
    </xf>
    <xf numFmtId="14" fontId="21" fillId="0" borderId="0" xfId="8" applyNumberFormat="1" applyFont="1" applyFill="1" applyBorder="1" applyAlignment="1">
      <alignment vertical="center"/>
    </xf>
    <xf numFmtId="0" fontId="21" fillId="0" borderId="0" xfId="8" applyFont="1" applyFill="1" applyBorder="1" applyAlignment="1">
      <alignment vertical="center"/>
    </xf>
    <xf numFmtId="14" fontId="22" fillId="0" borderId="0" xfId="8" applyNumberFormat="1" applyFont="1" applyFill="1" applyBorder="1" applyAlignment="1">
      <alignment vertical="center"/>
    </xf>
    <xf numFmtId="0" fontId="21" fillId="0" borderId="0" xfId="8" applyFont="1" applyFill="1" applyBorder="1" applyAlignment="1">
      <alignment horizontal="center"/>
    </xf>
    <xf numFmtId="0" fontId="23" fillId="0" borderId="35" xfId="8" applyFont="1" applyFill="1" applyBorder="1" applyAlignment="1">
      <alignment horizontal="center" vertical="center" wrapText="1"/>
    </xf>
    <xf numFmtId="0" fontId="22" fillId="0" borderId="36" xfId="8" applyFont="1" applyFill="1" applyBorder="1" applyAlignment="1">
      <alignment horizontal="center" vertical="center" wrapText="1"/>
    </xf>
    <xf numFmtId="0" fontId="23" fillId="0" borderId="37" xfId="10" applyFont="1" applyFill="1" applyBorder="1" applyAlignment="1" applyProtection="1">
      <alignment horizontal="center" vertical="center" wrapText="1"/>
      <protection hidden="1"/>
    </xf>
    <xf numFmtId="1" fontId="22" fillId="0" borderId="37" xfId="8" applyNumberFormat="1" applyFont="1" applyFill="1" applyBorder="1" applyAlignment="1">
      <alignment horizontal="center" vertical="center" wrapText="1"/>
    </xf>
    <xf numFmtId="0" fontId="23" fillId="0" borderId="37" xfId="10" applyFont="1" applyFill="1" applyBorder="1" applyAlignment="1">
      <alignment horizontal="center" vertical="center" wrapText="1"/>
    </xf>
    <xf numFmtId="1" fontId="23" fillId="0" borderId="37" xfId="8" applyNumberFormat="1" applyFont="1" applyFill="1" applyBorder="1" applyAlignment="1">
      <alignment horizontal="center" vertical="center" wrapText="1"/>
    </xf>
    <xf numFmtId="0" fontId="23" fillId="0" borderId="37" xfId="8" applyFont="1" applyFill="1" applyBorder="1" applyAlignment="1">
      <alignment horizontal="center" vertical="center" wrapText="1"/>
    </xf>
    <xf numFmtId="9" fontId="22" fillId="0" borderId="37" xfId="8" applyNumberFormat="1" applyFont="1" applyFill="1" applyBorder="1" applyAlignment="1">
      <alignment horizontal="center" vertical="center" wrapText="1"/>
    </xf>
    <xf numFmtId="0" fontId="23" fillId="0" borderId="37" xfId="11" applyFont="1" applyFill="1" applyBorder="1" applyAlignment="1">
      <alignment horizontal="center" vertical="center" wrapText="1"/>
    </xf>
    <xf numFmtId="0" fontId="22" fillId="0" borderId="37" xfId="11" applyFont="1" applyFill="1" applyBorder="1" applyAlignment="1">
      <alignment horizontal="center" vertical="center" wrapText="1"/>
    </xf>
    <xf numFmtId="1" fontId="23" fillId="0" borderId="37" xfId="11" applyNumberFormat="1" applyFont="1" applyFill="1" applyBorder="1" applyAlignment="1">
      <alignment horizontal="center" vertical="center" wrapText="1"/>
    </xf>
    <xf numFmtId="0" fontId="22" fillId="0" borderId="21" xfId="11" applyFont="1" applyFill="1" applyBorder="1" applyAlignment="1">
      <alignment horizontal="center" vertical="center" wrapText="1"/>
    </xf>
    <xf numFmtId="1" fontId="23" fillId="0" borderId="34" xfId="8" applyNumberFormat="1" applyFont="1" applyFill="1" applyBorder="1" applyAlignment="1">
      <alignment horizontal="center" vertical="center" wrapText="1"/>
    </xf>
    <xf numFmtId="1" fontId="22" fillId="0" borderId="34" xfId="8" applyNumberFormat="1" applyFont="1" applyFill="1" applyBorder="1" applyAlignment="1">
      <alignment horizontal="center" vertical="center" wrapText="1"/>
    </xf>
    <xf numFmtId="0" fontId="23" fillId="0" borderId="22" xfId="8" applyFont="1" applyFill="1" applyBorder="1" applyAlignment="1">
      <alignment horizontal="center" vertical="center" wrapText="1"/>
    </xf>
    <xf numFmtId="0" fontId="23" fillId="0" borderId="38" xfId="8" applyFont="1" applyFill="1" applyBorder="1" applyAlignment="1">
      <alignment horizontal="center" vertical="center" wrapText="1"/>
    </xf>
    <xf numFmtId="0" fontId="23" fillId="0" borderId="39" xfId="8" applyFont="1" applyFill="1" applyBorder="1" applyAlignment="1">
      <alignment horizontal="center" vertical="center" wrapText="1"/>
    </xf>
    <xf numFmtId="0" fontId="23" fillId="0" borderId="30" xfId="8" applyFont="1" applyFill="1" applyBorder="1" applyAlignment="1">
      <alignment horizontal="center" vertical="center" wrapText="1"/>
    </xf>
    <xf numFmtId="0" fontId="23" fillId="0" borderId="25" xfId="10" applyFont="1" applyFill="1" applyBorder="1" applyAlignment="1" applyProtection="1">
      <alignment horizontal="center" vertical="center" wrapText="1"/>
      <protection hidden="1"/>
    </xf>
    <xf numFmtId="1" fontId="23" fillId="0" borderId="25" xfId="8" applyNumberFormat="1" applyFont="1" applyFill="1" applyBorder="1" applyAlignment="1">
      <alignment horizontal="center" vertical="center" wrapText="1"/>
    </xf>
    <xf numFmtId="0" fontId="23" fillId="0" borderId="25" xfId="8" applyFont="1" applyFill="1" applyBorder="1" applyAlignment="1">
      <alignment horizontal="center" vertical="center" wrapText="1"/>
    </xf>
    <xf numFmtId="9" fontId="22" fillId="0" borderId="25" xfId="8" applyNumberFormat="1" applyFont="1" applyFill="1" applyBorder="1" applyAlignment="1">
      <alignment horizontal="center" vertical="center" wrapText="1"/>
    </xf>
    <xf numFmtId="0" fontId="23" fillId="0" borderId="25" xfId="11" applyFont="1" applyFill="1" applyBorder="1" applyAlignment="1">
      <alignment horizontal="center" vertical="center" wrapText="1"/>
    </xf>
    <xf numFmtId="1" fontId="23" fillId="0" borderId="25" xfId="11" applyNumberFormat="1" applyFont="1" applyFill="1" applyBorder="1" applyAlignment="1">
      <alignment horizontal="center" vertical="center" wrapText="1"/>
    </xf>
    <xf numFmtId="1" fontId="22" fillId="0" borderId="25" xfId="8" applyNumberFormat="1" applyFont="1" applyFill="1" applyBorder="1" applyAlignment="1">
      <alignment horizontal="center" vertical="center" wrapText="1"/>
    </xf>
    <xf numFmtId="0" fontId="23" fillId="8" borderId="36" xfId="8" applyFont="1" applyFill="1" applyBorder="1" applyAlignment="1">
      <alignment horizontal="center" vertical="center" wrapText="1"/>
    </xf>
    <xf numFmtId="0" fontId="23" fillId="8" borderId="37" xfId="10" applyFont="1" applyFill="1" applyBorder="1" applyAlignment="1" applyProtection="1">
      <alignment horizontal="center" vertical="center" wrapText="1"/>
      <protection hidden="1"/>
    </xf>
    <xf numFmtId="1" fontId="23" fillId="8" borderId="37" xfId="10" applyNumberFormat="1" applyFont="1" applyFill="1" applyBorder="1" applyAlignment="1" applyProtection="1">
      <alignment horizontal="center" vertical="center" wrapText="1"/>
      <protection hidden="1"/>
    </xf>
    <xf numFmtId="9" fontId="22" fillId="8" borderId="37" xfId="8" applyNumberFormat="1" applyFont="1" applyFill="1" applyBorder="1" applyAlignment="1">
      <alignment horizontal="center" vertical="center" wrapText="1"/>
    </xf>
    <xf numFmtId="0" fontId="22" fillId="8" borderId="37" xfId="8" applyNumberFormat="1" applyFont="1" applyFill="1" applyBorder="1" applyAlignment="1">
      <alignment horizontal="center" vertical="center" wrapText="1"/>
    </xf>
    <xf numFmtId="0" fontId="23" fillId="0" borderId="40" xfId="8" applyFont="1" applyFill="1" applyBorder="1" applyAlignment="1">
      <alignment horizontal="center" vertical="center" wrapText="1"/>
    </xf>
    <xf numFmtId="0" fontId="23" fillId="0" borderId="41" xfId="8" applyFont="1" applyFill="1" applyBorder="1" applyAlignment="1">
      <alignment horizontal="center" vertical="center" wrapText="1"/>
    </xf>
    <xf numFmtId="0" fontId="23" fillId="0" borderId="29" xfId="8" applyFont="1" applyFill="1" applyBorder="1" applyAlignment="1">
      <alignment horizontal="center" vertical="center" wrapText="1"/>
    </xf>
    <xf numFmtId="0" fontId="23" fillId="8" borderId="35" xfId="8" applyFont="1" applyFill="1" applyBorder="1" applyAlignment="1">
      <alignment horizontal="center" vertical="center" wrapText="1"/>
    </xf>
    <xf numFmtId="0" fontId="23" fillId="3" borderId="31" xfId="8" applyFont="1" applyFill="1" applyBorder="1" applyAlignment="1">
      <alignment horizontal="center" vertical="center" wrapText="1"/>
    </xf>
    <xf numFmtId="0" fontId="23" fillId="3" borderId="34" xfId="10" applyFont="1" applyFill="1" applyBorder="1" applyAlignment="1" applyProtection="1">
      <alignment horizontal="center" vertical="center" wrapText="1"/>
      <protection hidden="1"/>
    </xf>
    <xf numFmtId="0" fontId="23" fillId="3" borderId="37" xfId="10" applyFont="1" applyFill="1" applyBorder="1" applyAlignment="1" applyProtection="1">
      <alignment horizontal="center" vertical="center" wrapText="1"/>
      <protection hidden="1"/>
    </xf>
    <xf numFmtId="1" fontId="23" fillId="3" borderId="34" xfId="10" applyNumberFormat="1" applyFont="1" applyFill="1" applyBorder="1" applyAlignment="1" applyProtection="1">
      <alignment horizontal="center" vertical="center" wrapText="1"/>
      <protection hidden="1"/>
    </xf>
    <xf numFmtId="9" fontId="22" fillId="3" borderId="34" xfId="8" applyNumberFormat="1" applyFont="1" applyFill="1" applyBorder="1" applyAlignment="1">
      <alignment horizontal="center" vertical="center" wrapText="1"/>
    </xf>
    <xf numFmtId="0" fontId="22" fillId="3" borderId="34" xfId="8" applyNumberFormat="1" applyFont="1" applyFill="1" applyBorder="1" applyAlignment="1">
      <alignment horizontal="center" vertical="center" wrapText="1"/>
    </xf>
    <xf numFmtId="0" fontId="22" fillId="3" borderId="37" xfId="8" applyNumberFormat="1" applyFont="1" applyFill="1" applyBorder="1" applyAlignment="1">
      <alignment horizontal="center" vertical="center" wrapText="1"/>
    </xf>
    <xf numFmtId="0" fontId="23" fillId="3" borderId="32" xfId="8" applyFont="1" applyFill="1" applyBorder="1" applyAlignment="1">
      <alignment horizontal="center" vertical="center" wrapText="1"/>
    </xf>
    <xf numFmtId="0" fontId="23" fillId="0" borderId="31" xfId="8" applyFont="1" applyFill="1" applyBorder="1" applyAlignment="1">
      <alignment horizontal="center" vertical="center" wrapText="1"/>
    </xf>
    <xf numFmtId="0" fontId="23" fillId="0" borderId="32" xfId="8" applyFont="1" applyFill="1" applyBorder="1" applyAlignment="1">
      <alignment horizontal="center" vertical="center" wrapText="1"/>
    </xf>
    <xf numFmtId="0" fontId="23" fillId="0" borderId="34" xfId="10" applyFont="1" applyFill="1" applyBorder="1" applyAlignment="1" applyProtection="1">
      <alignment horizontal="center" vertical="center" wrapText="1"/>
      <protection hidden="1"/>
    </xf>
    <xf numFmtId="0" fontId="23" fillId="0" borderId="34" xfId="10" applyFont="1" applyFill="1" applyBorder="1" applyAlignment="1">
      <alignment horizontal="center" vertical="center" wrapText="1"/>
    </xf>
    <xf numFmtId="0" fontId="23" fillId="0" borderId="34" xfId="11" applyFont="1" applyFill="1" applyBorder="1" applyAlignment="1">
      <alignment horizontal="center" vertical="center" wrapText="1"/>
    </xf>
    <xf numFmtId="1" fontId="23" fillId="0" borderId="34" xfId="11" applyNumberFormat="1" applyFont="1" applyFill="1" applyBorder="1" applyAlignment="1">
      <alignment horizontal="center" vertical="center" wrapText="1"/>
    </xf>
    <xf numFmtId="0" fontId="23" fillId="0" borderId="34" xfId="8" applyFont="1" applyFill="1" applyBorder="1" applyAlignment="1">
      <alignment horizontal="center" vertical="center" wrapText="1"/>
    </xf>
    <xf numFmtId="0" fontId="23" fillId="0" borderId="36" xfId="8" applyFont="1" applyFill="1" applyBorder="1" applyAlignment="1">
      <alignment horizontal="center" vertical="center" wrapText="1"/>
    </xf>
    <xf numFmtId="0" fontId="23" fillId="9" borderId="42" xfId="8" applyFont="1" applyFill="1" applyBorder="1" applyAlignment="1">
      <alignment horizontal="center" vertical="center" wrapText="1"/>
    </xf>
    <xf numFmtId="0" fontId="23" fillId="9" borderId="37" xfId="10" applyFont="1" applyFill="1" applyBorder="1" applyAlignment="1" applyProtection="1">
      <alignment horizontal="center" vertical="center" wrapText="1"/>
      <protection hidden="1"/>
    </xf>
    <xf numFmtId="1" fontId="23" fillId="9" borderId="37" xfId="10" applyNumberFormat="1" applyFont="1" applyFill="1" applyBorder="1" applyAlignment="1" applyProtection="1">
      <alignment horizontal="center" vertical="center" wrapText="1"/>
      <protection hidden="1"/>
    </xf>
    <xf numFmtId="0" fontId="23" fillId="10" borderId="21" xfId="8" applyFont="1" applyFill="1" applyBorder="1" applyAlignment="1">
      <alignment horizontal="center" vertical="center" wrapText="1"/>
    </xf>
    <xf numFmtId="0" fontId="23" fillId="10" borderId="37" xfId="10" applyFont="1" applyFill="1" applyBorder="1" applyAlignment="1" applyProtection="1">
      <alignment horizontal="center" vertical="center" wrapText="1"/>
      <protection hidden="1"/>
    </xf>
    <xf numFmtId="1" fontId="22" fillId="10" borderId="37" xfId="8" applyNumberFormat="1" applyFont="1" applyFill="1" applyBorder="1" applyAlignment="1">
      <alignment horizontal="center" vertical="center" wrapText="1"/>
    </xf>
    <xf numFmtId="0" fontId="23" fillId="10" borderId="37" xfId="10" applyFont="1" applyFill="1" applyBorder="1" applyAlignment="1">
      <alignment horizontal="center" vertical="center" wrapText="1"/>
    </xf>
    <xf numFmtId="1" fontId="23" fillId="10" borderId="37" xfId="8" applyNumberFormat="1" applyFont="1" applyFill="1" applyBorder="1" applyAlignment="1">
      <alignment horizontal="center" vertical="center" wrapText="1"/>
    </xf>
    <xf numFmtId="0" fontId="23" fillId="10" borderId="37" xfId="8" applyFont="1" applyFill="1" applyBorder="1" applyAlignment="1">
      <alignment horizontal="center" vertical="center" wrapText="1"/>
    </xf>
    <xf numFmtId="9" fontId="22" fillId="10" borderId="37" xfId="8" applyNumberFormat="1" applyFont="1" applyFill="1" applyBorder="1" applyAlignment="1">
      <alignment horizontal="center" vertical="center" wrapText="1"/>
    </xf>
    <xf numFmtId="0" fontId="23" fillId="10" borderId="37" xfId="11" applyFont="1" applyFill="1" applyBorder="1" applyAlignment="1">
      <alignment horizontal="center" vertical="center" wrapText="1"/>
    </xf>
    <xf numFmtId="0" fontId="22" fillId="10" borderId="37" xfId="11" applyFont="1" applyFill="1" applyBorder="1" applyAlignment="1">
      <alignment horizontal="center" vertical="center" wrapText="1"/>
    </xf>
    <xf numFmtId="1" fontId="23" fillId="10" borderId="37" xfId="11" applyNumberFormat="1" applyFont="1" applyFill="1" applyBorder="1" applyAlignment="1">
      <alignment horizontal="center" vertical="center" wrapText="1"/>
    </xf>
    <xf numFmtId="0" fontId="22" fillId="10" borderId="42" xfId="11" applyFont="1" applyFill="1" applyBorder="1" applyAlignment="1">
      <alignment horizontal="center" vertical="center" wrapText="1"/>
    </xf>
    <xf numFmtId="0" fontId="23" fillId="10" borderId="34" xfId="11" applyFont="1" applyFill="1" applyBorder="1" applyAlignment="1">
      <alignment horizontal="center" vertical="center" wrapText="1"/>
    </xf>
    <xf numFmtId="1" fontId="22" fillId="10" borderId="34" xfId="8" applyNumberFormat="1" applyFont="1" applyFill="1" applyBorder="1" applyAlignment="1">
      <alignment horizontal="center" vertical="center" wrapText="1"/>
    </xf>
    <xf numFmtId="1" fontId="22" fillId="7" borderId="19" xfId="8" applyNumberFormat="1" applyFont="1" applyFill="1" applyBorder="1" applyAlignment="1">
      <alignment horizontal="center" vertical="center" wrapText="1"/>
    </xf>
    <xf numFmtId="1" fontId="22" fillId="7" borderId="21" xfId="8" applyNumberFormat="1" applyFont="1" applyFill="1" applyBorder="1" applyAlignment="1">
      <alignment horizontal="center" vertical="center" wrapText="1"/>
    </xf>
    <xf numFmtId="1" fontId="22" fillId="7" borderId="23" xfId="8" applyNumberFormat="1" applyFont="1" applyFill="1" applyBorder="1" applyAlignment="1">
      <alignment horizontal="center" vertical="center" wrapText="1"/>
    </xf>
    <xf numFmtId="1" fontId="22" fillId="7" borderId="20" xfId="8" applyNumberFormat="1" applyFont="1" applyFill="1" applyBorder="1" applyAlignment="1">
      <alignment horizontal="center" vertical="center" wrapText="1"/>
    </xf>
    <xf numFmtId="1" fontId="22" fillId="7" borderId="37" xfId="8" applyNumberFormat="1" applyFont="1" applyFill="1" applyBorder="1" applyAlignment="1">
      <alignment horizontal="center" vertical="center" wrapText="1"/>
    </xf>
    <xf numFmtId="1" fontId="22" fillId="7" borderId="36" xfId="8" applyNumberFormat="1" applyFont="1" applyFill="1" applyBorder="1" applyAlignment="1">
      <alignment horizontal="center" vertical="center" wrapText="1"/>
    </xf>
    <xf numFmtId="0" fontId="23" fillId="0" borderId="25" xfId="10" applyFont="1" applyFill="1" applyBorder="1" applyAlignment="1">
      <alignment horizontal="center" vertical="center" wrapText="1"/>
    </xf>
    <xf numFmtId="0" fontId="22" fillId="0" borderId="25" xfId="11" applyFont="1" applyFill="1" applyBorder="1" applyAlignment="1">
      <alignment horizontal="center" vertical="center" wrapText="1"/>
    </xf>
    <xf numFmtId="0" fontId="21" fillId="0" borderId="0" xfId="8" applyFont="1" applyFill="1" applyBorder="1" applyAlignment="1">
      <alignment horizontal="center"/>
    </xf>
    <xf numFmtId="0" fontId="21" fillId="3" borderId="0" xfId="8" applyFont="1" applyFill="1" applyBorder="1" applyAlignment="1">
      <alignment vertical="center"/>
    </xf>
    <xf numFmtId="0" fontId="21" fillId="3" borderId="0" xfId="8" applyFont="1" applyFill="1" applyBorder="1" applyAlignment="1">
      <alignment horizontal="center"/>
    </xf>
    <xf numFmtId="1" fontId="22" fillId="3" borderId="37" xfId="8" applyNumberFormat="1" applyFont="1" applyFill="1" applyBorder="1" applyAlignment="1">
      <alignment horizontal="center" vertical="center" wrapText="1"/>
    </xf>
    <xf numFmtId="0" fontId="23" fillId="3" borderId="37" xfId="10" applyFont="1" applyFill="1" applyBorder="1" applyAlignment="1">
      <alignment horizontal="center" vertical="center" wrapText="1"/>
    </xf>
    <xf numFmtId="1" fontId="23" fillId="3" borderId="37" xfId="8" applyNumberFormat="1" applyFont="1" applyFill="1" applyBorder="1" applyAlignment="1">
      <alignment horizontal="center" vertical="center" wrapText="1"/>
    </xf>
    <xf numFmtId="0" fontId="23" fillId="3" borderId="37" xfId="8" applyFont="1" applyFill="1" applyBorder="1" applyAlignment="1">
      <alignment horizontal="center" vertical="center" wrapText="1"/>
    </xf>
    <xf numFmtId="0" fontId="17" fillId="3" borderId="0" xfId="8" applyFont="1" applyFill="1" applyBorder="1"/>
    <xf numFmtId="0" fontId="23" fillId="3" borderId="0" xfId="8" applyFont="1" applyFill="1" applyBorder="1" applyAlignment="1">
      <alignment horizontal="center" vertical="center" wrapText="1"/>
    </xf>
    <xf numFmtId="9" fontId="22" fillId="7" borderId="37" xfId="8" applyNumberFormat="1" applyFont="1" applyFill="1" applyBorder="1" applyAlignment="1">
      <alignment horizontal="center" vertical="center" wrapText="1"/>
    </xf>
    <xf numFmtId="9" fontId="22" fillId="9" borderId="37" xfId="8" applyNumberFormat="1" applyFont="1" applyFill="1" applyBorder="1" applyAlignment="1">
      <alignment horizontal="center" vertical="center" wrapText="1"/>
    </xf>
    <xf numFmtId="0" fontId="23" fillId="3" borderId="34" xfId="10" applyFont="1" applyFill="1" applyBorder="1" applyAlignment="1">
      <alignment horizontal="center" vertical="center" wrapText="1"/>
    </xf>
    <xf numFmtId="0" fontId="23" fillId="3" borderId="37" xfId="11" applyFont="1" applyFill="1" applyBorder="1" applyAlignment="1">
      <alignment horizontal="center" vertical="center" wrapText="1"/>
    </xf>
    <xf numFmtId="0" fontId="22" fillId="3" borderId="37" xfId="11" applyFont="1" applyFill="1" applyBorder="1" applyAlignment="1">
      <alignment horizontal="center" vertical="center" wrapText="1"/>
    </xf>
    <xf numFmtId="1" fontId="23" fillId="3" borderId="37" xfId="11" applyNumberFormat="1" applyFont="1" applyFill="1" applyBorder="1" applyAlignment="1">
      <alignment horizontal="center" vertical="center" wrapText="1"/>
    </xf>
    <xf numFmtId="1" fontId="22" fillId="8" borderId="37" xfId="8" applyNumberFormat="1" applyFont="1" applyFill="1" applyBorder="1" applyAlignment="1">
      <alignment horizontal="center" vertical="center" wrapText="1"/>
    </xf>
    <xf numFmtId="1" fontId="22" fillId="0" borderId="37" xfId="11" applyNumberFormat="1" applyFont="1" applyFill="1" applyBorder="1" applyAlignment="1">
      <alignment horizontal="center" vertical="center" wrapText="1"/>
    </xf>
    <xf numFmtId="0" fontId="23" fillId="3" borderId="34" xfId="11" applyFont="1" applyFill="1" applyBorder="1" applyAlignment="1">
      <alignment horizontal="center" vertical="center" wrapText="1"/>
    </xf>
    <xf numFmtId="1" fontId="23" fillId="3" borderId="34" xfId="11" applyNumberFormat="1" applyFont="1" applyFill="1" applyBorder="1" applyAlignment="1">
      <alignment horizontal="center" vertical="center" wrapText="1"/>
    </xf>
    <xf numFmtId="1" fontId="13" fillId="2" borderId="1" xfId="1" applyNumberFormat="1" applyFont="1" applyFill="1" applyBorder="1" applyAlignment="1" applyProtection="1">
      <alignment horizontal="center" vertical="center" wrapText="1"/>
    </xf>
    <xf numFmtId="0" fontId="1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3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12" fillId="0" borderId="1" xfId="1" applyNumberFormat="1" applyFont="1" applyFill="1" applyBorder="1" applyAlignment="1" applyProtection="1">
      <alignment horizontal="center" vertical="center" wrapText="1"/>
    </xf>
    <xf numFmtId="0" fontId="13" fillId="0" borderId="5" xfId="1" applyNumberFormat="1" applyFont="1" applyFill="1" applyBorder="1" applyAlignment="1" applyProtection="1">
      <alignment horizontal="center" vertical="center" wrapText="1"/>
      <protection locked="0"/>
    </xf>
    <xf numFmtId="1" fontId="24" fillId="0" borderId="1" xfId="1" applyNumberFormat="1" applyFont="1" applyFill="1" applyBorder="1" applyAlignment="1" applyProtection="1">
      <alignment horizontal="center" vertical="center" wrapText="1"/>
    </xf>
    <xf numFmtId="0" fontId="13" fillId="3" borderId="1" xfId="1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4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2" fillId="3" borderId="1" xfId="1" applyNumberFormat="1" applyFont="1" applyFill="1" applyBorder="1" applyAlignment="1" applyProtection="1">
      <alignment vertical="center" wrapText="1"/>
    </xf>
    <xf numFmtId="1" fontId="12" fillId="3" borderId="3" xfId="1" applyNumberFormat="1" applyFont="1" applyFill="1" applyBorder="1" applyAlignment="1" applyProtection="1">
      <alignment vertical="center" wrapText="1"/>
    </xf>
    <xf numFmtId="0" fontId="13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25" fillId="0" borderId="1" xfId="1" applyNumberFormat="1" applyFont="1" applyFill="1" applyBorder="1" applyAlignment="1" applyProtection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0" fontId="25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1" applyNumberFormat="1" applyFont="1" applyFill="1" applyBorder="1" applyAlignment="1" applyProtection="1">
      <alignment horizontal="center" vertical="center" wrapText="1"/>
    </xf>
    <xf numFmtId="0" fontId="14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4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NumberFormat="1" applyFont="1" applyFill="1" applyAlignment="1">
      <alignment horizontal="center" vertical="center" wrapText="1"/>
    </xf>
    <xf numFmtId="0" fontId="13" fillId="3" borderId="0" xfId="1" applyNumberFormat="1" applyFont="1" applyFill="1" applyBorder="1" applyAlignment="1">
      <alignment horizontal="center" vertical="center" wrapText="1"/>
    </xf>
    <xf numFmtId="0" fontId="24" fillId="0" borderId="1" xfId="1" applyNumberFormat="1" applyFont="1" applyFill="1" applyBorder="1" applyAlignment="1">
      <alignment horizontal="center" vertical="center" wrapText="1"/>
    </xf>
    <xf numFmtId="0" fontId="25" fillId="0" borderId="1" xfId="1" applyNumberFormat="1" applyFont="1" applyFill="1" applyBorder="1" applyAlignment="1">
      <alignment horizontal="center" vertical="center" wrapText="1"/>
    </xf>
    <xf numFmtId="0" fontId="25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3" xfId="1" applyNumberFormat="1" applyFont="1" applyFill="1" applyBorder="1" applyAlignment="1">
      <alignment horizontal="center" vertical="center" wrapText="1"/>
    </xf>
    <xf numFmtId="1" fontId="13" fillId="3" borderId="1" xfId="1" applyNumberFormat="1" applyFont="1" applyFill="1" applyBorder="1" applyAlignment="1" applyProtection="1">
      <alignment horizontal="center" vertical="center" wrapText="1"/>
    </xf>
    <xf numFmtId="1" fontId="14" fillId="3" borderId="1" xfId="1" applyNumberFormat="1" applyFont="1" applyFill="1" applyBorder="1" applyAlignment="1" applyProtection="1">
      <alignment horizontal="center" vertical="center" wrapText="1"/>
    </xf>
    <xf numFmtId="0" fontId="14" fillId="3" borderId="3" xfId="1" applyNumberFormat="1" applyFont="1" applyFill="1" applyBorder="1" applyAlignment="1">
      <alignment horizontal="center" vertical="center" wrapText="1"/>
    </xf>
    <xf numFmtId="0" fontId="14" fillId="0" borderId="1" xfId="2" applyNumberFormat="1" applyFont="1" applyFill="1" applyBorder="1" applyAlignment="1">
      <alignment horizontal="center" vertical="center" wrapText="1"/>
    </xf>
    <xf numFmtId="0" fontId="25" fillId="3" borderId="3" xfId="1" applyNumberFormat="1" applyFont="1" applyFill="1" applyBorder="1" applyAlignment="1">
      <alignment horizontal="center" vertical="center" wrapText="1"/>
    </xf>
    <xf numFmtId="1" fontId="13" fillId="3" borderId="1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0" fontId="12" fillId="0" borderId="0" xfId="2" applyNumberFormat="1" applyFont="1" applyFill="1" applyBorder="1" applyAlignment="1">
      <alignment horizontal="center" vertical="center" wrapText="1"/>
    </xf>
    <xf numFmtId="0" fontId="25" fillId="0" borderId="1" xfId="2" applyNumberFormat="1" applyFont="1" applyFill="1" applyBorder="1" applyAlignment="1">
      <alignment horizontal="center" vertical="center" wrapText="1"/>
    </xf>
    <xf numFmtId="0" fontId="12" fillId="0" borderId="1" xfId="1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3" xfId="1" applyNumberFormat="1" applyFont="1" applyFill="1" applyBorder="1" applyAlignment="1">
      <alignment horizontal="center" vertical="center" wrapText="1"/>
    </xf>
    <xf numFmtId="1" fontId="13" fillId="3" borderId="1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 wrapText="1"/>
    </xf>
    <xf numFmtId="0" fontId="12" fillId="0" borderId="0" xfId="1" applyNumberFormat="1" applyFont="1" applyFill="1" applyBorder="1" applyAlignment="1">
      <alignment horizontal="center" vertical="center" wrapText="1"/>
    </xf>
    <xf numFmtId="0" fontId="14" fillId="0" borderId="1" xfId="1" applyNumberFormat="1" applyFont="1" applyFill="1" applyBorder="1" applyAlignment="1">
      <alignment horizontal="center" vertical="center" wrapText="1"/>
    </xf>
    <xf numFmtId="1" fontId="25" fillId="0" borderId="1" xfId="1" applyNumberFormat="1" applyFont="1" applyFill="1" applyBorder="1" applyAlignment="1">
      <alignment horizontal="center" vertical="center" wrapText="1"/>
    </xf>
    <xf numFmtId="1" fontId="12" fillId="3" borderId="1" xfId="1" applyNumberFormat="1" applyFont="1" applyFill="1" applyBorder="1" applyAlignment="1" applyProtection="1">
      <alignment horizontal="center" vertical="center" wrapText="1"/>
    </xf>
    <xf numFmtId="1" fontId="12" fillId="3" borderId="1" xfId="1" applyNumberFormat="1" applyFont="1" applyFill="1" applyBorder="1" applyAlignment="1">
      <alignment horizontal="center" vertical="center" wrapText="1"/>
    </xf>
    <xf numFmtId="1" fontId="12" fillId="0" borderId="1" xfId="1" applyNumberFormat="1" applyFont="1" applyFill="1" applyBorder="1" applyAlignment="1">
      <alignment horizontal="center" vertical="center" wrapText="1"/>
    </xf>
    <xf numFmtId="49" fontId="12" fillId="3" borderId="0" xfId="0" applyNumberFormat="1" applyFont="1" applyFill="1" applyBorder="1" applyAlignment="1">
      <alignment horizontal="center" vertical="center" wrapText="1"/>
    </xf>
    <xf numFmtId="0" fontId="13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0" xfId="2" applyNumberFormat="1" applyFont="1" applyFill="1" applyBorder="1" applyAlignment="1">
      <alignment horizontal="center" vertical="center" wrapText="1"/>
    </xf>
    <xf numFmtId="0" fontId="13" fillId="3" borderId="11" xfId="1" applyNumberFormat="1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2" fillId="0" borderId="11" xfId="1" applyNumberFormat="1" applyFont="1" applyFill="1" applyBorder="1" applyAlignment="1">
      <alignment horizontal="center" vertical="center" wrapText="1"/>
    </xf>
    <xf numFmtId="0" fontId="13" fillId="3" borderId="4" xfId="1" applyNumberFormat="1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25" fillId="0" borderId="4" xfId="1" applyNumberFormat="1" applyFont="1" applyFill="1" applyBorder="1" applyAlignment="1">
      <alignment horizontal="center" vertical="center" wrapText="1"/>
    </xf>
    <xf numFmtId="0" fontId="13" fillId="3" borderId="14" xfId="1" applyNumberFormat="1" applyFont="1" applyFill="1" applyBorder="1" applyAlignment="1">
      <alignment horizontal="center" vertical="center" wrapText="1"/>
    </xf>
    <xf numFmtId="0" fontId="12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4" xfId="1" applyNumberFormat="1" applyFont="1" applyFill="1" applyBorder="1" applyAlignment="1">
      <alignment horizontal="center" vertical="center" wrapText="1"/>
    </xf>
    <xf numFmtId="1" fontId="24" fillId="3" borderId="1" xfId="1" applyNumberFormat="1" applyFont="1" applyFill="1" applyBorder="1" applyAlignment="1" applyProtection="1">
      <alignment horizontal="center" vertical="center" wrapText="1"/>
    </xf>
    <xf numFmtId="0" fontId="24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24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4" xfId="1" applyNumberFormat="1" applyFont="1" applyFill="1" applyBorder="1" applyAlignment="1" applyProtection="1">
      <alignment horizontal="center" vertical="center" wrapText="1"/>
      <protection locked="0"/>
    </xf>
    <xf numFmtId="49" fontId="13" fillId="3" borderId="0" xfId="2" applyNumberFormat="1" applyFont="1" applyFill="1" applyBorder="1" applyAlignment="1">
      <alignment horizontal="center" vertical="center" wrapText="1"/>
    </xf>
    <xf numFmtId="0" fontId="12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1" applyNumberFormat="1" applyFont="1" applyFill="1" applyBorder="1" applyAlignment="1">
      <alignment horizontal="center" vertical="center" wrapText="1"/>
    </xf>
    <xf numFmtId="0" fontId="12" fillId="0" borderId="5" xfId="1" applyNumberFormat="1" applyFont="1" applyFill="1" applyBorder="1" applyAlignment="1">
      <alignment horizontal="center" vertical="center" wrapText="1"/>
    </xf>
    <xf numFmtId="0" fontId="12" fillId="0" borderId="3" xfId="1" applyNumberFormat="1" applyFont="1" applyFill="1" applyBorder="1" applyAlignment="1">
      <alignment horizontal="center" vertical="center" wrapText="1"/>
    </xf>
    <xf numFmtId="0" fontId="12" fillId="0" borderId="14" xfId="1" applyNumberFormat="1" applyFont="1" applyFill="1" applyBorder="1" applyAlignment="1">
      <alignment horizontal="center" vertical="center" wrapText="1"/>
    </xf>
    <xf numFmtId="1" fontId="26" fillId="3" borderId="1" xfId="1" applyNumberFormat="1" applyFont="1" applyFill="1" applyBorder="1" applyAlignment="1" applyProtection="1">
      <alignment horizontal="center" vertical="center" wrapText="1"/>
    </xf>
    <xf numFmtId="0" fontId="25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24" fillId="3" borderId="0" xfId="1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1" applyNumberFormat="1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1" fontId="24" fillId="0" borderId="1" xfId="1" applyNumberFormat="1" applyFont="1" applyFill="1" applyBorder="1" applyAlignment="1">
      <alignment horizontal="center" vertical="center" wrapText="1"/>
    </xf>
    <xf numFmtId="0" fontId="16" fillId="0" borderId="1" xfId="0" applyFont="1" applyBorder="1"/>
    <xf numFmtId="0" fontId="12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Border="1"/>
    <xf numFmtId="0" fontId="16" fillId="0" borderId="4" xfId="0" applyFont="1" applyBorder="1"/>
    <xf numFmtId="0" fontId="16" fillId="0" borderId="11" xfId="0" applyFont="1" applyBorder="1"/>
    <xf numFmtId="0" fontId="16" fillId="0" borderId="9" xfId="0" applyFont="1" applyBorder="1"/>
    <xf numFmtId="0" fontId="16" fillId="0" borderId="3" xfId="0" applyFont="1" applyBorder="1"/>
    <xf numFmtId="0" fontId="28" fillId="3" borderId="1" xfId="0" applyFont="1" applyFill="1" applyBorder="1" applyAlignment="1">
      <alignment horizontal="center" vertical="center" wrapText="1"/>
    </xf>
    <xf numFmtId="1" fontId="12" fillId="3" borderId="5" xfId="1" applyNumberFormat="1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1" xfId="1" applyNumberFormat="1" applyFont="1" applyFill="1" applyBorder="1" applyAlignment="1">
      <alignment horizontal="center" vertical="center" wrapText="1"/>
    </xf>
    <xf numFmtId="0" fontId="2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2" borderId="1" xfId="0" applyNumberFormat="1" applyFont="1" applyFill="1" applyBorder="1" applyAlignment="1" applyProtection="1">
      <alignment horizontal="center" vertical="center" textRotation="90" wrapText="1"/>
      <protection locked="0"/>
    </xf>
    <xf numFmtId="49" fontId="28" fillId="2" borderId="1" xfId="1" applyNumberFormat="1" applyFont="1" applyFill="1" applyBorder="1" applyAlignment="1" applyProtection="1">
      <alignment horizontal="center" vertical="center" wrapText="1"/>
    </xf>
    <xf numFmtId="0" fontId="28" fillId="2" borderId="1" xfId="0" applyFont="1" applyFill="1" applyBorder="1" applyAlignment="1" applyProtection="1">
      <alignment horizontal="center" vertical="center" wrapText="1"/>
      <protection locked="0"/>
    </xf>
    <xf numFmtId="0" fontId="28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1" xfId="1" applyNumberFormat="1" applyFont="1" applyFill="1" applyBorder="1" applyAlignment="1" applyProtection="1">
      <alignment horizontal="center" vertical="center" wrapText="1"/>
    </xf>
    <xf numFmtId="49" fontId="30" fillId="2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28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1" xfId="0" applyNumberFormat="1" applyFont="1" applyFill="1" applyBorder="1" applyAlignment="1">
      <alignment horizontal="center" vertical="center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1" fillId="3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 applyProtection="1">
      <alignment horizontal="center" vertical="center" wrapText="1"/>
    </xf>
    <xf numFmtId="49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8" fillId="2" borderId="1" xfId="1" applyNumberFormat="1" applyFont="1" applyFill="1" applyBorder="1" applyAlignment="1" applyProtection="1">
      <alignment horizontal="center" vertical="center" wrapText="1"/>
    </xf>
    <xf numFmtId="49" fontId="28" fillId="3" borderId="5" xfId="1" applyNumberFormat="1" applyFont="1" applyFill="1" applyBorder="1" applyAlignment="1" applyProtection="1">
      <alignment horizontal="center" vertical="center" wrapText="1"/>
    </xf>
    <xf numFmtId="0" fontId="28" fillId="3" borderId="5" xfId="2" applyFont="1" applyFill="1" applyBorder="1" applyAlignment="1">
      <alignment horizontal="center" vertical="center" wrapText="1"/>
    </xf>
    <xf numFmtId="0" fontId="28" fillId="3" borderId="5" xfId="1" applyNumberFormat="1" applyFont="1" applyFill="1" applyBorder="1" applyAlignment="1" applyProtection="1">
      <alignment horizontal="center" vertical="center" wrapText="1"/>
    </xf>
    <xf numFmtId="0" fontId="30" fillId="3" borderId="5" xfId="0" applyFont="1" applyFill="1" applyBorder="1" applyAlignment="1">
      <alignment horizontal="center" vertical="center"/>
    </xf>
    <xf numFmtId="0" fontId="28" fillId="0" borderId="5" xfId="1" applyNumberFormat="1" applyFont="1" applyFill="1" applyBorder="1" applyAlignment="1">
      <alignment horizontal="left" vertical="center" wrapText="1"/>
    </xf>
    <xf numFmtId="0" fontId="28" fillId="3" borderId="5" xfId="0" applyFont="1" applyFill="1" applyBorder="1" applyAlignment="1">
      <alignment horizontal="center" vertical="center" wrapText="1"/>
    </xf>
    <xf numFmtId="14" fontId="28" fillId="3" borderId="5" xfId="0" applyNumberFormat="1" applyFont="1" applyFill="1" applyBorder="1" applyAlignment="1">
      <alignment horizontal="center" vertical="center" wrapText="1"/>
    </xf>
    <xf numFmtId="164" fontId="28" fillId="3" borderId="5" xfId="0" applyNumberFormat="1" applyFont="1" applyFill="1" applyBorder="1" applyAlignment="1">
      <alignment horizontal="center" vertical="center" wrapText="1"/>
    </xf>
    <xf numFmtId="0" fontId="28" fillId="3" borderId="5" xfId="0" applyNumberFormat="1" applyFont="1" applyFill="1" applyBorder="1" applyAlignment="1">
      <alignment horizontal="center" vertical="center" wrapText="1"/>
    </xf>
    <xf numFmtId="49" fontId="31" fillId="3" borderId="5" xfId="0" applyNumberFormat="1" applyFont="1" applyFill="1" applyBorder="1" applyAlignment="1">
      <alignment horizontal="center" vertical="center" wrapText="1"/>
    </xf>
    <xf numFmtId="14" fontId="28" fillId="3" borderId="5" xfId="1" applyNumberFormat="1" applyFont="1" applyFill="1" applyBorder="1" applyAlignment="1" applyProtection="1">
      <alignment horizontal="center" vertical="center" wrapText="1"/>
    </xf>
    <xf numFmtId="0" fontId="28" fillId="3" borderId="5" xfId="1" applyNumberFormat="1" applyFont="1" applyFill="1" applyBorder="1" applyAlignment="1" applyProtection="1">
      <alignment horizontal="center" vertical="center" wrapText="1"/>
      <protection locked="0"/>
    </xf>
    <xf numFmtId="49" fontId="28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32" fillId="3" borderId="3" xfId="1" applyNumberFormat="1" applyFont="1" applyFill="1" applyBorder="1" applyAlignment="1">
      <alignment horizontal="left" vertical="center" wrapText="1"/>
    </xf>
    <xf numFmtId="0" fontId="28" fillId="3" borderId="1" xfId="1" applyNumberFormat="1" applyFont="1" applyFill="1" applyBorder="1" applyAlignment="1">
      <alignment horizontal="center" vertical="center" wrapText="1"/>
    </xf>
    <xf numFmtId="0" fontId="32" fillId="3" borderId="1" xfId="1" applyNumberFormat="1" applyFont="1" applyFill="1" applyBorder="1" applyAlignment="1">
      <alignment horizontal="center" vertical="center" wrapText="1"/>
    </xf>
    <xf numFmtId="49" fontId="32" fillId="3" borderId="1" xfId="1" applyNumberFormat="1" applyFont="1" applyFill="1" applyBorder="1" applyAlignment="1" applyProtection="1">
      <alignment horizontal="center" vertical="center" wrapText="1"/>
    </xf>
    <xf numFmtId="0" fontId="32" fillId="3" borderId="1" xfId="1" applyFont="1" applyFill="1" applyBorder="1" applyAlignment="1">
      <alignment horizontal="center" vertical="center" wrapText="1"/>
    </xf>
    <xf numFmtId="0" fontId="28" fillId="3" borderId="1" xfId="0" applyNumberFormat="1" applyFont="1" applyFill="1" applyBorder="1" applyAlignment="1">
      <alignment horizontal="center" vertical="center" wrapText="1"/>
    </xf>
    <xf numFmtId="14" fontId="28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0" fontId="32" fillId="3" borderId="2" xfId="1" applyNumberFormat="1" applyFont="1" applyFill="1" applyBorder="1" applyAlignment="1">
      <alignment horizontal="center" vertical="center" wrapText="1"/>
    </xf>
    <xf numFmtId="0" fontId="32" fillId="0" borderId="1" xfId="1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14" fontId="28" fillId="0" borderId="1" xfId="0" applyNumberFormat="1" applyFont="1" applyFill="1" applyBorder="1" applyAlignment="1">
      <alignment horizontal="center" vertical="center" wrapText="1"/>
    </xf>
    <xf numFmtId="0" fontId="28" fillId="3" borderId="1" xfId="1" applyNumberFormat="1" applyFont="1" applyFill="1" applyBorder="1" applyAlignment="1" applyProtection="1">
      <alignment horizontal="center" vertical="center" wrapText="1"/>
      <protection locked="0"/>
    </xf>
    <xf numFmtId="49" fontId="28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32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1" xfId="1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14" fontId="28" fillId="3" borderId="1" xfId="1" applyNumberFormat="1" applyFont="1" applyFill="1" applyBorder="1" applyAlignment="1">
      <alignment horizontal="center" vertical="center" wrapText="1"/>
    </xf>
    <xf numFmtId="0" fontId="32" fillId="3" borderId="1" xfId="1" applyNumberFormat="1" applyFont="1" applyFill="1" applyBorder="1" applyAlignment="1">
      <alignment horizontal="left" vertical="center" wrapText="1"/>
    </xf>
    <xf numFmtId="0" fontId="28" fillId="3" borderId="3" xfId="1" applyNumberFormat="1" applyFont="1" applyFill="1" applyBorder="1" applyAlignment="1">
      <alignment horizontal="left" vertical="center" wrapText="1"/>
    </xf>
    <xf numFmtId="49" fontId="28" fillId="3" borderId="1" xfId="1" applyNumberFormat="1" applyFont="1" applyFill="1" applyBorder="1" applyAlignment="1" applyProtection="1">
      <alignment horizontal="center" vertical="center" wrapText="1"/>
    </xf>
    <xf numFmtId="0" fontId="28" fillId="3" borderId="1" xfId="1" applyFont="1" applyFill="1" applyBorder="1" applyAlignment="1">
      <alignment horizontal="center" vertical="center" wrapText="1"/>
    </xf>
    <xf numFmtId="0" fontId="28" fillId="3" borderId="11" xfId="1" applyNumberFormat="1" applyFont="1" applyFill="1" applyBorder="1" applyAlignment="1" applyProtection="1">
      <alignment horizontal="center" vertical="center" wrapText="1"/>
    </xf>
    <xf numFmtId="0" fontId="28" fillId="3" borderId="11" xfId="0" applyNumberFormat="1" applyFont="1" applyFill="1" applyBorder="1" applyAlignment="1">
      <alignment horizontal="center" vertical="center" wrapText="1"/>
    </xf>
    <xf numFmtId="0" fontId="28" fillId="0" borderId="11" xfId="1" applyNumberFormat="1" applyFont="1" applyFill="1" applyBorder="1" applyAlignment="1" applyProtection="1">
      <alignment horizontal="center" vertical="center" wrapText="1"/>
    </xf>
    <xf numFmtId="0" fontId="30" fillId="3" borderId="11" xfId="0" applyFont="1" applyFill="1" applyBorder="1" applyAlignment="1">
      <alignment horizontal="center" vertical="center"/>
    </xf>
    <xf numFmtId="0" fontId="28" fillId="3" borderId="12" xfId="1" applyNumberFormat="1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14" fontId="28" fillId="3" borderId="1" xfId="1" applyNumberFormat="1" applyFont="1" applyFill="1" applyBorder="1" applyAlignment="1" applyProtection="1">
      <alignment horizontal="center" vertical="center" wrapText="1"/>
    </xf>
    <xf numFmtId="1" fontId="31" fillId="3" borderId="5" xfId="1" applyNumberFormat="1" applyFont="1" applyFill="1" applyBorder="1" applyAlignment="1" applyProtection="1">
      <alignment vertical="center" wrapText="1"/>
    </xf>
    <xf numFmtId="1" fontId="31" fillId="3" borderId="5" xfId="1" applyNumberFormat="1" applyFont="1" applyFill="1" applyBorder="1" applyAlignment="1" applyProtection="1">
      <alignment horizontal="center" vertical="center" wrapText="1"/>
    </xf>
    <xf numFmtId="1" fontId="31" fillId="3" borderId="0" xfId="1" applyNumberFormat="1" applyFont="1" applyFill="1" applyBorder="1" applyAlignment="1" applyProtection="1">
      <alignment vertical="center" wrapText="1"/>
    </xf>
    <xf numFmtId="0" fontId="30" fillId="3" borderId="0" xfId="0" applyFont="1" applyFill="1" applyBorder="1" applyAlignment="1">
      <alignment horizontal="center" vertical="center"/>
    </xf>
    <xf numFmtId="0" fontId="28" fillId="0" borderId="0" xfId="1" applyNumberFormat="1" applyFont="1" applyFill="1" applyBorder="1" applyAlignment="1">
      <alignment horizontal="left" vertical="center" wrapText="1"/>
    </xf>
    <xf numFmtId="0" fontId="28" fillId="0" borderId="1" xfId="1" applyNumberFormat="1" applyFont="1" applyFill="1" applyBorder="1" applyAlignment="1">
      <alignment horizontal="left" vertical="center" wrapText="1"/>
    </xf>
    <xf numFmtId="0" fontId="28" fillId="3" borderId="4" xfId="0" applyNumberFormat="1" applyFont="1" applyFill="1" applyBorder="1" applyAlignment="1">
      <alignment horizontal="center" vertical="center" wrapText="1"/>
    </xf>
    <xf numFmtId="0" fontId="28" fillId="0" borderId="4" xfId="1" applyNumberFormat="1" applyFont="1" applyFill="1" applyBorder="1" applyAlignment="1" applyProtection="1">
      <alignment horizontal="center" vertical="center" wrapText="1"/>
    </xf>
    <xf numFmtId="0" fontId="30" fillId="3" borderId="4" xfId="0" applyFont="1" applyFill="1" applyBorder="1" applyAlignment="1">
      <alignment horizontal="center" vertical="center"/>
    </xf>
    <xf numFmtId="14" fontId="28" fillId="0" borderId="13" xfId="0" applyNumberFormat="1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28" fillId="0" borderId="1" xfId="1" applyNumberFormat="1" applyFont="1" applyFill="1" applyBorder="1" applyAlignment="1">
      <alignment horizontal="center" vertical="center" wrapText="1"/>
    </xf>
    <xf numFmtId="0" fontId="28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28" fillId="3" borderId="1" xfId="1" applyNumberFormat="1" applyFont="1" applyFill="1" applyBorder="1" applyAlignment="1">
      <alignment horizontal="center" vertical="center" wrapText="1"/>
    </xf>
    <xf numFmtId="0" fontId="33" fillId="3" borderId="0" xfId="0" applyFont="1" applyFill="1" applyBorder="1" applyAlignment="1">
      <alignment horizontal="center" vertical="center" wrapText="1"/>
    </xf>
    <xf numFmtId="14" fontId="28" fillId="0" borderId="1" xfId="1" applyNumberFormat="1" applyFont="1" applyFill="1" applyBorder="1" applyAlignment="1" applyProtection="1">
      <alignment horizontal="center" vertical="center" wrapText="1"/>
    </xf>
    <xf numFmtId="0" fontId="30" fillId="3" borderId="1" xfId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14" fontId="31" fillId="3" borderId="1" xfId="0" applyNumberFormat="1" applyFont="1" applyFill="1" applyBorder="1" applyAlignment="1">
      <alignment horizontal="center" vertical="center" wrapText="1"/>
    </xf>
    <xf numFmtId="0" fontId="33" fillId="3" borderId="3" xfId="1" applyNumberFormat="1" applyFont="1" applyFill="1" applyBorder="1" applyAlignment="1">
      <alignment horizontal="left" vertical="center" wrapText="1"/>
    </xf>
    <xf numFmtId="0" fontId="33" fillId="3" borderId="1" xfId="1" applyNumberFormat="1" applyFont="1" applyFill="1" applyBorder="1" applyAlignment="1">
      <alignment horizontal="center" vertical="center" wrapText="1"/>
    </xf>
    <xf numFmtId="49" fontId="33" fillId="3" borderId="1" xfId="1" applyNumberFormat="1" applyFont="1" applyFill="1" applyBorder="1" applyAlignment="1" applyProtection="1">
      <alignment horizontal="center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34" fillId="3" borderId="1" xfId="1" applyFont="1" applyFill="1" applyBorder="1" applyAlignment="1">
      <alignment horizontal="center" vertical="center"/>
    </xf>
    <xf numFmtId="0" fontId="33" fillId="3" borderId="2" xfId="1" applyNumberFormat="1" applyFont="1" applyFill="1" applyBorder="1" applyAlignment="1">
      <alignment horizontal="center" vertical="center" wrapText="1"/>
    </xf>
    <xf numFmtId="49" fontId="28" fillId="3" borderId="1" xfId="0" applyNumberFormat="1" applyFont="1" applyFill="1" applyBorder="1" applyAlignment="1">
      <alignment horizontal="center" vertical="center" wrapText="1"/>
    </xf>
    <xf numFmtId="49" fontId="28" fillId="3" borderId="1" xfId="3" applyNumberFormat="1" applyFont="1" applyFill="1" applyBorder="1" applyAlignment="1">
      <alignment horizontal="center" vertical="center" wrapText="1"/>
    </xf>
    <xf numFmtId="0" fontId="33" fillId="3" borderId="1" xfId="0" applyNumberFormat="1" applyFont="1" applyFill="1" applyBorder="1" applyAlignment="1">
      <alignment horizontal="center" vertical="center" wrapText="1"/>
    </xf>
    <xf numFmtId="0" fontId="31" fillId="3" borderId="1" xfId="0" applyNumberFormat="1" applyFont="1" applyFill="1" applyBorder="1" applyAlignment="1">
      <alignment horizontal="center" vertical="center" wrapText="1"/>
    </xf>
    <xf numFmtId="49" fontId="35" fillId="3" borderId="1" xfId="0" applyNumberFormat="1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left" vertical="center" wrapText="1"/>
    </xf>
    <xf numFmtId="0" fontId="28" fillId="3" borderId="1" xfId="2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14" fontId="31" fillId="0" borderId="1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8" fillId="0" borderId="5" xfId="1" applyNumberFormat="1" applyFont="1" applyFill="1" applyBorder="1" applyAlignment="1" applyProtection="1">
      <alignment horizontal="center" vertical="center" wrapText="1"/>
    </xf>
    <xf numFmtId="14" fontId="28" fillId="0" borderId="5" xfId="0" applyNumberFormat="1" applyFont="1" applyFill="1" applyBorder="1" applyAlignment="1">
      <alignment horizontal="center" vertical="center" wrapText="1"/>
    </xf>
    <xf numFmtId="0" fontId="37" fillId="3" borderId="3" xfId="1" applyNumberFormat="1" applyFont="1" applyFill="1" applyBorder="1" applyAlignment="1">
      <alignment horizontal="left" vertical="center" wrapText="1"/>
    </xf>
    <xf numFmtId="0" fontId="37" fillId="3" borderId="1" xfId="1" applyNumberFormat="1" applyFont="1" applyFill="1" applyBorder="1" applyAlignment="1">
      <alignment horizontal="center" vertical="center" wrapText="1"/>
    </xf>
    <xf numFmtId="49" fontId="37" fillId="3" borderId="1" xfId="1" applyNumberFormat="1" applyFont="1" applyFill="1" applyBorder="1" applyAlignment="1" applyProtection="1">
      <alignment horizontal="center" vertical="center" wrapText="1"/>
    </xf>
    <xf numFmtId="0" fontId="37" fillId="3" borderId="1" xfId="1" applyFont="1" applyFill="1" applyBorder="1" applyAlignment="1">
      <alignment horizontal="center" vertical="center" wrapText="1"/>
    </xf>
    <xf numFmtId="0" fontId="37" fillId="3" borderId="2" xfId="1" applyNumberFormat="1" applyFont="1" applyFill="1" applyBorder="1" applyAlignment="1">
      <alignment horizontal="center" vertical="center" wrapText="1"/>
    </xf>
    <xf numFmtId="0" fontId="37" fillId="0" borderId="1" xfId="1" applyNumberFormat="1" applyFont="1" applyFill="1" applyBorder="1" applyAlignment="1">
      <alignment horizontal="left" vertical="center" wrapText="1"/>
    </xf>
    <xf numFmtId="0" fontId="37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5" xfId="0" applyFont="1" applyFill="1" applyBorder="1" applyAlignment="1">
      <alignment horizontal="center" vertical="center" wrapText="1"/>
    </xf>
    <xf numFmtId="0" fontId="32" fillId="3" borderId="1" xfId="2" applyFont="1" applyFill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/>
    </xf>
    <xf numFmtId="0" fontId="32" fillId="3" borderId="2" xfId="2" applyFont="1" applyFill="1" applyBorder="1" applyAlignment="1">
      <alignment horizontal="center" vertical="center" wrapText="1"/>
    </xf>
    <xf numFmtId="49" fontId="28" fillId="0" borderId="1" xfId="1" applyNumberFormat="1" applyFont="1" applyFill="1" applyBorder="1" applyAlignment="1">
      <alignment horizontal="center" vertical="center" wrapText="1"/>
    </xf>
    <xf numFmtId="0" fontId="37" fillId="3" borderId="1" xfId="2" applyFont="1" applyFill="1" applyBorder="1" applyAlignment="1">
      <alignment horizontal="center" vertical="center" wrapText="1"/>
    </xf>
    <xf numFmtId="0" fontId="28" fillId="3" borderId="5" xfId="1" applyNumberFormat="1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center" vertical="center"/>
    </xf>
    <xf numFmtId="0" fontId="32" fillId="0" borderId="2" xfId="1" applyNumberFormat="1" applyFont="1" applyFill="1" applyBorder="1" applyAlignment="1">
      <alignment horizontal="center" vertical="center" wrapText="1"/>
    </xf>
    <xf numFmtId="14" fontId="28" fillId="0" borderId="1" xfId="1" applyNumberFormat="1" applyFont="1" applyFill="1" applyBorder="1" applyAlignment="1">
      <alignment horizontal="center" vertical="center" wrapText="1"/>
    </xf>
    <xf numFmtId="49" fontId="28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0" xfId="1" applyNumberFormat="1" applyFont="1" applyFill="1" applyBorder="1" applyAlignment="1" applyProtection="1">
      <alignment horizontal="center" vertical="center" wrapText="1"/>
    </xf>
    <xf numFmtId="0" fontId="28" fillId="0" borderId="0" xfId="1" applyNumberFormat="1" applyFont="1" applyFill="1" applyBorder="1" applyAlignment="1" applyProtection="1">
      <alignment horizontal="center" vertical="center" wrapText="1"/>
    </xf>
    <xf numFmtId="0" fontId="28" fillId="3" borderId="0" xfId="1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4" fontId="28" fillId="0" borderId="0" xfId="0" applyNumberFormat="1" applyFont="1" applyFill="1" applyBorder="1" applyAlignment="1">
      <alignment horizontal="center" vertical="center" wrapText="1"/>
    </xf>
    <xf numFmtId="0" fontId="28" fillId="3" borderId="0" xfId="0" applyFont="1" applyFill="1" applyBorder="1" applyAlignment="1">
      <alignment horizontal="center" vertical="center" wrapText="1"/>
    </xf>
    <xf numFmtId="0" fontId="28" fillId="3" borderId="1" xfId="2" applyFont="1" applyFill="1" applyBorder="1" applyAlignment="1">
      <alignment horizontal="center" vertical="center" wrapText="1"/>
    </xf>
    <xf numFmtId="0" fontId="28" fillId="3" borderId="1" xfId="2" applyNumberFormat="1" applyFont="1" applyFill="1" applyBorder="1" applyAlignment="1" applyProtection="1">
      <alignment horizontal="center" vertical="center" wrapText="1"/>
    </xf>
    <xf numFmtId="164" fontId="28" fillId="3" borderId="1" xfId="0" applyNumberFormat="1" applyFont="1" applyFill="1" applyBorder="1" applyAlignment="1">
      <alignment horizontal="center" vertical="center" wrapText="1"/>
    </xf>
    <xf numFmtId="0" fontId="32" fillId="0" borderId="1" xfId="1" applyNumberFormat="1" applyFont="1" applyFill="1" applyBorder="1" applyAlignment="1">
      <alignment horizontal="center" vertical="center" wrapText="1"/>
    </xf>
    <xf numFmtId="49" fontId="32" fillId="0" borderId="1" xfId="1" applyNumberFormat="1" applyFont="1" applyFill="1" applyBorder="1" applyAlignment="1" applyProtection="1">
      <alignment horizontal="center" vertical="center" wrapText="1"/>
    </xf>
    <xf numFmtId="0" fontId="32" fillId="0" borderId="1" xfId="1" applyFont="1" applyFill="1" applyBorder="1" applyAlignment="1">
      <alignment horizontal="center" vertical="center" wrapText="1"/>
    </xf>
    <xf numFmtId="0" fontId="32" fillId="0" borderId="3" xfId="1" applyNumberFormat="1" applyFont="1" applyFill="1" applyBorder="1" applyAlignment="1">
      <alignment horizontal="left" vertical="center" wrapText="1"/>
    </xf>
    <xf numFmtId="0" fontId="28" fillId="3" borderId="6" xfId="1" applyNumberFormat="1" applyFont="1" applyFill="1" applyBorder="1" applyAlignment="1" applyProtection="1">
      <alignment horizontal="center" vertical="center" wrapText="1"/>
    </xf>
    <xf numFmtId="0" fontId="33" fillId="0" borderId="3" xfId="1" applyNumberFormat="1" applyFont="1" applyFill="1" applyBorder="1" applyAlignment="1">
      <alignment horizontal="left" vertical="center" wrapText="1"/>
    </xf>
    <xf numFmtId="0" fontId="33" fillId="0" borderId="1" xfId="1" applyNumberFormat="1" applyFont="1" applyFill="1" applyBorder="1" applyAlignment="1">
      <alignment horizontal="center" vertical="center" wrapText="1"/>
    </xf>
    <xf numFmtId="49" fontId="33" fillId="0" borderId="1" xfId="1" applyNumberFormat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3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32" fillId="0" borderId="1" xfId="2" applyFont="1" applyFill="1" applyBorder="1" applyAlignment="1">
      <alignment horizontal="center" vertical="center" wrapText="1"/>
    </xf>
    <xf numFmtId="0" fontId="37" fillId="0" borderId="1" xfId="1" applyFont="1" applyFill="1" applyBorder="1" applyAlignment="1">
      <alignment horizontal="center" vertical="center" wrapText="1"/>
    </xf>
    <xf numFmtId="0" fontId="30" fillId="3" borderId="1" xfId="4" applyFont="1" applyFill="1" applyBorder="1" applyAlignment="1">
      <alignment horizontal="center" vertical="center"/>
    </xf>
    <xf numFmtId="0" fontId="37" fillId="0" borderId="2" xfId="1" applyNumberFormat="1" applyFont="1" applyFill="1" applyBorder="1" applyAlignment="1">
      <alignment horizontal="center" vertical="center" wrapText="1"/>
    </xf>
    <xf numFmtId="0" fontId="37" fillId="0" borderId="1" xfId="1" applyNumberFormat="1" applyFont="1" applyFill="1" applyBorder="1" applyAlignment="1">
      <alignment horizontal="center" vertical="center" wrapText="1"/>
    </xf>
    <xf numFmtId="0" fontId="37" fillId="0" borderId="1" xfId="2" applyFont="1" applyFill="1" applyBorder="1" applyAlignment="1">
      <alignment horizontal="center" vertical="center" wrapText="1"/>
    </xf>
    <xf numFmtId="0" fontId="37" fillId="0" borderId="1" xfId="2" applyNumberFormat="1" applyFont="1" applyFill="1" applyBorder="1" applyAlignment="1">
      <alignment horizontal="center" vertical="center" wrapText="1"/>
    </xf>
    <xf numFmtId="0" fontId="28" fillId="5" borderId="3" xfId="1" applyNumberFormat="1" applyFont="1" applyFill="1" applyBorder="1" applyAlignment="1">
      <alignment horizontal="left" vertical="center" wrapText="1"/>
    </xf>
    <xf numFmtId="0" fontId="28" fillId="0" borderId="1" xfId="1" applyFont="1" applyFill="1" applyBorder="1" applyAlignment="1">
      <alignment horizontal="center" vertical="center" wrapText="1"/>
    </xf>
    <xf numFmtId="0" fontId="28" fillId="2" borderId="3" xfId="1" applyNumberFormat="1" applyFont="1" applyFill="1" applyBorder="1" applyAlignment="1">
      <alignment horizontal="left" vertical="center" wrapText="1"/>
    </xf>
    <xf numFmtId="0" fontId="34" fillId="3" borderId="1" xfId="3" applyNumberFormat="1" applyFont="1" applyFill="1" applyBorder="1" applyAlignment="1">
      <alignment horizontal="center" vertical="center"/>
    </xf>
    <xf numFmtId="0" fontId="33" fillId="0" borderId="1" xfId="1" applyNumberFormat="1" applyFont="1" applyFill="1" applyBorder="1" applyAlignment="1">
      <alignment horizontal="left" vertical="center" wrapText="1"/>
    </xf>
    <xf numFmtId="0" fontId="28" fillId="0" borderId="1" xfId="2" applyNumberFormat="1" applyFont="1" applyFill="1" applyBorder="1" applyAlignment="1">
      <alignment horizontal="center" vertical="center" wrapText="1"/>
    </xf>
    <xf numFmtId="14" fontId="28" fillId="0" borderId="1" xfId="2" applyNumberFormat="1" applyFont="1" applyFill="1" applyBorder="1" applyAlignment="1">
      <alignment horizontal="center" vertical="center" wrapText="1"/>
    </xf>
    <xf numFmtId="14" fontId="28" fillId="0" borderId="1" xfId="4" applyNumberFormat="1" applyFont="1" applyFill="1" applyBorder="1" applyAlignment="1">
      <alignment horizontal="center" vertical="center" wrapText="1"/>
    </xf>
    <xf numFmtId="0" fontId="28" fillId="0" borderId="1" xfId="2" applyFont="1" applyFill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/>
    <xf numFmtId="0" fontId="35" fillId="0" borderId="1" xfId="0" applyFont="1" applyFill="1" applyBorder="1" applyAlignment="1">
      <alignment horizontal="center" vertical="center"/>
    </xf>
    <xf numFmtId="0" fontId="28" fillId="0" borderId="1" xfId="3" applyNumberFormat="1" applyFont="1" applyFill="1" applyBorder="1" applyAlignment="1">
      <alignment horizontal="center" vertical="center" wrapText="1"/>
    </xf>
    <xf numFmtId="0" fontId="28" fillId="3" borderId="6" xfId="0" applyFont="1" applyFill="1" applyBorder="1" applyAlignment="1">
      <alignment horizontal="center" vertical="center" wrapText="1"/>
    </xf>
    <xf numFmtId="0" fontId="33" fillId="3" borderId="1" xfId="2" applyFont="1" applyFill="1" applyBorder="1" applyAlignment="1">
      <alignment horizontal="center" vertical="center" wrapText="1"/>
    </xf>
    <xf numFmtId="0" fontId="33" fillId="0" borderId="1" xfId="2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/>
    </xf>
    <xf numFmtId="0" fontId="33" fillId="0" borderId="2" xfId="1" applyNumberFormat="1" applyFont="1" applyFill="1" applyBorder="1" applyAlignment="1">
      <alignment horizontal="center" vertical="center" wrapText="1"/>
    </xf>
    <xf numFmtId="0" fontId="31" fillId="3" borderId="1" xfId="0" applyFont="1" applyFill="1" applyBorder="1" applyAlignment="1"/>
    <xf numFmtId="0" fontId="33" fillId="0" borderId="1" xfId="0" applyNumberFormat="1" applyFont="1" applyFill="1" applyBorder="1" applyAlignment="1">
      <alignment horizontal="center" vertical="center" wrapText="1"/>
    </xf>
    <xf numFmtId="0" fontId="28" fillId="0" borderId="1" xfId="4" applyNumberFormat="1" applyFont="1" applyFill="1" applyBorder="1" applyAlignment="1">
      <alignment horizontal="center" vertical="center" wrapText="1"/>
    </xf>
    <xf numFmtId="49" fontId="30" fillId="3" borderId="1" xfId="6" applyNumberFormat="1" applyFont="1" applyFill="1" applyBorder="1" applyAlignment="1">
      <alignment horizontal="center" vertical="center"/>
    </xf>
    <xf numFmtId="0" fontId="28" fillId="3" borderId="3" xfId="2" applyNumberFormat="1" applyFont="1" applyFill="1" applyBorder="1" applyAlignment="1">
      <alignment horizontal="left" vertical="center" wrapText="1"/>
    </xf>
    <xf numFmtId="0" fontId="38" fillId="3" borderId="1" xfId="1" applyNumberFormat="1" applyFont="1" applyFill="1" applyBorder="1" applyAlignment="1">
      <alignment horizontal="center" vertical="center" wrapText="1"/>
    </xf>
    <xf numFmtId="0" fontId="31" fillId="0" borderId="2" xfId="0" applyNumberFormat="1" applyFont="1" applyFill="1" applyBorder="1" applyAlignment="1">
      <alignment horizontal="center" vertical="center" wrapText="1"/>
    </xf>
    <xf numFmtId="0" fontId="28" fillId="3" borderId="1" xfId="1" applyNumberFormat="1" applyFont="1" applyFill="1" applyBorder="1" applyAlignment="1">
      <alignment horizontal="left" vertical="center" wrapText="1"/>
    </xf>
    <xf numFmtId="0" fontId="30" fillId="3" borderId="0" xfId="0" applyFont="1" applyFill="1" applyBorder="1" applyAlignment="1">
      <alignment vertical="center"/>
    </xf>
    <xf numFmtId="0" fontId="30" fillId="3" borderId="5" xfId="0" applyFont="1" applyFill="1" applyBorder="1" applyAlignment="1">
      <alignment vertical="center"/>
    </xf>
    <xf numFmtId="14" fontId="28" fillId="0" borderId="1" xfId="0" applyNumberFormat="1" applyFont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49" fontId="28" fillId="3" borderId="1" xfId="2" applyNumberFormat="1" applyFont="1" applyFill="1" applyBorder="1" applyAlignment="1">
      <alignment horizontal="center" vertical="center" wrapText="1"/>
    </xf>
    <xf numFmtId="0" fontId="34" fillId="0" borderId="1" xfId="1" applyFont="1" applyFill="1" applyBorder="1" applyAlignment="1">
      <alignment horizontal="center" vertical="center"/>
    </xf>
    <xf numFmtId="0" fontId="31" fillId="0" borderId="1" xfId="0" applyFont="1" applyFill="1" applyBorder="1" applyAlignment="1"/>
    <xf numFmtId="0" fontId="39" fillId="0" borderId="1" xfId="0" applyFont="1" applyFill="1" applyBorder="1" applyAlignment="1">
      <alignment horizontal="center" vertical="center" wrapText="1"/>
    </xf>
    <xf numFmtId="0" fontId="30" fillId="3" borderId="6" xfId="0" applyFont="1" applyFill="1" applyBorder="1" applyAlignment="1">
      <alignment horizontal="center" vertical="center"/>
    </xf>
    <xf numFmtId="0" fontId="28" fillId="3" borderId="6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49" fontId="28" fillId="0" borderId="1" xfId="2" applyNumberFormat="1" applyFont="1" applyFill="1" applyBorder="1" applyAlignment="1">
      <alignment horizontal="center" vertical="center" wrapText="1"/>
    </xf>
    <xf numFmtId="0" fontId="31" fillId="0" borderId="11" xfId="0" applyNumberFormat="1" applyFont="1" applyFill="1" applyBorder="1" applyAlignment="1">
      <alignment horizontal="center" vertical="center" wrapText="1"/>
    </xf>
    <xf numFmtId="14" fontId="28" fillId="0" borderId="11" xfId="0" applyNumberFormat="1" applyFont="1" applyFill="1" applyBorder="1" applyAlignment="1">
      <alignment horizontal="center" vertical="center" wrapText="1"/>
    </xf>
    <xf numFmtId="14" fontId="31" fillId="0" borderId="11" xfId="0" applyNumberFormat="1" applyFont="1" applyFill="1" applyBorder="1" applyAlignment="1">
      <alignment horizontal="center" vertical="center" wrapText="1"/>
    </xf>
    <xf numFmtId="0" fontId="31" fillId="0" borderId="4" xfId="0" applyNumberFormat="1" applyFont="1" applyFill="1" applyBorder="1" applyAlignment="1">
      <alignment horizontal="center" vertical="center" wrapText="1"/>
    </xf>
    <xf numFmtId="14" fontId="28" fillId="0" borderId="4" xfId="0" applyNumberFormat="1" applyFont="1" applyFill="1" applyBorder="1" applyAlignment="1">
      <alignment horizontal="center" vertical="center" wrapText="1"/>
    </xf>
    <xf numFmtId="14" fontId="31" fillId="3" borderId="4" xfId="0" applyNumberFormat="1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49" fontId="31" fillId="0" borderId="1" xfId="0" applyNumberFormat="1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28" fillId="0" borderId="11" xfId="0" applyFont="1" applyBorder="1" applyAlignment="1"/>
    <xf numFmtId="14" fontId="28" fillId="3" borderId="11" xfId="0" applyNumberFormat="1" applyFont="1" applyFill="1" applyBorder="1" applyAlignment="1">
      <alignment horizontal="center" vertical="center" wrapText="1"/>
    </xf>
    <xf numFmtId="14" fontId="31" fillId="3" borderId="2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33" fillId="3" borderId="3" xfId="2" applyNumberFormat="1" applyFont="1" applyFill="1" applyBorder="1" applyAlignment="1">
      <alignment horizontal="left" vertical="center" wrapText="1"/>
    </xf>
    <xf numFmtId="0" fontId="33" fillId="3" borderId="1" xfId="2" applyNumberFormat="1" applyFont="1" applyFill="1" applyBorder="1" applyAlignment="1">
      <alignment horizontal="center" vertical="center" wrapText="1"/>
    </xf>
    <xf numFmtId="49" fontId="33" fillId="3" borderId="1" xfId="2" applyNumberFormat="1" applyFont="1" applyFill="1" applyBorder="1" applyAlignment="1" applyProtection="1">
      <alignment horizontal="center" vertical="center" wrapText="1"/>
    </xf>
    <xf numFmtId="0" fontId="28" fillId="0" borderId="1" xfId="2" applyNumberFormat="1" applyFont="1" applyFill="1" applyBorder="1" applyAlignment="1" applyProtection="1">
      <alignment horizontal="center" vertical="center" wrapText="1"/>
    </xf>
    <xf numFmtId="0" fontId="31" fillId="3" borderId="4" xfId="0" applyNumberFormat="1" applyFont="1" applyFill="1" applyBorder="1" applyAlignment="1">
      <alignment horizontal="center" vertical="center" wrapText="1"/>
    </xf>
    <xf numFmtId="49" fontId="35" fillId="3" borderId="4" xfId="0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 wrapText="1"/>
    </xf>
    <xf numFmtId="0" fontId="30" fillId="0" borderId="1" xfId="2" applyNumberFormat="1" applyFont="1" applyFill="1" applyBorder="1" applyAlignment="1">
      <alignment horizontal="center" vertical="center"/>
    </xf>
    <xf numFmtId="0" fontId="28" fillId="0" borderId="9" xfId="1" applyNumberFormat="1" applyFont="1" applyFill="1" applyBorder="1" applyAlignment="1" applyProtection="1">
      <alignment horizontal="center" vertical="center" wrapText="1"/>
    </xf>
    <xf numFmtId="0" fontId="34" fillId="3" borderId="1" xfId="1" applyNumberFormat="1" applyFont="1" applyFill="1" applyBorder="1" applyAlignment="1" applyProtection="1">
      <alignment horizontal="center" vertical="center"/>
    </xf>
    <xf numFmtId="0" fontId="28" fillId="3" borderId="4" xfId="0" applyFont="1" applyFill="1" applyBorder="1" applyAlignment="1">
      <alignment horizontal="left" vertical="center" wrapText="1"/>
    </xf>
    <xf numFmtId="0" fontId="31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1" xfId="0" applyNumberFormat="1" applyFont="1" applyFill="1" applyBorder="1" applyAlignment="1">
      <alignment horizontal="left" vertical="center" wrapText="1"/>
    </xf>
    <xf numFmtId="0" fontId="34" fillId="3" borderId="1" xfId="5" applyFont="1" applyFill="1" applyBorder="1" applyAlignment="1">
      <alignment horizontal="center" vertical="center"/>
    </xf>
    <xf numFmtId="49" fontId="28" fillId="3" borderId="1" xfId="4" applyNumberFormat="1" applyFont="1" applyFill="1" applyBorder="1" applyAlignment="1">
      <alignment horizontal="center" vertical="center" wrapText="1"/>
    </xf>
    <xf numFmtId="0" fontId="32" fillId="3" borderId="3" xfId="0" applyNumberFormat="1" applyFont="1" applyFill="1" applyBorder="1" applyAlignment="1">
      <alignment horizontal="left" vertical="center" wrapText="1"/>
    </xf>
    <xf numFmtId="0" fontId="32" fillId="3" borderId="1" xfId="0" applyNumberFormat="1" applyFont="1" applyFill="1" applyBorder="1" applyAlignment="1">
      <alignment horizontal="center" vertical="center" wrapText="1"/>
    </xf>
    <xf numFmtId="49" fontId="32" fillId="3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left" vertical="center" wrapText="1"/>
    </xf>
    <xf numFmtId="0" fontId="31" fillId="3" borderId="11" xfId="0" applyFont="1" applyFill="1" applyBorder="1" applyAlignment="1"/>
    <xf numFmtId="0" fontId="30" fillId="3" borderId="11" xfId="1" applyFont="1" applyFill="1" applyBorder="1" applyAlignment="1">
      <alignment horizontal="center" vertical="center"/>
    </xf>
    <xf numFmtId="14" fontId="31" fillId="0" borderId="1" xfId="0" applyNumberFormat="1" applyFont="1" applyBorder="1" applyAlignment="1">
      <alignment vertical="center"/>
    </xf>
    <xf numFmtId="0" fontId="35" fillId="3" borderId="11" xfId="0" applyFont="1" applyFill="1" applyBorder="1" applyAlignment="1">
      <alignment horizontal="center" vertical="center"/>
    </xf>
    <xf numFmtId="49" fontId="28" fillId="3" borderId="0" xfId="1" applyNumberFormat="1" applyFont="1" applyFill="1" applyBorder="1" applyAlignment="1" applyProtection="1">
      <alignment horizontal="center" vertical="center" wrapText="1"/>
    </xf>
    <xf numFmtId="49" fontId="28" fillId="3" borderId="15" xfId="1" applyNumberFormat="1" applyFont="1" applyFill="1" applyBorder="1" applyAlignment="1" applyProtection="1">
      <alignment horizontal="center" vertical="center" wrapText="1"/>
    </xf>
    <xf numFmtId="0" fontId="31" fillId="3" borderId="11" xfId="0" applyFont="1" applyFill="1" applyBorder="1" applyAlignment="1">
      <alignment horizontal="center" vertical="center" wrapText="1"/>
    </xf>
    <xf numFmtId="49" fontId="30" fillId="3" borderId="1" xfId="3" applyNumberFormat="1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 wrapText="1"/>
    </xf>
    <xf numFmtId="49" fontId="28" fillId="0" borderId="11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30" fillId="3" borderId="1" xfId="3" applyNumberFormat="1" applyFont="1" applyFill="1" applyBorder="1" applyAlignment="1">
      <alignment horizontal="center" vertical="center"/>
    </xf>
    <xf numFmtId="14" fontId="31" fillId="3" borderId="11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32" fillId="3" borderId="4" xfId="1" applyNumberFormat="1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32" fillId="3" borderId="1" xfId="2" applyNumberFormat="1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 applyProtection="1">
      <alignment horizontal="center" vertical="center" wrapText="1"/>
    </xf>
    <xf numFmtId="49" fontId="34" fillId="3" borderId="1" xfId="6" applyNumberFormat="1" applyFont="1" applyFill="1" applyBorder="1" applyAlignment="1">
      <alignment horizontal="center" vertical="center"/>
    </xf>
    <xf numFmtId="49" fontId="28" fillId="0" borderId="1" xfId="1" applyNumberFormat="1" applyFont="1" applyFill="1" applyBorder="1" applyAlignment="1" applyProtection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14" fontId="28" fillId="3" borderId="3" xfId="0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 wrapText="1"/>
    </xf>
    <xf numFmtId="0" fontId="28" fillId="0" borderId="4" xfId="0" applyFont="1" applyBorder="1" applyAlignment="1"/>
    <xf numFmtId="14" fontId="31" fillId="0" borderId="4" xfId="0" applyNumberFormat="1" applyFont="1" applyFill="1" applyBorder="1" applyAlignment="1">
      <alignment horizontal="center" vertical="center" wrapText="1"/>
    </xf>
    <xf numFmtId="0" fontId="31" fillId="0" borderId="12" xfId="0" applyNumberFormat="1" applyFont="1" applyFill="1" applyBorder="1" applyAlignment="1">
      <alignment horizontal="center" vertical="center" wrapText="1"/>
    </xf>
    <xf numFmtId="0" fontId="31" fillId="3" borderId="4" xfId="0" applyFont="1" applyFill="1" applyBorder="1" applyAlignment="1"/>
    <xf numFmtId="0" fontId="28" fillId="3" borderId="0" xfId="1" applyNumberFormat="1" applyFont="1" applyFill="1" applyBorder="1" applyAlignment="1">
      <alignment horizontal="left" vertical="center" wrapText="1"/>
    </xf>
    <xf numFmtId="0" fontId="28" fillId="3" borderId="0" xfId="2" applyFont="1" applyFill="1" applyBorder="1" applyAlignment="1">
      <alignment horizontal="center" vertical="center" wrapText="1"/>
    </xf>
    <xf numFmtId="14" fontId="28" fillId="3" borderId="0" xfId="0" applyNumberFormat="1" applyFont="1" applyFill="1" applyBorder="1" applyAlignment="1">
      <alignment horizontal="center" vertical="center" wrapText="1"/>
    </xf>
    <xf numFmtId="164" fontId="28" fillId="3" borderId="0" xfId="0" applyNumberFormat="1" applyFont="1" applyFill="1" applyBorder="1" applyAlignment="1">
      <alignment horizontal="center" vertical="center" wrapText="1"/>
    </xf>
    <xf numFmtId="0" fontId="28" fillId="3" borderId="0" xfId="0" applyNumberFormat="1" applyFont="1" applyFill="1" applyBorder="1" applyAlignment="1">
      <alignment horizontal="center" vertical="center" wrapText="1"/>
    </xf>
    <xf numFmtId="49" fontId="31" fillId="3" borderId="0" xfId="0" applyNumberFormat="1" applyFont="1" applyFill="1" applyBorder="1" applyAlignment="1">
      <alignment horizontal="center" vertical="center" wrapText="1"/>
    </xf>
    <xf numFmtId="14" fontId="28" fillId="3" borderId="0" xfId="1" applyNumberFormat="1" applyFont="1" applyFill="1" applyBorder="1" applyAlignment="1" applyProtection="1">
      <alignment horizontal="center" vertical="center" wrapText="1"/>
    </xf>
    <xf numFmtId="0" fontId="28" fillId="3" borderId="0" xfId="1" applyNumberFormat="1" applyFont="1" applyFill="1" applyBorder="1" applyAlignment="1" applyProtection="1">
      <alignment horizontal="center" vertical="center" wrapText="1"/>
      <protection locked="0"/>
    </xf>
    <xf numFmtId="49" fontId="28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0" xfId="2" applyNumberFormat="1" applyFont="1" applyFill="1" applyBorder="1" applyAlignment="1">
      <alignment horizontal="center" vertical="center" wrapText="1"/>
    </xf>
    <xf numFmtId="0" fontId="3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32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1" xfId="0" applyFont="1" applyFill="1" applyBorder="1" applyAlignment="1"/>
    <xf numFmtId="0" fontId="35" fillId="3" borderId="1" xfId="0" applyNumberFormat="1" applyFont="1" applyFill="1" applyBorder="1" applyAlignment="1">
      <alignment horizontal="center" vertical="center" wrapText="1"/>
    </xf>
    <xf numFmtId="0" fontId="28" fillId="3" borderId="10" xfId="2" applyNumberFormat="1" applyFont="1" applyFill="1" applyBorder="1" applyAlignment="1">
      <alignment horizontal="left" vertical="center" wrapText="1"/>
    </xf>
    <xf numFmtId="0" fontId="28" fillId="3" borderId="11" xfId="2" applyNumberFormat="1" applyFont="1" applyFill="1" applyBorder="1" applyAlignment="1">
      <alignment horizontal="center" vertical="center" wrapText="1"/>
    </xf>
    <xf numFmtId="0" fontId="28" fillId="3" borderId="11" xfId="1" applyNumberFormat="1" applyFont="1" applyFill="1" applyBorder="1" applyAlignment="1">
      <alignment horizontal="center" vertical="center" wrapText="1"/>
    </xf>
    <xf numFmtId="49" fontId="28" fillId="3" borderId="11" xfId="1" applyNumberFormat="1" applyFont="1" applyFill="1" applyBorder="1" applyAlignment="1" applyProtection="1">
      <alignment horizontal="center" vertical="center" wrapText="1"/>
    </xf>
    <xf numFmtId="0" fontId="28" fillId="0" borderId="11" xfId="1" applyFont="1" applyFill="1" applyBorder="1" applyAlignment="1">
      <alignment horizontal="center" vertical="center" wrapText="1"/>
    </xf>
    <xf numFmtId="49" fontId="31" fillId="3" borderId="11" xfId="0" applyNumberFormat="1" applyFont="1" applyFill="1" applyBorder="1" applyAlignment="1">
      <alignment horizontal="center" vertical="center" wrapText="1"/>
    </xf>
    <xf numFmtId="0" fontId="28" fillId="5" borderId="13" xfId="1" applyNumberFormat="1" applyFont="1" applyFill="1" applyBorder="1" applyAlignment="1">
      <alignment horizontal="left" vertical="center" wrapText="1"/>
    </xf>
    <xf numFmtId="0" fontId="28" fillId="3" borderId="4" xfId="1" applyNumberFormat="1" applyFont="1" applyFill="1" applyBorder="1" applyAlignment="1">
      <alignment horizontal="center" vertical="center" wrapText="1"/>
    </xf>
    <xf numFmtId="49" fontId="28" fillId="3" borderId="4" xfId="1" applyNumberFormat="1" applyFont="1" applyFill="1" applyBorder="1" applyAlignment="1" applyProtection="1">
      <alignment horizontal="center" vertical="center" wrapText="1"/>
    </xf>
    <xf numFmtId="0" fontId="28" fillId="3" borderId="4" xfId="1" applyFont="1" applyFill="1" applyBorder="1" applyAlignment="1">
      <alignment horizontal="center" vertical="center" wrapText="1"/>
    </xf>
    <xf numFmtId="0" fontId="33" fillId="0" borderId="4" xfId="1" applyFont="1" applyFill="1" applyBorder="1" applyAlignment="1">
      <alignment horizontal="center" vertical="center" wrapText="1"/>
    </xf>
    <xf numFmtId="0" fontId="28" fillId="0" borderId="4" xfId="2" applyFont="1" applyFill="1" applyBorder="1" applyAlignment="1">
      <alignment horizontal="center" vertical="center" wrapText="1"/>
    </xf>
    <xf numFmtId="0" fontId="28" fillId="0" borderId="11" xfId="1" applyNumberFormat="1" applyFont="1" applyFill="1" applyBorder="1" applyAlignment="1">
      <alignment horizontal="center" vertical="center" wrapText="1"/>
    </xf>
    <xf numFmtId="14" fontId="31" fillId="0" borderId="1" xfId="1" applyNumberFormat="1" applyFont="1" applyFill="1" applyBorder="1" applyAlignment="1">
      <alignment horizontal="center" vertical="center" wrapText="1"/>
    </xf>
    <xf numFmtId="0" fontId="31" fillId="0" borderId="1" xfId="1" applyNumberFormat="1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3" fillId="0" borderId="8" xfId="1" applyNumberFormat="1" applyFont="1" applyFill="1" applyBorder="1" applyAlignment="1">
      <alignment horizontal="center" vertical="center" wrapText="1"/>
    </xf>
    <xf numFmtId="14" fontId="28" fillId="3" borderId="4" xfId="0" applyNumberFormat="1" applyFont="1" applyFill="1" applyBorder="1" applyAlignment="1">
      <alignment horizontal="center" vertical="center" wrapText="1"/>
    </xf>
    <xf numFmtId="0" fontId="28" fillId="0" borderId="4" xfId="1" applyNumberFormat="1" applyFont="1" applyFill="1" applyBorder="1" applyAlignment="1">
      <alignment horizontal="center" vertical="center" wrapText="1"/>
    </xf>
    <xf numFmtId="49" fontId="31" fillId="3" borderId="4" xfId="0" applyNumberFormat="1" applyFont="1" applyFill="1" applyBorder="1" applyAlignment="1">
      <alignment horizontal="center" vertical="center" wrapText="1"/>
    </xf>
    <xf numFmtId="0" fontId="28" fillId="0" borderId="4" xfId="1" applyNumberFormat="1" applyFont="1" applyFill="1" applyBorder="1" applyAlignment="1" applyProtection="1">
      <alignment horizontal="center" vertical="center" wrapText="1"/>
      <protection locked="0"/>
    </xf>
    <xf numFmtId="49" fontId="28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3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11" xfId="2" applyFont="1" applyFill="1" applyBorder="1" applyAlignment="1">
      <alignment horizontal="center" vertical="center" wrapText="1"/>
    </xf>
    <xf numFmtId="49" fontId="28" fillId="3" borderId="11" xfId="2" applyNumberFormat="1" applyFont="1" applyFill="1" applyBorder="1" applyAlignment="1">
      <alignment horizontal="center" vertical="center" wrapText="1"/>
    </xf>
    <xf numFmtId="14" fontId="28" fillId="3" borderId="4" xfId="1" applyNumberFormat="1" applyFont="1" applyFill="1" applyBorder="1" applyAlignment="1">
      <alignment horizontal="center" vertical="center" wrapText="1"/>
    </xf>
    <xf numFmtId="49" fontId="28" fillId="0" borderId="4" xfId="1" applyNumberFormat="1" applyFont="1" applyFill="1" applyBorder="1" applyAlignment="1">
      <alignment horizontal="center" vertical="center" wrapText="1"/>
    </xf>
    <xf numFmtId="0" fontId="31" fillId="3" borderId="11" xfId="0" applyNumberFormat="1" applyFont="1" applyFill="1" applyBorder="1" applyAlignment="1">
      <alignment horizontal="center" vertical="center" wrapText="1"/>
    </xf>
    <xf numFmtId="0" fontId="33" fillId="3" borderId="13" xfId="1" applyNumberFormat="1" applyFont="1" applyFill="1" applyBorder="1" applyAlignment="1">
      <alignment horizontal="left" vertical="center" wrapText="1"/>
    </xf>
    <xf numFmtId="0" fontId="33" fillId="3" borderId="4" xfId="1" applyNumberFormat="1" applyFont="1" applyFill="1" applyBorder="1" applyAlignment="1">
      <alignment horizontal="center" vertical="center" wrapText="1"/>
    </xf>
    <xf numFmtId="49" fontId="33" fillId="3" borderId="4" xfId="1" applyNumberFormat="1" applyFont="1" applyFill="1" applyBorder="1" applyAlignment="1" applyProtection="1">
      <alignment horizontal="center" vertical="center" wrapText="1"/>
    </xf>
    <xf numFmtId="0" fontId="33" fillId="3" borderId="4" xfId="1" applyFont="1" applyFill="1" applyBorder="1" applyAlignment="1">
      <alignment horizontal="center" vertical="center" wrapText="1"/>
    </xf>
    <xf numFmtId="0" fontId="28" fillId="6" borderId="3" xfId="0" applyFont="1" applyFill="1" applyBorder="1" applyAlignment="1">
      <alignment horizontal="left" vertical="center" wrapText="1"/>
    </xf>
    <xf numFmtId="14" fontId="31" fillId="3" borderId="1" xfId="1" applyNumberFormat="1" applyFont="1" applyFill="1" applyBorder="1" applyAlignment="1">
      <alignment horizontal="center" vertical="center" wrapText="1"/>
    </xf>
    <xf numFmtId="0" fontId="28" fillId="3" borderId="10" xfId="1" applyNumberFormat="1" applyFont="1" applyFill="1" applyBorder="1" applyAlignment="1">
      <alignment horizontal="left" vertical="center" wrapText="1"/>
    </xf>
    <xf numFmtId="0" fontId="28" fillId="6" borderId="10" xfId="0" applyFont="1" applyFill="1" applyBorder="1" applyAlignment="1">
      <alignment horizontal="left" vertical="center" wrapText="1"/>
    </xf>
    <xf numFmtId="49" fontId="35" fillId="3" borderId="11" xfId="0" applyNumberFormat="1" applyFont="1" applyFill="1" applyBorder="1" applyAlignment="1">
      <alignment horizontal="center" vertical="center"/>
    </xf>
    <xf numFmtId="0" fontId="28" fillId="3" borderId="13" xfId="2" applyNumberFormat="1" applyFont="1" applyFill="1" applyBorder="1" applyAlignment="1">
      <alignment horizontal="left" vertical="center" wrapText="1"/>
    </xf>
    <xf numFmtId="0" fontId="28" fillId="3" borderId="4" xfId="2" applyNumberFormat="1" applyFont="1" applyFill="1" applyBorder="1" applyAlignment="1">
      <alignment horizontal="center" vertical="center" wrapText="1"/>
    </xf>
    <xf numFmtId="0" fontId="28" fillId="0" borderId="4" xfId="1" applyFont="1" applyFill="1" applyBorder="1" applyAlignment="1">
      <alignment horizontal="center" vertical="center" wrapText="1"/>
    </xf>
    <xf numFmtId="0" fontId="28" fillId="3" borderId="11" xfId="2" applyFont="1" applyFill="1" applyBorder="1" applyAlignment="1">
      <alignment horizontal="center" vertical="center" wrapText="1"/>
    </xf>
    <xf numFmtId="0" fontId="28" fillId="3" borderId="13" xfId="1" applyNumberFormat="1" applyFont="1" applyFill="1" applyBorder="1" applyAlignment="1">
      <alignment horizontal="left" vertical="center" wrapText="1"/>
    </xf>
    <xf numFmtId="0" fontId="28" fillId="0" borderId="0" xfId="1" applyNumberFormat="1" applyFont="1" applyFill="1" applyBorder="1" applyAlignment="1">
      <alignment horizontal="center" vertical="center" wrapText="1"/>
    </xf>
    <xf numFmtId="0" fontId="28" fillId="3" borderId="0" xfId="1" applyFont="1" applyFill="1" applyBorder="1" applyAlignment="1">
      <alignment horizontal="center" vertical="center" wrapText="1"/>
    </xf>
    <xf numFmtId="0" fontId="28" fillId="0" borderId="0" xfId="1" applyFont="1" applyFill="1" applyBorder="1" applyAlignment="1">
      <alignment horizontal="center" vertical="center" wrapText="1"/>
    </xf>
    <xf numFmtId="0" fontId="31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Border="1" applyAlignment="1"/>
    <xf numFmtId="0" fontId="35" fillId="0" borderId="0" xfId="0" applyFont="1" applyFill="1" applyBorder="1" applyAlignment="1">
      <alignment horizontal="center" vertical="center"/>
    </xf>
    <xf numFmtId="14" fontId="31" fillId="0" borderId="0" xfId="0" applyNumberFormat="1" applyFont="1" applyFill="1" applyBorder="1" applyAlignment="1">
      <alignment horizontal="center" vertical="center" wrapText="1"/>
    </xf>
    <xf numFmtId="49" fontId="28" fillId="3" borderId="0" xfId="2" applyNumberFormat="1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/>
    </xf>
    <xf numFmtId="0" fontId="28" fillId="2" borderId="10" xfId="1" applyNumberFormat="1" applyFont="1" applyFill="1" applyBorder="1" applyAlignment="1">
      <alignment horizontal="left" vertical="center" wrapText="1"/>
    </xf>
    <xf numFmtId="0" fontId="28" fillId="2" borderId="13" xfId="1" applyNumberFormat="1" applyFont="1" applyFill="1" applyBorder="1" applyAlignment="1">
      <alignment horizontal="left" vertical="center" wrapText="1"/>
    </xf>
    <xf numFmtId="0" fontId="35" fillId="0" borderId="4" xfId="0" applyFont="1" applyFill="1" applyBorder="1" applyAlignment="1">
      <alignment horizontal="center" vertical="center"/>
    </xf>
    <xf numFmtId="49" fontId="28" fillId="3" borderId="4" xfId="2" applyNumberFormat="1" applyFont="1" applyFill="1" applyBorder="1" applyAlignment="1">
      <alignment horizontal="center" vertical="center" wrapText="1"/>
    </xf>
    <xf numFmtId="0" fontId="33" fillId="3" borderId="3" xfId="0" applyFont="1" applyFill="1" applyBorder="1" applyAlignment="1">
      <alignment horizontal="center" vertical="center" wrapText="1"/>
    </xf>
    <xf numFmtId="49" fontId="28" fillId="0" borderId="4" xfId="1" applyNumberFormat="1" applyFont="1" applyFill="1" applyBorder="1" applyAlignment="1" applyProtection="1">
      <alignment horizontal="center" vertical="center" wrapText="1"/>
    </xf>
    <xf numFmtId="0" fontId="28" fillId="0" borderId="10" xfId="1" applyNumberFormat="1" applyFont="1" applyFill="1" applyBorder="1" applyAlignment="1">
      <alignment horizontal="left" vertical="center" wrapText="1"/>
    </xf>
    <xf numFmtId="49" fontId="28" fillId="0" borderId="11" xfId="1" applyNumberFormat="1" applyFont="1" applyFill="1" applyBorder="1" applyAlignment="1" applyProtection="1">
      <alignment horizontal="center" vertical="center" wrapText="1"/>
    </xf>
    <xf numFmtId="0" fontId="28" fillId="0" borderId="3" xfId="1" applyNumberFormat="1" applyFont="1" applyFill="1" applyBorder="1" applyAlignment="1">
      <alignment horizontal="left" vertical="center" wrapText="1"/>
    </xf>
    <xf numFmtId="49" fontId="28" fillId="0" borderId="0" xfId="1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center" vertical="center" wrapText="1"/>
    </xf>
    <xf numFmtId="0" fontId="37" fillId="0" borderId="3" xfId="1" applyNumberFormat="1" applyFont="1" applyFill="1" applyBorder="1" applyAlignment="1">
      <alignment horizontal="left" vertical="center" wrapText="1"/>
    </xf>
    <xf numFmtId="0" fontId="33" fillId="0" borderId="3" xfId="1" applyNumberFormat="1" applyFont="1" applyFill="1" applyBorder="1" applyAlignment="1">
      <alignment horizontal="center" vertical="center" wrapText="1"/>
    </xf>
    <xf numFmtId="49" fontId="35" fillId="3" borderId="1" xfId="3" applyNumberFormat="1" applyFont="1" applyFill="1" applyBorder="1" applyAlignment="1">
      <alignment horizontal="center" vertical="center"/>
    </xf>
    <xf numFmtId="0" fontId="28" fillId="0" borderId="5" xfId="1" applyNumberFormat="1" applyFont="1" applyFill="1" applyBorder="1" applyAlignment="1">
      <alignment horizontal="center" vertical="center" wrapText="1"/>
    </xf>
    <xf numFmtId="49" fontId="28" fillId="0" borderId="5" xfId="1" applyNumberFormat="1" applyFont="1" applyFill="1" applyBorder="1" applyAlignment="1" applyProtection="1">
      <alignment horizontal="center" vertical="center" wrapText="1"/>
    </xf>
    <xf numFmtId="0" fontId="28" fillId="0" borderId="5" xfId="1" applyFont="1" applyFill="1" applyBorder="1" applyAlignment="1">
      <alignment horizontal="center" vertical="center" wrapText="1"/>
    </xf>
    <xf numFmtId="0" fontId="28" fillId="0" borderId="5" xfId="0" applyNumberFormat="1" applyFont="1" applyFill="1" applyBorder="1" applyAlignment="1">
      <alignment horizontal="center" vertical="center" wrapText="1"/>
    </xf>
    <xf numFmtId="0" fontId="28" fillId="0" borderId="5" xfId="0" applyFont="1" applyFill="1" applyBorder="1" applyAlignment="1"/>
    <xf numFmtId="0" fontId="35" fillId="0" borderId="5" xfId="0" applyFont="1" applyFill="1" applyBorder="1" applyAlignment="1">
      <alignment horizontal="center" vertical="center"/>
    </xf>
    <xf numFmtId="0" fontId="31" fillId="0" borderId="5" xfId="0" applyNumberFormat="1" applyFont="1" applyFill="1" applyBorder="1" applyAlignment="1">
      <alignment horizontal="center" vertical="center" wrapText="1"/>
    </xf>
    <xf numFmtId="49" fontId="31" fillId="0" borderId="5" xfId="0" applyNumberFormat="1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/>
    </xf>
    <xf numFmtId="49" fontId="28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5" xfId="2" applyNumberFormat="1" applyFont="1" applyFill="1" applyBorder="1" applyAlignment="1">
      <alignment horizontal="center" vertical="center" wrapText="1"/>
    </xf>
    <xf numFmtId="49" fontId="28" fillId="0" borderId="1" xfId="4" applyNumberFormat="1" applyFont="1" applyFill="1" applyBorder="1" applyAlignment="1">
      <alignment horizontal="center" vertical="center" wrapText="1"/>
    </xf>
    <xf numFmtId="0" fontId="28" fillId="0" borderId="13" xfId="1" applyNumberFormat="1" applyFont="1" applyFill="1" applyBorder="1" applyAlignment="1">
      <alignment horizontal="left" vertical="center" wrapText="1"/>
    </xf>
    <xf numFmtId="0" fontId="28" fillId="5" borderId="10" xfId="1" applyNumberFormat="1" applyFont="1" applyFill="1" applyBorder="1" applyAlignment="1">
      <alignment horizontal="left" vertical="center" wrapText="1"/>
    </xf>
    <xf numFmtId="0" fontId="28" fillId="0" borderId="7" xfId="1" applyNumberFormat="1" applyFont="1" applyFill="1" applyBorder="1" applyAlignment="1">
      <alignment horizontal="left" vertical="center" wrapText="1"/>
    </xf>
    <xf numFmtId="0" fontId="28" fillId="0" borderId="14" xfId="1" applyNumberFormat="1" applyFont="1" applyFill="1" applyBorder="1" applyAlignment="1">
      <alignment horizontal="center" vertical="center" wrapText="1"/>
    </xf>
    <xf numFmtId="49" fontId="28" fillId="0" borderId="14" xfId="1" applyNumberFormat="1" applyFont="1" applyFill="1" applyBorder="1" applyAlignment="1" applyProtection="1">
      <alignment horizontal="center" vertical="center" wrapText="1"/>
    </xf>
    <xf numFmtId="0" fontId="28" fillId="0" borderId="14" xfId="1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49" fontId="30" fillId="3" borderId="1" xfId="1" applyNumberFormat="1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left" vertical="center" wrapText="1"/>
    </xf>
    <xf numFmtId="0" fontId="41" fillId="3" borderId="1" xfId="1" applyNumberFormat="1" applyFont="1" applyFill="1" applyBorder="1" applyAlignment="1">
      <alignment horizontal="center" vertical="center" wrapText="1"/>
    </xf>
    <xf numFmtId="0" fontId="28" fillId="6" borderId="13" xfId="0" applyFont="1" applyFill="1" applyBorder="1" applyAlignment="1">
      <alignment horizontal="left" vertical="center" wrapText="1"/>
    </xf>
    <xf numFmtId="0" fontId="28" fillId="3" borderId="0" xfId="0" applyFont="1" applyFill="1" applyBorder="1" applyAlignment="1">
      <alignment horizontal="left" vertical="center" wrapText="1"/>
    </xf>
    <xf numFmtId="0" fontId="28" fillId="0" borderId="0" xfId="2" applyFont="1" applyFill="1" applyBorder="1" applyAlignment="1">
      <alignment horizontal="center" vertical="center" wrapText="1"/>
    </xf>
    <xf numFmtId="0" fontId="30" fillId="0" borderId="0" xfId="1" applyFont="1" applyFill="1" applyBorder="1" applyAlignment="1">
      <alignment horizontal="center" vertical="center"/>
    </xf>
    <xf numFmtId="0" fontId="38" fillId="3" borderId="0" xfId="1" applyNumberFormat="1" applyFont="1" applyFill="1" applyBorder="1" applyAlignment="1">
      <alignment horizontal="center" vertical="center" wrapText="1"/>
    </xf>
    <xf numFmtId="0" fontId="28" fillId="0" borderId="0" xfId="4" applyNumberFormat="1" applyFont="1" applyFill="1" applyBorder="1" applyAlignment="1">
      <alignment horizontal="center" vertical="center" wrapText="1"/>
    </xf>
    <xf numFmtId="14" fontId="28" fillId="0" borderId="0" xfId="4" applyNumberFormat="1" applyFont="1" applyFill="1" applyBorder="1" applyAlignment="1">
      <alignment horizontal="center" vertical="center" wrapText="1"/>
    </xf>
    <xf numFmtId="49" fontId="28" fillId="0" borderId="0" xfId="4" applyNumberFormat="1" applyFont="1" applyFill="1" applyBorder="1" applyAlignment="1">
      <alignment horizontal="center" vertical="center" wrapText="1"/>
    </xf>
    <xf numFmtId="0" fontId="33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33" fillId="3" borderId="3" xfId="0" applyFont="1" applyFill="1" applyBorder="1" applyAlignment="1">
      <alignment horizontal="left" vertical="center" wrapText="1"/>
    </xf>
    <xf numFmtId="0" fontId="28" fillId="3" borderId="3" xfId="0" applyFont="1" applyFill="1" applyBorder="1" applyAlignment="1">
      <alignment horizontal="left" vertical="center" wrapText="1"/>
    </xf>
    <xf numFmtId="0" fontId="28" fillId="3" borderId="3" xfId="1" applyNumberFormat="1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/>
    </xf>
    <xf numFmtId="1" fontId="31" fillId="3" borderId="1" xfId="0" applyNumberFormat="1" applyFont="1" applyFill="1" applyBorder="1" applyAlignment="1">
      <alignment horizontal="center" vertical="center" wrapText="1"/>
    </xf>
    <xf numFmtId="0" fontId="28" fillId="3" borderId="11" xfId="1" applyNumberFormat="1" applyFont="1" applyFill="1" applyBorder="1" applyAlignment="1">
      <alignment horizontal="left" vertical="center" wrapText="1"/>
    </xf>
    <xf numFmtId="0" fontId="34" fillId="3" borderId="1" xfId="0" applyNumberFormat="1" applyFont="1" applyFill="1" applyBorder="1" applyAlignment="1">
      <alignment horizontal="center" vertical="center"/>
    </xf>
    <xf numFmtId="0" fontId="28" fillId="0" borderId="1" xfId="6" applyNumberFormat="1" applyFont="1" applyFill="1" applyBorder="1" applyAlignment="1">
      <alignment horizontal="center" vertical="center" wrapText="1"/>
    </xf>
    <xf numFmtId="14" fontId="28" fillId="0" borderId="1" xfId="6" applyNumberFormat="1" applyFont="1" applyFill="1" applyBorder="1" applyAlignment="1">
      <alignment horizontal="center" vertical="center" wrapText="1"/>
    </xf>
    <xf numFmtId="0" fontId="28" fillId="3" borderId="5" xfId="2" applyNumberFormat="1" applyFont="1" applyFill="1" applyBorder="1" applyAlignment="1">
      <alignment horizontal="center" vertical="center" wrapText="1"/>
    </xf>
    <xf numFmtId="0" fontId="28" fillId="3" borderId="5" xfId="1" applyFont="1" applyFill="1" applyBorder="1" applyAlignment="1">
      <alignment horizontal="center" vertical="center" wrapText="1"/>
    </xf>
    <xf numFmtId="0" fontId="28" fillId="0" borderId="5" xfId="0" applyFont="1" applyBorder="1" applyAlignment="1"/>
    <xf numFmtId="14" fontId="31" fillId="0" borderId="5" xfId="0" applyNumberFormat="1" applyFont="1" applyFill="1" applyBorder="1" applyAlignment="1">
      <alignment horizontal="center" vertical="center" wrapText="1"/>
    </xf>
    <xf numFmtId="49" fontId="28" fillId="3" borderId="5" xfId="2" applyNumberFormat="1" applyFont="1" applyFill="1" applyBorder="1" applyAlignment="1">
      <alignment horizontal="center" vertical="center" wrapText="1"/>
    </xf>
    <xf numFmtId="0" fontId="32" fillId="3" borderId="10" xfId="1" applyNumberFormat="1" applyFont="1" applyFill="1" applyBorder="1" applyAlignment="1">
      <alignment horizontal="left" vertical="center" wrapText="1"/>
    </xf>
    <xf numFmtId="0" fontId="32" fillId="3" borderId="11" xfId="1" applyNumberFormat="1" applyFont="1" applyFill="1" applyBorder="1" applyAlignment="1">
      <alignment horizontal="center" vertical="center" wrapText="1"/>
    </xf>
    <xf numFmtId="49" fontId="32" fillId="3" borderId="11" xfId="1" applyNumberFormat="1" applyFont="1" applyFill="1" applyBorder="1" applyAlignment="1" applyProtection="1">
      <alignment horizontal="center" vertical="center" wrapText="1"/>
    </xf>
    <xf numFmtId="14" fontId="28" fillId="3" borderId="11" xfId="1" applyNumberFormat="1" applyFont="1" applyFill="1" applyBorder="1" applyAlignment="1">
      <alignment horizontal="center" vertical="center" wrapText="1"/>
    </xf>
    <xf numFmtId="0" fontId="28" fillId="0" borderId="11" xfId="1" applyNumberFormat="1" applyFont="1" applyFill="1" applyBorder="1" applyAlignment="1" applyProtection="1">
      <alignment horizontal="center" vertical="center" wrapText="1"/>
      <protection locked="0"/>
    </xf>
    <xf numFmtId="49" fontId="28" fillId="3" borderId="11" xfId="0" applyNumberFormat="1" applyFont="1" applyFill="1" applyBorder="1" applyAlignment="1">
      <alignment horizontal="center" vertical="center" wrapText="1"/>
    </xf>
    <xf numFmtId="0" fontId="32" fillId="3" borderId="11" xfId="1" applyNumberFormat="1" applyFont="1" applyFill="1" applyBorder="1" applyAlignment="1" applyProtection="1">
      <alignment horizontal="center" vertical="center" wrapText="1"/>
      <protection locked="0"/>
    </xf>
    <xf numFmtId="14" fontId="28" fillId="0" borderId="4" xfId="1" applyNumberFormat="1" applyFont="1" applyFill="1" applyBorder="1" applyAlignment="1">
      <alignment horizontal="center" vertical="center" wrapText="1"/>
    </xf>
    <xf numFmtId="49" fontId="34" fillId="3" borderId="1" xfId="3" applyNumberFormat="1" applyFont="1" applyFill="1" applyBorder="1" applyAlignment="1">
      <alignment horizontal="center" vertical="center"/>
    </xf>
    <xf numFmtId="0" fontId="28" fillId="3" borderId="1" xfId="3" applyNumberFormat="1" applyFont="1" applyFill="1" applyBorder="1" applyAlignment="1">
      <alignment horizontal="center" vertical="center" wrapText="1"/>
    </xf>
    <xf numFmtId="0" fontId="28" fillId="3" borderId="1" xfId="4" applyNumberFormat="1" applyFont="1" applyFill="1" applyBorder="1" applyAlignment="1">
      <alignment horizontal="center" vertical="center" wrapText="1"/>
    </xf>
    <xf numFmtId="0" fontId="30" fillId="0" borderId="4" xfId="1" applyFont="1" applyFill="1" applyBorder="1" applyAlignment="1">
      <alignment horizontal="center" vertical="center"/>
    </xf>
    <xf numFmtId="0" fontId="28" fillId="3" borderId="1" xfId="0" applyNumberFormat="1" applyFont="1" applyFill="1" applyBorder="1" applyAlignment="1" applyProtection="1">
      <alignment horizontal="center" vertical="center" wrapText="1"/>
    </xf>
    <xf numFmtId="0" fontId="28" fillId="0" borderId="2" xfId="1" applyNumberFormat="1" applyFont="1" applyFill="1" applyBorder="1" applyAlignment="1">
      <alignment horizontal="center" vertical="center" wrapText="1"/>
    </xf>
    <xf numFmtId="0" fontId="28" fillId="0" borderId="1" xfId="0" applyFont="1" applyBorder="1"/>
    <xf numFmtId="0" fontId="31" fillId="0" borderId="5" xfId="1" applyNumberFormat="1" applyFont="1" applyFill="1" applyBorder="1" applyAlignment="1" applyProtection="1">
      <alignment horizontal="left" vertical="center" wrapText="1"/>
      <protection locked="0"/>
    </xf>
    <xf numFmtId="0" fontId="31" fillId="0" borderId="5" xfId="1" applyNumberFormat="1" applyFont="1" applyFill="1" applyBorder="1" applyAlignment="1" applyProtection="1">
      <alignment horizontal="center" vertical="center" wrapText="1"/>
      <protection locked="0"/>
    </xf>
    <xf numFmtId="49" fontId="31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5" xfId="1" applyFont="1" applyFill="1" applyBorder="1" applyAlignment="1" applyProtection="1">
      <alignment horizontal="center" vertical="center" wrapText="1"/>
      <protection locked="0"/>
    </xf>
    <xf numFmtId="0" fontId="35" fillId="0" borderId="5" xfId="1" applyFont="1" applyFill="1" applyBorder="1" applyAlignment="1" applyProtection="1">
      <alignment horizontal="center" vertical="center"/>
      <protection locked="0" hidden="1"/>
    </xf>
    <xf numFmtId="0" fontId="28" fillId="0" borderId="5" xfId="0" applyFont="1" applyBorder="1" applyAlignment="1">
      <alignment vertical="center"/>
    </xf>
    <xf numFmtId="0" fontId="28" fillId="0" borderId="5" xfId="0" applyFont="1" applyBorder="1" applyAlignment="1">
      <alignment horizontal="center" vertical="center"/>
    </xf>
    <xf numFmtId="0" fontId="32" fillId="0" borderId="4" xfId="1" applyNumberFormat="1" applyFont="1" applyFill="1" applyBorder="1" applyAlignment="1" applyProtection="1">
      <alignment horizontal="center" vertical="center" wrapText="1"/>
      <protection locked="0"/>
    </xf>
    <xf numFmtId="49" fontId="32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32" fillId="0" borderId="4" xfId="1" applyFont="1" applyFill="1" applyBorder="1" applyAlignment="1" applyProtection="1">
      <alignment horizontal="center" vertical="center" wrapText="1"/>
      <protection locked="0"/>
    </xf>
    <xf numFmtId="0" fontId="28" fillId="0" borderId="4" xfId="0" applyFont="1" applyBorder="1" applyAlignment="1">
      <alignment vertical="center"/>
    </xf>
    <xf numFmtId="49" fontId="3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2" fillId="0" borderId="1" xfId="1" applyFont="1" applyFill="1" applyBorder="1" applyAlignment="1" applyProtection="1">
      <alignment horizontal="center" vertical="center" wrapText="1"/>
      <protection locked="0"/>
    </xf>
    <xf numFmtId="0" fontId="35" fillId="0" borderId="1" xfId="1" applyFont="1" applyFill="1" applyBorder="1" applyAlignment="1" applyProtection="1">
      <alignment horizontal="center" vertical="center"/>
      <protection locked="0" hidden="1"/>
    </xf>
    <xf numFmtId="49" fontId="3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>
      <alignment vertical="center"/>
    </xf>
    <xf numFmtId="14" fontId="28" fillId="0" borderId="1" xfId="0" applyNumberFormat="1" applyFont="1" applyBorder="1" applyAlignment="1">
      <alignment horizontal="center" vertical="center"/>
    </xf>
    <xf numFmtId="0" fontId="37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42" fillId="0" borderId="1" xfId="1" applyFont="1" applyFill="1" applyBorder="1" applyAlignment="1" applyProtection="1">
      <alignment horizontal="center" vertical="center"/>
      <protection locked="0" hidden="1"/>
    </xf>
    <xf numFmtId="0" fontId="37" fillId="0" borderId="1" xfId="0" applyFont="1" applyBorder="1" applyAlignment="1">
      <alignment horizontal="center" vertical="center"/>
    </xf>
    <xf numFmtId="0" fontId="33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3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1" applyFont="1" applyFill="1" applyBorder="1" applyAlignment="1" applyProtection="1">
      <alignment horizontal="center" vertical="center" wrapText="1"/>
      <protection locked="0"/>
    </xf>
    <xf numFmtId="0" fontId="35" fillId="0" borderId="11" xfId="1" applyFont="1" applyFill="1" applyBorder="1" applyAlignment="1" applyProtection="1">
      <alignment horizontal="center" vertical="center"/>
      <protection locked="0" hidden="1"/>
    </xf>
    <xf numFmtId="0" fontId="31" fillId="0" borderId="11" xfId="1" applyNumberFormat="1" applyFont="1" applyFill="1" applyBorder="1" applyAlignment="1" applyProtection="1">
      <alignment horizontal="center" vertical="center" wrapText="1"/>
      <protection locked="0"/>
    </xf>
    <xf numFmtId="49" fontId="31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35" fillId="0" borderId="4" xfId="1" applyFont="1" applyFill="1" applyBorder="1" applyAlignment="1" applyProtection="1">
      <alignment horizontal="center" vertical="center"/>
      <protection locked="0" hidden="1"/>
    </xf>
    <xf numFmtId="0" fontId="28" fillId="0" borderId="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40" fillId="0" borderId="1" xfId="1" applyFont="1" applyFill="1" applyBorder="1" applyAlignment="1" applyProtection="1">
      <alignment horizontal="center" vertical="center"/>
      <protection locked="0" hidden="1"/>
    </xf>
    <xf numFmtId="0" fontId="28" fillId="0" borderId="14" xfId="0" applyFont="1" applyBorder="1" applyAlignment="1"/>
    <xf numFmtId="49" fontId="28" fillId="3" borderId="1" xfId="2" applyNumberFormat="1" applyFont="1" applyFill="1" applyBorder="1" applyAlignment="1" applyProtection="1">
      <alignment horizontal="center" vertical="center" wrapText="1"/>
    </xf>
    <xf numFmtId="0" fontId="34" fillId="3" borderId="1" xfId="4" applyFont="1" applyFill="1" applyBorder="1" applyAlignment="1">
      <alignment horizontal="center" vertical="center"/>
    </xf>
    <xf numFmtId="0" fontId="28" fillId="0" borderId="5" xfId="1" applyNumberFormat="1" applyFont="1" applyFill="1" applyBorder="1" applyAlignment="1" applyProtection="1">
      <alignment horizontal="center" vertical="center" wrapText="1"/>
      <protection locked="0"/>
    </xf>
    <xf numFmtId="49" fontId="28" fillId="3" borderId="5" xfId="0" applyNumberFormat="1" applyFont="1" applyFill="1" applyBorder="1" applyAlignment="1">
      <alignment horizontal="center" vertical="center" wrapText="1"/>
    </xf>
    <xf numFmtId="0" fontId="37" fillId="0" borderId="3" xfId="1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center"/>
    </xf>
    <xf numFmtId="0" fontId="34" fillId="0" borderId="1" xfId="4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 wrapText="1"/>
    </xf>
    <xf numFmtId="0" fontId="28" fillId="0" borderId="5" xfId="0" applyFont="1" applyBorder="1"/>
    <xf numFmtId="0" fontId="28" fillId="3" borderId="5" xfId="0" applyFont="1" applyFill="1" applyBorder="1"/>
    <xf numFmtId="0" fontId="33" fillId="3" borderId="1" xfId="0" applyFont="1" applyFill="1" applyBorder="1" applyAlignment="1">
      <alignment horizontal="center" vertical="center" wrapText="1"/>
    </xf>
    <xf numFmtId="0" fontId="28" fillId="0" borderId="11" xfId="0" applyFont="1" applyBorder="1"/>
    <xf numFmtId="0" fontId="28" fillId="3" borderId="11" xfId="0" applyFont="1" applyFill="1" applyBorder="1"/>
    <xf numFmtId="0" fontId="28" fillId="0" borderId="4" xfId="0" applyFont="1" applyBorder="1"/>
    <xf numFmtId="0" fontId="28" fillId="0" borderId="14" xfId="0" applyFont="1" applyBorder="1"/>
    <xf numFmtId="0" fontId="28" fillId="0" borderId="14" xfId="0" applyFont="1" applyBorder="1" applyAlignment="1">
      <alignment horizontal="center" vertical="center"/>
    </xf>
    <xf numFmtId="0" fontId="37" fillId="0" borderId="3" xfId="2" applyNumberFormat="1" applyFont="1" applyFill="1" applyBorder="1" applyAlignment="1">
      <alignment horizontal="left" vertical="center" wrapText="1"/>
    </xf>
    <xf numFmtId="0" fontId="28" fillId="3" borderId="15" xfId="1" applyNumberFormat="1" applyFont="1" applyFill="1" applyBorder="1" applyAlignment="1">
      <alignment horizontal="center" vertical="center" wrapText="1"/>
    </xf>
    <xf numFmtId="0" fontId="33" fillId="0" borderId="3" xfId="2" applyNumberFormat="1" applyFont="1" applyFill="1" applyBorder="1" applyAlignment="1">
      <alignment horizontal="left" vertical="center" wrapText="1"/>
    </xf>
    <xf numFmtId="0" fontId="33" fillId="0" borderId="1" xfId="2" applyNumberFormat="1" applyFont="1" applyFill="1" applyBorder="1" applyAlignment="1">
      <alignment horizontal="center" vertical="center" wrapText="1"/>
    </xf>
    <xf numFmtId="0" fontId="28" fillId="0" borderId="3" xfId="2" applyNumberFormat="1" applyFont="1" applyFill="1" applyBorder="1" applyAlignment="1">
      <alignment horizontal="left" vertical="center" wrapText="1"/>
    </xf>
    <xf numFmtId="0" fontId="31" fillId="0" borderId="1" xfId="1" applyNumberFormat="1" applyFont="1" applyFill="1" applyBorder="1" applyAlignment="1" applyProtection="1">
      <alignment horizontal="center" vertical="center" wrapText="1"/>
    </xf>
    <xf numFmtId="0" fontId="31" fillId="3" borderId="1" xfId="1" applyNumberFormat="1" applyFont="1" applyFill="1" applyBorder="1" applyAlignment="1">
      <alignment horizontal="center" vertical="center" wrapText="1"/>
    </xf>
    <xf numFmtId="49" fontId="30" fillId="0" borderId="1" xfId="1" applyNumberFormat="1" applyFont="1" applyFill="1" applyBorder="1" applyAlignment="1">
      <alignment horizontal="center" vertical="center"/>
    </xf>
    <xf numFmtId="14" fontId="28" fillId="0" borderId="1" xfId="0" quotePrefix="1" applyNumberFormat="1" applyFont="1" applyFill="1" applyBorder="1" applyAlignment="1">
      <alignment horizontal="center" vertical="center" wrapText="1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30" fillId="3" borderId="5" xfId="0" applyFont="1" applyFill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wrapText="1"/>
    </xf>
    <xf numFmtId="0" fontId="28" fillId="0" borderId="5" xfId="0" applyFont="1" applyBorder="1" applyAlignment="1">
      <alignment wrapText="1"/>
    </xf>
    <xf numFmtId="0" fontId="28" fillId="0" borderId="11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43" fillId="0" borderId="0" xfId="0" applyFont="1" applyAlignment="1">
      <alignment wrapText="1"/>
    </xf>
    <xf numFmtId="0" fontId="28" fillId="3" borderId="2" xfId="1" applyNumberFormat="1" applyFont="1" applyFill="1" applyBorder="1" applyAlignment="1">
      <alignment horizontal="center" vertical="center" wrapText="1"/>
    </xf>
    <xf numFmtId="0" fontId="28" fillId="3" borderId="5" xfId="1" applyNumberFormat="1" applyFont="1" applyFill="1" applyBorder="1" applyAlignment="1">
      <alignment horizontal="center" vertical="center" wrapText="1"/>
    </xf>
    <xf numFmtId="0" fontId="27" fillId="0" borderId="1" xfId="1" applyNumberFormat="1" applyFont="1" applyFill="1" applyBorder="1" applyAlignment="1" applyProtection="1">
      <alignment horizontal="center" vertical="center" wrapText="1"/>
    </xf>
    <xf numFmtId="0" fontId="17" fillId="3" borderId="0" xfId="8" applyFont="1" applyFill="1"/>
    <xf numFmtId="0" fontId="22" fillId="3" borderId="25" xfId="11" applyFont="1" applyFill="1" applyBorder="1" applyAlignment="1">
      <alignment horizontal="center" vertical="center" wrapText="1"/>
    </xf>
    <xf numFmtId="9" fontId="22" fillId="3" borderId="25" xfId="8" applyNumberFormat="1" applyFont="1" applyFill="1" applyBorder="1" applyAlignment="1">
      <alignment horizontal="center" vertical="center" wrapText="1"/>
    </xf>
    <xf numFmtId="0" fontId="0" fillId="3" borderId="0" xfId="0" applyFill="1"/>
    <xf numFmtId="1" fontId="22" fillId="7" borderId="9" xfId="8" applyNumberFormat="1" applyFont="1" applyFill="1" applyBorder="1" applyAlignment="1">
      <alignment horizontal="center" vertical="center" wrapText="1"/>
    </xf>
    <xf numFmtId="1" fontId="22" fillId="7" borderId="48" xfId="8" applyNumberFormat="1" applyFont="1" applyFill="1" applyBorder="1" applyAlignment="1">
      <alignment horizontal="center" vertical="center" wrapText="1"/>
    </xf>
    <xf numFmtId="1" fontId="22" fillId="7" borderId="46" xfId="8" applyNumberFormat="1" applyFont="1" applyFill="1" applyBorder="1" applyAlignment="1">
      <alignment horizontal="center" vertical="center" wrapText="1"/>
    </xf>
    <xf numFmtId="1" fontId="22" fillId="7" borderId="1" xfId="8" applyNumberFormat="1" applyFont="1" applyFill="1" applyBorder="1" applyAlignment="1">
      <alignment horizontal="center" vertical="center" wrapText="1"/>
    </xf>
    <xf numFmtId="0" fontId="20" fillId="3" borderId="0" xfId="8" applyFont="1" applyFill="1" applyBorder="1" applyAlignment="1">
      <alignment vertical="center" wrapText="1"/>
    </xf>
    <xf numFmtId="0" fontId="44" fillId="0" borderId="1" xfId="0" applyFont="1" applyBorder="1"/>
    <xf numFmtId="0" fontId="44" fillId="0" borderId="1" xfId="0" applyFont="1" applyBorder="1" applyAlignment="1">
      <alignment horizontal="center" vertical="center"/>
    </xf>
    <xf numFmtId="0" fontId="44" fillId="7" borderId="1" xfId="0" applyFont="1" applyFill="1" applyBorder="1" applyAlignment="1">
      <alignment horizontal="center" vertical="center"/>
    </xf>
    <xf numFmtId="9" fontId="44" fillId="0" borderId="1" xfId="16" applyFont="1" applyBorder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44" fillId="7" borderId="1" xfId="0" applyFont="1" applyFill="1" applyBorder="1"/>
    <xf numFmtId="9" fontId="44" fillId="7" borderId="1" xfId="16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vertical="center"/>
    </xf>
    <xf numFmtId="0" fontId="31" fillId="3" borderId="1" xfId="1" applyNumberFormat="1" applyFont="1" applyFill="1" applyBorder="1" applyAlignment="1">
      <alignment horizontal="left" vertical="center" wrapText="1"/>
    </xf>
    <xf numFmtId="0" fontId="43" fillId="0" borderId="1" xfId="0" applyFont="1" applyBorder="1"/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wrapText="1"/>
    </xf>
    <xf numFmtId="0" fontId="32" fillId="0" borderId="1" xfId="0" applyFont="1" applyFill="1" applyBorder="1" applyAlignment="1">
      <alignment horizontal="center" vertical="center"/>
    </xf>
    <xf numFmtId="0" fontId="28" fillId="0" borderId="0" xfId="0" applyFont="1"/>
    <xf numFmtId="0" fontId="28" fillId="3" borderId="1" xfId="1" applyFont="1" applyFill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 wrapText="1"/>
    </xf>
    <xf numFmtId="14" fontId="28" fillId="3" borderId="15" xfId="0" applyNumberFormat="1" applyFont="1" applyFill="1" applyBorder="1" applyAlignment="1">
      <alignment horizontal="center" vertical="center" wrapText="1"/>
    </xf>
    <xf numFmtId="164" fontId="28" fillId="3" borderId="15" xfId="0" applyNumberFormat="1" applyFont="1" applyFill="1" applyBorder="1" applyAlignment="1">
      <alignment horizontal="center" vertical="center" wrapText="1"/>
    </xf>
    <xf numFmtId="0" fontId="28" fillId="3" borderId="15" xfId="0" applyNumberFormat="1" applyFont="1" applyFill="1" applyBorder="1" applyAlignment="1">
      <alignment horizontal="center" vertical="center" wrapText="1"/>
    </xf>
    <xf numFmtId="49" fontId="31" fillId="3" borderId="15" xfId="0" applyNumberFormat="1" applyFont="1" applyFill="1" applyBorder="1" applyAlignment="1">
      <alignment horizontal="center" vertical="center" wrapText="1"/>
    </xf>
    <xf numFmtId="14" fontId="28" fillId="3" borderId="15" xfId="1" applyNumberFormat="1" applyFont="1" applyFill="1" applyBorder="1" applyAlignment="1" applyProtection="1">
      <alignment horizontal="center" vertical="center" wrapText="1"/>
    </xf>
    <xf numFmtId="0" fontId="28" fillId="3" borderId="15" xfId="1" applyNumberFormat="1" applyFont="1" applyFill="1" applyBorder="1" applyAlignment="1" applyProtection="1">
      <alignment horizontal="center" vertical="center" wrapText="1"/>
      <protection locked="0"/>
    </xf>
    <xf numFmtId="49" fontId="28" fillId="3" borderId="15" xfId="1" applyNumberFormat="1" applyFont="1" applyFill="1" applyBorder="1" applyAlignment="1" applyProtection="1">
      <alignment horizontal="center" vertical="center" wrapText="1"/>
      <protection locked="0"/>
    </xf>
    <xf numFmtId="14" fontId="28" fillId="0" borderId="1" xfId="0" applyNumberFormat="1" applyFont="1" applyBorder="1"/>
    <xf numFmtId="1" fontId="31" fillId="3" borderId="0" xfId="1" applyNumberFormat="1" applyFont="1" applyFill="1" applyBorder="1" applyAlignment="1" applyProtection="1">
      <alignment horizontal="center" vertical="center" wrapText="1"/>
    </xf>
    <xf numFmtId="0" fontId="32" fillId="0" borderId="11" xfId="1" applyNumberFormat="1" applyFont="1" applyFill="1" applyBorder="1" applyAlignment="1">
      <alignment horizontal="center" vertical="center" wrapText="1"/>
    </xf>
    <xf numFmtId="0" fontId="28" fillId="3" borderId="6" xfId="0" applyNumberFormat="1" applyFont="1" applyFill="1" applyBorder="1" applyAlignment="1">
      <alignment horizontal="center" vertical="center" wrapText="1"/>
    </xf>
    <xf numFmtId="14" fontId="28" fillId="3" borderId="6" xfId="0" applyNumberFormat="1" applyFont="1" applyFill="1" applyBorder="1" applyAlignment="1">
      <alignment horizontal="center" vertical="center" wrapText="1"/>
    </xf>
    <xf numFmtId="49" fontId="31" fillId="3" borderId="6" xfId="0" applyNumberFormat="1" applyFont="1" applyFill="1" applyBorder="1" applyAlignment="1">
      <alignment horizontal="center" vertical="center" wrapText="1"/>
    </xf>
    <xf numFmtId="0" fontId="28" fillId="3" borderId="6" xfId="1" applyNumberFormat="1" applyFont="1" applyFill="1" applyBorder="1" applyAlignment="1" applyProtection="1">
      <alignment horizontal="center" vertical="center" wrapText="1"/>
      <protection locked="0"/>
    </xf>
    <xf numFmtId="49" fontId="28" fillId="3" borderId="6" xfId="1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1" applyFont="1" applyFill="1" applyBorder="1" applyAlignment="1" applyProtection="1">
      <alignment horizontal="center" vertical="center"/>
      <protection locked="0" hidden="1"/>
    </xf>
    <xf numFmtId="1" fontId="31" fillId="3" borderId="15" xfId="1" applyNumberFormat="1" applyFont="1" applyFill="1" applyBorder="1" applyAlignment="1" applyProtection="1">
      <alignment horizontal="center" vertical="center" wrapText="1"/>
    </xf>
    <xf numFmtId="0" fontId="30" fillId="3" borderId="4" xfId="1" applyFont="1" applyFill="1" applyBorder="1" applyAlignment="1">
      <alignment horizontal="center" vertical="center"/>
    </xf>
    <xf numFmtId="0" fontId="33" fillId="0" borderId="4" xfId="1" applyNumberFormat="1" applyFont="1" applyFill="1" applyBorder="1" applyAlignment="1">
      <alignment horizontal="center" vertical="center" wrapText="1"/>
    </xf>
    <xf numFmtId="0" fontId="33" fillId="0" borderId="4" xfId="1" applyNumberFormat="1" applyFont="1" applyFill="1" applyBorder="1" applyAlignment="1">
      <alignment horizontal="left" vertical="center" wrapText="1"/>
    </xf>
    <xf numFmtId="14" fontId="28" fillId="0" borderId="4" xfId="0" applyNumberFormat="1" applyFont="1" applyBorder="1"/>
    <xf numFmtId="49" fontId="28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Border="1"/>
    <xf numFmtId="14" fontId="28" fillId="3" borderId="1" xfId="0" applyNumberFormat="1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5" fillId="3" borderId="4" xfId="0" applyFont="1" applyFill="1" applyBorder="1" applyAlignment="1">
      <alignment horizontal="center" vertical="center"/>
    </xf>
    <xf numFmtId="0" fontId="28" fillId="0" borderId="11" xfId="2" applyNumberFormat="1" applyFont="1" applyFill="1" applyBorder="1" applyAlignment="1">
      <alignment horizontal="center" vertical="center" wrapText="1"/>
    </xf>
    <xf numFmtId="0" fontId="28" fillId="0" borderId="11" xfId="4" applyNumberFormat="1" applyFont="1" applyFill="1" applyBorder="1" applyAlignment="1">
      <alignment horizontal="center" vertical="center" wrapText="1"/>
    </xf>
    <xf numFmtId="49" fontId="28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34" fillId="3" borderId="4" xfId="0" applyFont="1" applyFill="1" applyBorder="1" applyAlignment="1">
      <alignment horizontal="center" vertical="center"/>
    </xf>
    <xf numFmtId="49" fontId="28" fillId="3" borderId="4" xfId="0" applyNumberFormat="1" applyFont="1" applyFill="1" applyBorder="1" applyAlignment="1">
      <alignment horizontal="center" vertical="center" wrapText="1"/>
    </xf>
    <xf numFmtId="0" fontId="31" fillId="0" borderId="3" xfId="1" applyNumberFormat="1" applyFont="1" applyFill="1" applyBorder="1" applyAlignment="1" applyProtection="1">
      <alignment horizontal="left" vertical="center" wrapText="1"/>
      <protection locked="0"/>
    </xf>
    <xf numFmtId="0" fontId="28" fillId="3" borderId="5" xfId="0" applyFont="1" applyFill="1" applyBorder="1" applyAlignment="1">
      <alignment horizontal="left" vertical="center" wrapText="1"/>
    </xf>
    <xf numFmtId="0" fontId="32" fillId="3" borderId="5" xfId="1" applyNumberFormat="1" applyFont="1" applyFill="1" applyBorder="1" applyAlignment="1">
      <alignment horizontal="left" vertical="center" wrapText="1"/>
    </xf>
    <xf numFmtId="0" fontId="28" fillId="3" borderId="10" xfId="0" applyFont="1" applyFill="1" applyBorder="1" applyAlignment="1">
      <alignment horizontal="left" vertical="center" wrapText="1"/>
    </xf>
    <xf numFmtId="0" fontId="33" fillId="0" borderId="5" xfId="1" applyNumberFormat="1" applyFont="1" applyFill="1" applyBorder="1" applyAlignment="1">
      <alignment horizontal="center" vertical="center" wrapText="1"/>
    </xf>
    <xf numFmtId="0" fontId="32" fillId="3" borderId="5" xfId="1" applyNumberFormat="1" applyFont="1" applyFill="1" applyBorder="1" applyAlignment="1">
      <alignment horizontal="center" vertical="center" wrapText="1"/>
    </xf>
    <xf numFmtId="0" fontId="32" fillId="0" borderId="4" xfId="1" applyNumberFormat="1" applyFont="1" applyFill="1" applyBorder="1" applyAlignment="1">
      <alignment horizontal="center" vertical="center" wrapText="1"/>
    </xf>
    <xf numFmtId="49" fontId="32" fillId="3" borderId="5" xfId="1" applyNumberFormat="1" applyFont="1" applyFill="1" applyBorder="1" applyAlignment="1" applyProtection="1">
      <alignment horizontal="center" vertical="center" wrapText="1"/>
    </xf>
    <xf numFmtId="49" fontId="32" fillId="0" borderId="4" xfId="1" applyNumberFormat="1" applyFont="1" applyFill="1" applyBorder="1" applyAlignment="1" applyProtection="1">
      <alignment horizontal="center" vertical="center" wrapText="1"/>
    </xf>
    <xf numFmtId="0" fontId="37" fillId="0" borderId="5" xfId="1" applyFont="1" applyFill="1" applyBorder="1" applyAlignment="1">
      <alignment horizontal="center" vertical="center" wrapText="1"/>
    </xf>
    <xf numFmtId="0" fontId="28" fillId="0" borderId="5" xfId="2" applyFont="1" applyFill="1" applyBorder="1" applyAlignment="1">
      <alignment horizontal="center" vertical="center" wrapText="1"/>
    </xf>
    <xf numFmtId="0" fontId="32" fillId="0" borderId="4" xfId="1" applyFont="1" applyFill="1" applyBorder="1" applyAlignment="1">
      <alignment horizontal="center" vertical="center" wrapText="1"/>
    </xf>
    <xf numFmtId="0" fontId="28" fillId="3" borderId="4" xfId="1" applyNumberFormat="1" applyFont="1" applyFill="1" applyBorder="1" applyAlignment="1" applyProtection="1">
      <alignment horizontal="center" vertical="center" wrapText="1"/>
    </xf>
    <xf numFmtId="0" fontId="31" fillId="3" borderId="5" xfId="0" applyNumberFormat="1" applyFont="1" applyFill="1" applyBorder="1" applyAlignment="1">
      <alignment horizontal="center" vertical="center" wrapText="1"/>
    </xf>
    <xf numFmtId="0" fontId="31" fillId="3" borderId="11" xfId="0" applyFont="1" applyFill="1" applyBorder="1" applyAlignment="1">
      <alignment horizontal="center" vertical="center"/>
    </xf>
    <xf numFmtId="0" fontId="40" fillId="0" borderId="5" xfId="1" applyFont="1" applyFill="1" applyBorder="1" applyAlignment="1" applyProtection="1">
      <alignment horizontal="center" vertical="center"/>
      <protection locked="0" hidden="1"/>
    </xf>
    <xf numFmtId="0" fontId="30" fillId="0" borderId="5" xfId="1" applyFont="1" applyFill="1" applyBorder="1" applyAlignment="1">
      <alignment horizontal="center" vertical="center"/>
    </xf>
    <xf numFmtId="0" fontId="30" fillId="0" borderId="11" xfId="1" applyFont="1" applyFill="1" applyBorder="1" applyAlignment="1">
      <alignment horizontal="center" vertical="center"/>
    </xf>
    <xf numFmtId="0" fontId="28" fillId="3" borderId="13" xfId="0" applyFont="1" applyFill="1" applyBorder="1" applyAlignment="1">
      <alignment horizontal="left" vertical="center" wrapText="1"/>
    </xf>
    <xf numFmtId="0" fontId="33" fillId="0" borderId="11" xfId="1" applyNumberFormat="1" applyFont="1" applyFill="1" applyBorder="1" applyAlignment="1">
      <alignment horizontal="center" vertical="center" wrapText="1"/>
    </xf>
    <xf numFmtId="0" fontId="33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33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32" fillId="0" borderId="14" xfId="1" applyNumberFormat="1" applyFont="1" applyFill="1" applyBorder="1" applyAlignment="1">
      <alignment horizontal="center" vertical="center" wrapText="1"/>
    </xf>
    <xf numFmtId="0" fontId="28" fillId="0" borderId="5" xfId="4" applyNumberFormat="1" applyFont="1" applyFill="1" applyBorder="1" applyAlignment="1">
      <alignment horizontal="center" vertical="center" wrapText="1"/>
    </xf>
    <xf numFmtId="14" fontId="28" fillId="0" borderId="4" xfId="0" applyNumberFormat="1" applyFont="1" applyBorder="1" applyAlignment="1">
      <alignment horizontal="center" vertical="center" wrapText="1"/>
    </xf>
    <xf numFmtId="49" fontId="28" fillId="0" borderId="5" xfId="4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>
      <alignment horizontal="left" vertical="center" wrapText="1"/>
    </xf>
    <xf numFmtId="0" fontId="14" fillId="0" borderId="3" xfId="1" applyNumberFormat="1" applyFont="1" applyFill="1" applyBorder="1" applyAlignment="1">
      <alignment horizontal="center" vertical="center" wrapText="1"/>
    </xf>
    <xf numFmtId="0" fontId="28" fillId="3" borderId="11" xfId="0" applyFont="1" applyFill="1" applyBorder="1" applyAlignment="1"/>
    <xf numFmtId="0" fontId="25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32" fillId="0" borderId="4" xfId="1" applyNumberFormat="1" applyFont="1" applyFill="1" applyBorder="1" applyAlignment="1">
      <alignment horizontal="left" vertical="center" wrapText="1"/>
    </xf>
    <xf numFmtId="0" fontId="3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4" xfId="0" applyFont="1" applyBorder="1" applyAlignment="1">
      <alignment horizontal="center" vertical="center" wrapText="1"/>
    </xf>
    <xf numFmtId="49" fontId="32" fillId="3" borderId="4" xfId="1" applyNumberFormat="1" applyFont="1" applyFill="1" applyBorder="1" applyAlignment="1" applyProtection="1">
      <alignment horizontal="center" vertical="center" wrapText="1"/>
    </xf>
    <xf numFmtId="0" fontId="32" fillId="3" borderId="4" xfId="1" applyFont="1" applyFill="1" applyBorder="1" applyAlignment="1">
      <alignment horizontal="center" vertical="center" wrapText="1"/>
    </xf>
    <xf numFmtId="14" fontId="31" fillId="0" borderId="4" xfId="1" applyNumberFormat="1" applyFont="1" applyFill="1" applyBorder="1" applyAlignment="1" applyProtection="1">
      <alignment horizontal="center" vertical="center" wrapText="1"/>
      <protection locked="0"/>
    </xf>
    <xf numFmtId="49" fontId="28" fillId="3" borderId="4" xfId="1" applyNumberFormat="1" applyFont="1" applyFill="1" applyBorder="1" applyAlignment="1">
      <alignment horizontal="center" vertical="center" wrapText="1"/>
    </xf>
    <xf numFmtId="0" fontId="37" fillId="0" borderId="4" xfId="1" applyNumberFormat="1" applyFont="1" applyFill="1" applyBorder="1" applyAlignment="1">
      <alignment horizontal="left" vertical="center" wrapText="1"/>
    </xf>
    <xf numFmtId="0" fontId="37" fillId="0" borderId="4" xfId="1" applyNumberFormat="1" applyFont="1" applyFill="1" applyBorder="1" applyAlignment="1">
      <alignment horizontal="center" vertical="center" wrapText="1"/>
    </xf>
    <xf numFmtId="49" fontId="37" fillId="0" borderId="4" xfId="1" applyNumberFormat="1" applyFont="1" applyFill="1" applyBorder="1" applyAlignment="1" applyProtection="1">
      <alignment horizontal="center" vertical="center" wrapText="1"/>
    </xf>
    <xf numFmtId="0" fontId="37" fillId="0" borderId="4" xfId="1" applyFont="1" applyFill="1" applyBorder="1" applyAlignment="1">
      <alignment horizontal="center" vertical="center" wrapText="1"/>
    </xf>
    <xf numFmtId="0" fontId="32" fillId="0" borderId="14" xfId="1" applyNumberFormat="1" applyFont="1" applyFill="1" applyBorder="1" applyAlignment="1">
      <alignment horizontal="left" vertical="center" wrapText="1"/>
    </xf>
    <xf numFmtId="0" fontId="37" fillId="3" borderId="5" xfId="1" applyNumberFormat="1" applyFont="1" applyFill="1" applyBorder="1" applyAlignment="1">
      <alignment horizontal="left" vertical="center" wrapText="1"/>
    </xf>
    <xf numFmtId="0" fontId="37" fillId="3" borderId="5" xfId="1" applyNumberFormat="1" applyFont="1" applyFill="1" applyBorder="1" applyAlignment="1">
      <alignment horizontal="center" vertical="center" wrapText="1"/>
    </xf>
    <xf numFmtId="49" fontId="37" fillId="3" borderId="5" xfId="1" applyNumberFormat="1" applyFont="1" applyFill="1" applyBorder="1" applyAlignment="1" applyProtection="1">
      <alignment horizontal="center" vertical="center" wrapText="1"/>
    </xf>
    <xf numFmtId="0" fontId="37" fillId="3" borderId="5" xfId="1" applyFont="1" applyFill="1" applyBorder="1" applyAlignment="1">
      <alignment horizontal="center" vertical="center" wrapText="1"/>
    </xf>
    <xf numFmtId="0" fontId="37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14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40" fillId="0" borderId="4" xfId="1" applyFont="1" applyFill="1" applyBorder="1" applyAlignment="1" applyProtection="1">
      <alignment horizontal="center" vertical="center"/>
      <protection locked="0" hidden="1"/>
    </xf>
    <xf numFmtId="0" fontId="37" fillId="3" borderId="10" xfId="1" applyNumberFormat="1" applyFont="1" applyFill="1" applyBorder="1" applyAlignment="1">
      <alignment horizontal="left" vertical="center" wrapText="1"/>
    </xf>
    <xf numFmtId="0" fontId="37" fillId="3" borderId="11" xfId="1" applyNumberFormat="1" applyFont="1" applyFill="1" applyBorder="1" applyAlignment="1">
      <alignment horizontal="center" vertical="center" wrapText="1"/>
    </xf>
    <xf numFmtId="49" fontId="37" fillId="3" borderId="11" xfId="1" applyNumberFormat="1" applyFont="1" applyFill="1" applyBorder="1" applyAlignment="1" applyProtection="1">
      <alignment horizontal="center" vertical="center" wrapText="1"/>
    </xf>
    <xf numFmtId="0" fontId="37" fillId="3" borderId="11" xfId="1" applyFont="1" applyFill="1" applyBorder="1" applyAlignment="1">
      <alignment horizontal="center" vertical="center" wrapText="1"/>
    </xf>
    <xf numFmtId="0" fontId="37" fillId="0" borderId="11" xfId="1" applyFont="1" applyFill="1" applyBorder="1" applyAlignment="1">
      <alignment horizontal="center" vertical="center" wrapText="1"/>
    </xf>
    <xf numFmtId="0" fontId="37" fillId="0" borderId="11" xfId="1" applyNumberFormat="1" applyFont="1" applyFill="1" applyBorder="1" applyAlignment="1">
      <alignment horizontal="center" vertical="center" wrapText="1"/>
    </xf>
    <xf numFmtId="0" fontId="37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14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32" fillId="0" borderId="10" xfId="1" applyNumberFormat="1" applyFont="1" applyFill="1" applyBorder="1" applyAlignment="1">
      <alignment horizontal="left" vertical="center" wrapText="1"/>
    </xf>
    <xf numFmtId="49" fontId="32" fillId="0" borderId="11" xfId="1" applyNumberFormat="1" applyFont="1" applyFill="1" applyBorder="1" applyAlignment="1" applyProtection="1">
      <alignment horizontal="center" vertical="center" wrapText="1"/>
    </xf>
    <xf numFmtId="0" fontId="32" fillId="0" borderId="11" xfId="1" applyFont="1" applyFill="1" applyBorder="1" applyAlignment="1">
      <alignment horizontal="center" vertical="center" wrapText="1"/>
    </xf>
    <xf numFmtId="0" fontId="32" fillId="0" borderId="13" xfId="1" applyNumberFormat="1" applyFont="1" applyFill="1" applyBorder="1" applyAlignment="1">
      <alignment horizontal="left" vertical="center" wrapText="1"/>
    </xf>
    <xf numFmtId="0" fontId="24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2" xfId="1" applyNumberFormat="1" applyFont="1" applyFill="1" applyBorder="1" applyAlignment="1">
      <alignment horizontal="center" vertical="center" wrapText="1"/>
    </xf>
    <xf numFmtId="0" fontId="28" fillId="3" borderId="6" xfId="1" applyNumberFormat="1" applyFont="1" applyFill="1" applyBorder="1" applyAlignment="1">
      <alignment horizontal="left" vertical="center" wrapText="1"/>
    </xf>
    <xf numFmtId="49" fontId="28" fillId="3" borderId="6" xfId="1" applyNumberFormat="1" applyFont="1" applyFill="1" applyBorder="1" applyAlignment="1" applyProtection="1">
      <alignment horizontal="center" vertical="center" wrapText="1"/>
    </xf>
    <xf numFmtId="0" fontId="28" fillId="3" borderId="6" xfId="2" applyFont="1" applyFill="1" applyBorder="1" applyAlignment="1">
      <alignment horizontal="center" vertical="center" wrapText="1"/>
    </xf>
    <xf numFmtId="164" fontId="28" fillId="3" borderId="6" xfId="0" applyNumberFormat="1" applyFont="1" applyFill="1" applyBorder="1" applyAlignment="1">
      <alignment horizontal="center" vertical="center" wrapText="1"/>
    </xf>
    <xf numFmtId="14" fontId="28" fillId="3" borderId="6" xfId="1" applyNumberFormat="1" applyFont="1" applyFill="1" applyBorder="1" applyAlignment="1" applyProtection="1">
      <alignment horizontal="center" vertical="center" wrapText="1"/>
    </xf>
    <xf numFmtId="0" fontId="33" fillId="0" borderId="6" xfId="1" applyNumberFormat="1" applyFont="1" applyFill="1" applyBorder="1" applyAlignment="1">
      <alignment horizontal="center" vertical="center" wrapText="1"/>
    </xf>
    <xf numFmtId="0" fontId="32" fillId="3" borderId="13" xfId="1" applyNumberFormat="1" applyFont="1" applyFill="1" applyBorder="1" applyAlignment="1">
      <alignment horizontal="left" vertical="center" wrapText="1"/>
    </xf>
    <xf numFmtId="49" fontId="28" fillId="0" borderId="11" xfId="4" applyNumberFormat="1" applyFont="1" applyFill="1" applyBorder="1" applyAlignment="1">
      <alignment horizontal="center" vertical="center" wrapText="1"/>
    </xf>
    <xf numFmtId="0" fontId="24" fillId="3" borderId="6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6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10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11" xfId="1" applyNumberFormat="1" applyFont="1" applyFill="1" applyBorder="1" applyAlignment="1">
      <alignment horizontal="center" vertical="center" wrapText="1"/>
    </xf>
    <xf numFmtId="0" fontId="24" fillId="0" borderId="4" xfId="1" applyNumberFormat="1" applyFont="1" applyFill="1" applyBorder="1" applyAlignment="1">
      <alignment horizontal="center" vertical="center" wrapText="1"/>
    </xf>
    <xf numFmtId="0" fontId="30" fillId="0" borderId="4" xfId="1" applyFont="1" applyFill="1" applyBorder="1" applyAlignment="1" applyProtection="1">
      <alignment horizontal="center" vertical="center"/>
      <protection locked="0" hidden="1"/>
    </xf>
    <xf numFmtId="0" fontId="28" fillId="0" borderId="12" xfId="1" applyNumberFormat="1" applyFont="1" applyFill="1" applyBorder="1" applyAlignment="1">
      <alignment horizontal="center" vertical="center" wrapText="1"/>
    </xf>
    <xf numFmtId="0" fontId="28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32" fillId="3" borderId="7" xfId="1" applyNumberFormat="1" applyFont="1" applyFill="1" applyBorder="1" applyAlignment="1">
      <alignment horizontal="left" vertical="center" wrapText="1"/>
    </xf>
    <xf numFmtId="0" fontId="28" fillId="3" borderId="14" xfId="1" applyNumberFormat="1" applyFont="1" applyFill="1" applyBorder="1" applyAlignment="1">
      <alignment horizontal="center" vertical="center" wrapText="1"/>
    </xf>
    <xf numFmtId="0" fontId="32" fillId="3" borderId="14" xfId="1" applyNumberFormat="1" applyFont="1" applyFill="1" applyBorder="1" applyAlignment="1">
      <alignment horizontal="center" vertical="center" wrapText="1"/>
    </xf>
    <xf numFmtId="49" fontId="32" fillId="3" borderId="14" xfId="1" applyNumberFormat="1" applyFont="1" applyFill="1" applyBorder="1" applyAlignment="1" applyProtection="1">
      <alignment horizontal="center" vertical="center" wrapText="1"/>
    </xf>
    <xf numFmtId="0" fontId="32" fillId="3" borderId="14" xfId="1" applyFont="1" applyFill="1" applyBorder="1" applyAlignment="1">
      <alignment horizontal="center" vertical="center" wrapText="1"/>
    </xf>
    <xf numFmtId="0" fontId="28" fillId="3" borderId="14" xfId="0" applyNumberFormat="1" applyFont="1" applyFill="1" applyBorder="1" applyAlignment="1">
      <alignment horizontal="center" vertical="center" wrapText="1"/>
    </xf>
    <xf numFmtId="0" fontId="24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14" xfId="1" applyNumberFormat="1" applyFont="1" applyFill="1" applyBorder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/>
    </xf>
    <xf numFmtId="0" fontId="13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24" fillId="3" borderId="15" xfId="1" applyNumberFormat="1" applyFont="1" applyFill="1" applyBorder="1" applyAlignment="1" applyProtection="1">
      <alignment horizontal="center" vertical="center" wrapText="1"/>
      <protection locked="0"/>
    </xf>
    <xf numFmtId="14" fontId="28" fillId="0" borderId="11" xfId="0" applyNumberFormat="1" applyFont="1" applyBorder="1" applyAlignment="1">
      <alignment horizontal="center" vertical="center" wrapText="1"/>
    </xf>
    <xf numFmtId="0" fontId="28" fillId="0" borderId="14" xfId="1" applyNumberFormat="1" applyFont="1" applyFill="1" applyBorder="1" applyAlignment="1" applyProtection="1">
      <alignment horizontal="center" vertical="center" wrapText="1"/>
    </xf>
    <xf numFmtId="0" fontId="30" fillId="0" borderId="14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14" fontId="31" fillId="3" borderId="14" xfId="0" applyNumberFormat="1" applyFont="1" applyFill="1" applyBorder="1" applyAlignment="1">
      <alignment horizontal="center" vertical="center" wrapText="1"/>
    </xf>
    <xf numFmtId="14" fontId="28" fillId="0" borderId="14" xfId="1" applyNumberFormat="1" applyFont="1" applyFill="1" applyBorder="1" applyAlignment="1">
      <alignment horizontal="center" vertical="center" wrapText="1"/>
    </xf>
    <xf numFmtId="49" fontId="31" fillId="3" borderId="14" xfId="0" applyNumberFormat="1" applyFont="1" applyFill="1" applyBorder="1" applyAlignment="1">
      <alignment horizontal="center" vertical="center" wrapText="1"/>
    </xf>
    <xf numFmtId="0" fontId="28" fillId="0" borderId="14" xfId="1" applyNumberFormat="1" applyFont="1" applyFill="1" applyBorder="1" applyAlignment="1" applyProtection="1">
      <alignment horizontal="center" vertical="center" wrapText="1"/>
      <protection locked="0"/>
    </xf>
    <xf numFmtId="0" fontId="32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1" fontId="12" fillId="0" borderId="5" xfId="1" applyNumberFormat="1" applyFont="1" applyFill="1" applyBorder="1" applyAlignment="1">
      <alignment horizontal="center" vertical="center" wrapText="1"/>
    </xf>
    <xf numFmtId="49" fontId="31" fillId="0" borderId="11" xfId="0" applyNumberFormat="1" applyFont="1" applyFill="1" applyBorder="1" applyAlignment="1">
      <alignment horizontal="center" vertical="center" wrapText="1"/>
    </xf>
    <xf numFmtId="49" fontId="37" fillId="0" borderId="11" xfId="1" applyNumberFormat="1" applyFont="1" applyFill="1" applyBorder="1" applyAlignment="1" applyProtection="1">
      <alignment horizontal="center" vertical="center" wrapText="1"/>
    </xf>
    <xf numFmtId="0" fontId="38" fillId="3" borderId="11" xfId="1" applyNumberFormat="1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left" vertical="center" wrapText="1"/>
    </xf>
    <xf numFmtId="0" fontId="25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33" fillId="3" borderId="11" xfId="1" applyNumberFormat="1" applyFont="1" applyFill="1" applyBorder="1" applyAlignment="1">
      <alignment horizontal="left" vertical="center" wrapText="1"/>
    </xf>
    <xf numFmtId="0" fontId="33" fillId="3" borderId="11" xfId="1" applyNumberFormat="1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33" fillId="3" borderId="11" xfId="0" applyNumberFormat="1" applyFont="1" applyFill="1" applyBorder="1" applyAlignment="1">
      <alignment horizontal="center" vertical="center" wrapText="1"/>
    </xf>
    <xf numFmtId="49" fontId="32" fillId="0" borderId="14" xfId="1" applyNumberFormat="1" applyFont="1" applyFill="1" applyBorder="1" applyAlignment="1" applyProtection="1">
      <alignment horizontal="center" vertical="center" wrapText="1"/>
    </xf>
    <xf numFmtId="0" fontId="32" fillId="0" borderId="14" xfId="1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14" fontId="28" fillId="3" borderId="14" xfId="0" applyNumberFormat="1" applyFont="1" applyFill="1" applyBorder="1" applyAlignment="1">
      <alignment horizontal="center" vertical="center" wrapText="1"/>
    </xf>
    <xf numFmtId="0" fontId="31" fillId="0" borderId="14" xfId="0" applyNumberFormat="1" applyFont="1" applyFill="1" applyBorder="1" applyAlignment="1">
      <alignment horizontal="center" vertical="center" wrapText="1"/>
    </xf>
    <xf numFmtId="14" fontId="31" fillId="0" borderId="14" xfId="0" applyNumberFormat="1" applyFont="1" applyFill="1" applyBorder="1" applyAlignment="1">
      <alignment horizontal="center" vertical="center" wrapText="1"/>
    </xf>
    <xf numFmtId="49" fontId="28" fillId="0" borderId="14" xfId="2" applyNumberFormat="1" applyFont="1" applyFill="1" applyBorder="1" applyAlignment="1">
      <alignment horizontal="center" vertical="center" wrapText="1"/>
    </xf>
    <xf numFmtId="49" fontId="31" fillId="0" borderId="4" xfId="0" applyNumberFormat="1" applyFont="1" applyFill="1" applyBorder="1" applyAlignment="1">
      <alignment horizontal="center" vertical="center" wrapText="1"/>
    </xf>
    <xf numFmtId="0" fontId="33" fillId="3" borderId="4" xfId="0" applyFont="1" applyFill="1" applyBorder="1" applyAlignment="1">
      <alignment horizontal="center" vertical="center" wrapText="1"/>
    </xf>
    <xf numFmtId="49" fontId="33" fillId="0" borderId="4" xfId="1" applyNumberFormat="1" applyFont="1" applyFill="1" applyBorder="1" applyAlignment="1" applyProtection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49" fontId="28" fillId="0" borderId="4" xfId="0" applyNumberFormat="1" applyFont="1" applyBorder="1" applyAlignment="1">
      <alignment horizontal="center" vertical="center" wrapText="1"/>
    </xf>
    <xf numFmtId="0" fontId="28" fillId="0" borderId="4" xfId="3" applyNumberFormat="1" applyFont="1" applyFill="1" applyBorder="1" applyAlignment="1">
      <alignment horizontal="center" vertical="center" wrapText="1"/>
    </xf>
    <xf numFmtId="0" fontId="37" fillId="0" borderId="14" xfId="1" applyNumberFormat="1" applyFont="1" applyFill="1" applyBorder="1" applyAlignment="1">
      <alignment horizontal="left" vertical="center" wrapText="1"/>
    </xf>
    <xf numFmtId="0" fontId="37" fillId="0" borderId="14" xfId="1" applyNumberFormat="1" applyFont="1" applyFill="1" applyBorder="1" applyAlignment="1">
      <alignment horizontal="center" vertical="center" wrapText="1"/>
    </xf>
    <xf numFmtId="49" fontId="37" fillId="0" borderId="14" xfId="1" applyNumberFormat="1" applyFont="1" applyFill="1" applyBorder="1" applyAlignment="1" applyProtection="1">
      <alignment horizontal="center" vertical="center" wrapText="1"/>
    </xf>
    <xf numFmtId="0" fontId="37" fillId="0" borderId="14" xfId="1" applyFont="1" applyFill="1" applyBorder="1" applyAlignment="1">
      <alignment horizontal="center" vertical="center" wrapText="1"/>
    </xf>
    <xf numFmtId="0" fontId="30" fillId="3" borderId="14" xfId="0" applyFont="1" applyFill="1" applyBorder="1" applyAlignment="1">
      <alignment horizontal="center" vertical="center"/>
    </xf>
    <xf numFmtId="0" fontId="28" fillId="0" borderId="14" xfId="0" applyNumberFormat="1" applyFont="1" applyFill="1" applyBorder="1" applyAlignment="1" applyProtection="1">
      <alignment horizontal="center" vertical="center" wrapText="1"/>
    </xf>
    <xf numFmtId="49" fontId="28" fillId="3" borderId="14" xfId="0" applyNumberFormat="1" applyFont="1" applyFill="1" applyBorder="1" applyAlignment="1">
      <alignment horizontal="center" vertical="center" wrapText="1"/>
    </xf>
    <xf numFmtId="0" fontId="37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37" fillId="3" borderId="14" xfId="1" applyNumberFormat="1" applyFont="1" applyFill="1" applyBorder="1" applyAlignment="1">
      <alignment horizontal="center" vertical="center" wrapText="1"/>
    </xf>
    <xf numFmtId="0" fontId="14" fillId="0" borderId="14" xfId="1" applyNumberFormat="1" applyFont="1" applyFill="1" applyBorder="1" applyAlignment="1">
      <alignment horizontal="center" vertical="center" wrapText="1"/>
    </xf>
    <xf numFmtId="0" fontId="28" fillId="0" borderId="4" xfId="2" applyNumberFormat="1" applyFont="1" applyFill="1" applyBorder="1" applyAlignment="1">
      <alignment horizontal="center" vertical="center" wrapText="1"/>
    </xf>
    <xf numFmtId="49" fontId="28" fillId="0" borderId="4" xfId="4" applyNumberFormat="1" applyFont="1" applyFill="1" applyBorder="1" applyAlignment="1">
      <alignment horizontal="center" vertical="center" wrapText="1"/>
    </xf>
    <xf numFmtId="0" fontId="33" fillId="0" borderId="4" xfId="2" applyFont="1" applyFill="1" applyBorder="1" applyAlignment="1">
      <alignment horizontal="center" vertical="center" wrapText="1"/>
    </xf>
    <xf numFmtId="0" fontId="33" fillId="3" borderId="4" xfId="0" applyFont="1" applyFill="1" applyBorder="1" applyAlignment="1">
      <alignment horizontal="left" vertical="center" wrapText="1"/>
    </xf>
    <xf numFmtId="0" fontId="41" fillId="3" borderId="4" xfId="1" applyNumberFormat="1" applyFont="1" applyFill="1" applyBorder="1" applyAlignment="1">
      <alignment horizontal="center" vertical="center" wrapText="1"/>
    </xf>
    <xf numFmtId="49" fontId="28" fillId="0" borderId="4" xfId="0" applyNumberFormat="1" applyFont="1" applyFill="1" applyBorder="1" applyAlignment="1">
      <alignment horizontal="center" vertical="center" wrapText="1"/>
    </xf>
    <xf numFmtId="0" fontId="28" fillId="0" borderId="4" xfId="4" applyNumberFormat="1" applyFont="1" applyFill="1" applyBorder="1" applyAlignment="1">
      <alignment horizontal="center" vertical="center" wrapText="1"/>
    </xf>
    <xf numFmtId="0" fontId="32" fillId="3" borderId="4" xfId="2" applyFont="1" applyFill="1" applyBorder="1" applyAlignment="1">
      <alignment horizontal="center" vertical="center" wrapText="1"/>
    </xf>
    <xf numFmtId="0" fontId="25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32" fillId="0" borderId="4" xfId="2" applyFont="1" applyFill="1" applyBorder="1" applyAlignment="1">
      <alignment horizontal="center" vertical="center" wrapText="1"/>
    </xf>
    <xf numFmtId="0" fontId="28" fillId="3" borderId="4" xfId="1" applyNumberFormat="1" applyFont="1" applyFill="1" applyBorder="1" applyAlignment="1" applyProtection="1">
      <alignment horizontal="center" vertical="center" wrapText="1"/>
      <protection locked="0"/>
    </xf>
    <xf numFmtId="49" fontId="28" fillId="0" borderId="4" xfId="2" applyNumberFormat="1" applyFont="1" applyFill="1" applyBorder="1" applyAlignment="1">
      <alignment horizontal="center" vertical="center" wrapText="1"/>
    </xf>
    <xf numFmtId="0" fontId="14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14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11" xfId="0" applyFont="1" applyFill="1" applyBorder="1" applyAlignment="1">
      <alignment horizontal="left" vertical="center" wrapText="1"/>
    </xf>
    <xf numFmtId="0" fontId="33" fillId="0" borderId="11" xfId="0" applyNumberFormat="1" applyFont="1" applyFill="1" applyBorder="1" applyAlignment="1">
      <alignment horizontal="center" vertical="center" wrapText="1"/>
    </xf>
    <xf numFmtId="0" fontId="24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4" xfId="0" applyFont="1" applyFill="1" applyBorder="1" applyAlignment="1">
      <alignment horizontal="left" vertical="center" wrapText="1"/>
    </xf>
    <xf numFmtId="0" fontId="32" fillId="0" borderId="14" xfId="1" applyNumberFormat="1" applyFont="1" applyFill="1" applyBorder="1" applyAlignment="1" applyProtection="1">
      <alignment horizontal="center" vertical="center" wrapText="1"/>
      <protection locked="0"/>
    </xf>
    <xf numFmtId="49" fontId="32" fillId="0" borderId="14" xfId="1" applyNumberFormat="1" applyFont="1" applyFill="1" applyBorder="1" applyAlignment="1" applyProtection="1">
      <alignment horizontal="center" vertical="center" wrapText="1"/>
      <protection locked="0"/>
    </xf>
    <xf numFmtId="14" fontId="28" fillId="3" borderId="14" xfId="1" applyNumberFormat="1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33" fillId="0" borderId="4" xfId="1" applyNumberFormat="1" applyFont="1" applyFill="1" applyBorder="1" applyAlignment="1" applyProtection="1">
      <alignment horizontal="center" vertical="center" wrapText="1"/>
      <protection locked="0"/>
    </xf>
    <xf numFmtId="49" fontId="33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4" xfId="1" applyFont="1" applyFill="1" applyBorder="1" applyAlignment="1" applyProtection="1">
      <alignment horizontal="center" vertical="center" wrapText="1"/>
      <protection locked="0"/>
    </xf>
    <xf numFmtId="49" fontId="34" fillId="3" borderId="4" xfId="3" applyNumberFormat="1" applyFont="1" applyFill="1" applyBorder="1" applyAlignment="1">
      <alignment horizontal="center" vertical="center"/>
    </xf>
    <xf numFmtId="0" fontId="28" fillId="0" borderId="4" xfId="2" applyNumberFormat="1" applyFont="1" applyFill="1" applyBorder="1" applyAlignment="1" applyProtection="1">
      <alignment horizontal="center" vertical="center" wrapText="1"/>
    </xf>
    <xf numFmtId="0" fontId="34" fillId="3" borderId="4" xfId="1" applyFont="1" applyFill="1" applyBorder="1" applyAlignment="1">
      <alignment horizontal="center" vertical="center"/>
    </xf>
    <xf numFmtId="0" fontId="28" fillId="3" borderId="14" xfId="1" applyNumberFormat="1" applyFont="1" applyFill="1" applyBorder="1" applyAlignment="1" applyProtection="1">
      <alignment horizontal="center" vertical="center" wrapText="1"/>
    </xf>
    <xf numFmtId="0" fontId="2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34" fillId="3" borderId="4" xfId="0" applyNumberFormat="1" applyFont="1" applyFill="1" applyBorder="1" applyAlignment="1">
      <alignment horizontal="center" vertical="center"/>
    </xf>
    <xf numFmtId="0" fontId="28" fillId="0" borderId="4" xfId="6" applyNumberFormat="1" applyFont="1" applyFill="1" applyBorder="1" applyAlignment="1">
      <alignment horizontal="center" vertical="center" wrapText="1"/>
    </xf>
    <xf numFmtId="0" fontId="33" fillId="3" borderId="4" xfId="2" applyNumberFormat="1" applyFont="1" applyFill="1" applyBorder="1" applyAlignment="1">
      <alignment horizontal="center" vertical="center" wrapText="1"/>
    </xf>
    <xf numFmtId="49" fontId="33" fillId="3" borderId="4" xfId="2" applyNumberFormat="1" applyFont="1" applyFill="1" applyBorder="1" applyAlignment="1" applyProtection="1">
      <alignment horizontal="center" vertical="center" wrapText="1"/>
    </xf>
    <xf numFmtId="0" fontId="33" fillId="3" borderId="4" xfId="2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vertical="center"/>
    </xf>
    <xf numFmtId="0" fontId="28" fillId="3" borderId="14" xfId="0" applyFont="1" applyFill="1" applyBorder="1" applyAlignment="1">
      <alignment horizontal="left" vertical="center" wrapText="1"/>
    </xf>
    <xf numFmtId="0" fontId="30" fillId="0" borderId="14" xfId="3" applyNumberFormat="1" applyFont="1" applyFill="1" applyBorder="1" applyAlignment="1">
      <alignment horizontal="center" vertical="center"/>
    </xf>
    <xf numFmtId="0" fontId="28" fillId="0" borderId="14" xfId="4" applyNumberFormat="1" applyFont="1" applyFill="1" applyBorder="1" applyAlignment="1">
      <alignment horizontal="center" vertical="center" wrapText="1"/>
    </xf>
    <xf numFmtId="49" fontId="28" fillId="0" borderId="14" xfId="0" applyNumberFormat="1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wrapText="1"/>
    </xf>
    <xf numFmtId="0" fontId="16" fillId="0" borderId="14" xfId="0" applyFont="1" applyBorder="1" applyAlignment="1">
      <alignment horizontal="center"/>
    </xf>
    <xf numFmtId="0" fontId="16" fillId="0" borderId="14" xfId="0" applyFont="1" applyBorder="1"/>
    <xf numFmtId="49" fontId="30" fillId="3" borderId="4" xfId="0" applyNumberFormat="1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 wrapText="1"/>
    </xf>
    <xf numFmtId="0" fontId="30" fillId="3" borderId="4" xfId="3" applyNumberFormat="1" applyFont="1" applyFill="1" applyBorder="1" applyAlignment="1">
      <alignment horizontal="center" vertical="center"/>
    </xf>
    <xf numFmtId="49" fontId="28" fillId="0" borderId="4" xfId="3" applyNumberFormat="1" applyFont="1" applyFill="1" applyBorder="1" applyAlignment="1">
      <alignment horizontal="center" vertical="center" wrapText="1"/>
    </xf>
    <xf numFmtId="0" fontId="37" fillId="0" borderId="14" xfId="2" applyNumberFormat="1" applyFont="1" applyFill="1" applyBorder="1" applyAlignment="1">
      <alignment horizontal="left" vertical="center" wrapText="1"/>
    </xf>
    <xf numFmtId="0" fontId="38" fillId="3" borderId="5" xfId="1" applyNumberFormat="1" applyFont="1" applyFill="1" applyBorder="1" applyAlignment="1">
      <alignment horizontal="center" vertical="center" wrapText="1"/>
    </xf>
    <xf numFmtId="1" fontId="35" fillId="0" borderId="5" xfId="1" applyNumberFormat="1" applyFont="1" applyFill="1" applyBorder="1" applyAlignment="1">
      <alignment vertical="center" wrapText="1"/>
    </xf>
    <xf numFmtId="1" fontId="35" fillId="0" borderId="5" xfId="1" applyNumberFormat="1" applyFont="1" applyFill="1" applyBorder="1" applyAlignment="1">
      <alignment horizontal="center" vertical="center" wrapText="1"/>
    </xf>
    <xf numFmtId="1" fontId="35" fillId="0" borderId="5" xfId="1" applyNumberFormat="1" applyFont="1" applyFill="1" applyBorder="1" applyAlignment="1">
      <alignment horizontal="center" vertical="center"/>
    </xf>
    <xf numFmtId="1" fontId="35" fillId="0" borderId="5" xfId="1" applyNumberFormat="1" applyFont="1" applyFill="1" applyBorder="1" applyAlignment="1">
      <alignment vertical="center"/>
    </xf>
    <xf numFmtId="1" fontId="31" fillId="0" borderId="5" xfId="1" applyNumberFormat="1" applyFont="1" applyFill="1" applyBorder="1" applyAlignment="1">
      <alignment vertical="center" wrapText="1"/>
    </xf>
    <xf numFmtId="1" fontId="31" fillId="0" borderId="5" xfId="1" applyNumberFormat="1" applyFont="1" applyFill="1" applyBorder="1" applyAlignment="1">
      <alignment horizontal="center" vertical="center" wrapText="1"/>
    </xf>
    <xf numFmtId="1" fontId="12" fillId="0" borderId="3" xfId="1" applyNumberFormat="1" applyFont="1" applyFill="1" applyBorder="1" applyAlignment="1">
      <alignment vertical="center" wrapText="1"/>
    </xf>
    <xf numFmtId="0" fontId="31" fillId="0" borderId="15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5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wrapText="1"/>
    </xf>
    <xf numFmtId="0" fontId="13" fillId="3" borderId="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0" fontId="16" fillId="3" borderId="3" xfId="0" applyFont="1" applyFill="1" applyBorder="1"/>
    <xf numFmtId="0" fontId="31" fillId="3" borderId="5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left" vertical="center" wrapText="1"/>
    </xf>
    <xf numFmtId="0" fontId="32" fillId="0" borderId="7" xfId="1" applyNumberFormat="1" applyFont="1" applyFill="1" applyBorder="1" applyAlignment="1">
      <alignment horizontal="left" vertical="center" wrapText="1"/>
    </xf>
    <xf numFmtId="0" fontId="33" fillId="0" borderId="13" xfId="1" applyNumberFormat="1" applyFont="1" applyFill="1" applyBorder="1" applyAlignment="1">
      <alignment horizontal="left" vertical="center" wrapText="1"/>
    </xf>
    <xf numFmtId="0" fontId="37" fillId="0" borderId="10" xfId="1" applyNumberFormat="1" applyFont="1" applyFill="1" applyBorder="1" applyAlignment="1">
      <alignment horizontal="left" vertical="center" wrapText="1"/>
    </xf>
    <xf numFmtId="0" fontId="37" fillId="0" borderId="7" xfId="1" applyNumberFormat="1" applyFont="1" applyFill="1" applyBorder="1" applyAlignment="1">
      <alignment horizontal="left" vertical="center" wrapText="1"/>
    </xf>
    <xf numFmtId="0" fontId="33" fillId="3" borderId="13" xfId="0" applyFont="1" applyFill="1" applyBorder="1" applyAlignment="1">
      <alignment horizontal="left" vertical="center" wrapText="1"/>
    </xf>
    <xf numFmtId="0" fontId="33" fillId="3" borderId="10" xfId="1" applyNumberFormat="1" applyFont="1" applyFill="1" applyBorder="1" applyAlignment="1">
      <alignment horizontal="left" vertical="center" wrapText="1"/>
    </xf>
    <xf numFmtId="0" fontId="37" fillId="0" borderId="13" xfId="1" applyNumberFormat="1" applyFont="1" applyFill="1" applyBorder="1" applyAlignment="1">
      <alignment horizontal="left" vertical="center" wrapText="1"/>
    </xf>
    <xf numFmtId="0" fontId="32" fillId="0" borderId="13" xfId="1" applyNumberFormat="1" applyFont="1" applyFill="1" applyBorder="1" applyAlignment="1" applyProtection="1">
      <alignment horizontal="left" vertical="center" wrapText="1"/>
      <protection locked="0"/>
    </xf>
    <xf numFmtId="0" fontId="32" fillId="0" borderId="3" xfId="1" applyNumberFormat="1" applyFont="1" applyFill="1" applyBorder="1" applyAlignment="1" applyProtection="1">
      <alignment horizontal="left" vertical="center" wrapText="1"/>
      <protection locked="0"/>
    </xf>
    <xf numFmtId="0" fontId="31" fillId="0" borderId="10" xfId="1" applyNumberFormat="1" applyFont="1" applyFill="1" applyBorder="1" applyAlignment="1" applyProtection="1">
      <alignment horizontal="left" vertical="center" wrapText="1"/>
      <protection locked="0"/>
    </xf>
    <xf numFmtId="0" fontId="37" fillId="0" borderId="3" xfId="1" applyNumberFormat="1" applyFont="1" applyFill="1" applyBorder="1" applyAlignment="1" applyProtection="1">
      <alignment horizontal="left" vertical="center" wrapText="1"/>
      <protection locked="0"/>
    </xf>
    <xf numFmtId="0" fontId="33" fillId="0" borderId="3" xfId="1" applyNumberFormat="1" applyFont="1" applyFill="1" applyBorder="1" applyAlignment="1" applyProtection="1">
      <alignment horizontal="left" vertical="center" wrapText="1"/>
      <protection locked="0"/>
    </xf>
    <xf numFmtId="0" fontId="32" fillId="0" borderId="7" xfId="1" applyNumberFormat="1" applyFont="1" applyFill="1" applyBorder="1" applyAlignment="1" applyProtection="1">
      <alignment horizontal="left" vertical="center" wrapText="1"/>
      <protection locked="0"/>
    </xf>
    <xf numFmtId="0" fontId="33" fillId="0" borderId="13" xfId="1" applyNumberFormat="1" applyFont="1" applyFill="1" applyBorder="1" applyAlignment="1" applyProtection="1">
      <alignment horizontal="left" vertical="center" wrapText="1"/>
      <protection locked="0"/>
    </xf>
    <xf numFmtId="0" fontId="33" fillId="3" borderId="13" xfId="2" applyNumberFormat="1" applyFont="1" applyFill="1" applyBorder="1" applyAlignment="1">
      <alignment horizontal="left" vertical="center" wrapText="1"/>
    </xf>
    <xf numFmtId="0" fontId="32" fillId="3" borderId="5" xfId="0" applyFont="1" applyFill="1" applyBorder="1" applyAlignment="1">
      <alignment horizontal="left" vertical="center" wrapText="1"/>
    </xf>
    <xf numFmtId="0" fontId="28" fillId="6" borderId="7" xfId="0" applyFont="1" applyFill="1" applyBorder="1" applyAlignment="1">
      <alignment horizontal="left" vertical="center" wrapText="1"/>
    </xf>
    <xf numFmtId="0" fontId="37" fillId="0" borderId="7" xfId="2" applyNumberFormat="1" applyFont="1" applyFill="1" applyBorder="1" applyAlignment="1">
      <alignment horizontal="left" vertical="center" wrapText="1"/>
    </xf>
    <xf numFmtId="0" fontId="32" fillId="0" borderId="3" xfId="2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left"/>
    </xf>
    <xf numFmtId="0" fontId="28" fillId="0" borderId="1" xfId="0" applyNumberFormat="1" applyFont="1" applyFill="1" applyBorder="1" applyAlignment="1">
      <alignment horizontal="left" vertical="center" wrapText="1"/>
    </xf>
    <xf numFmtId="0" fontId="28" fillId="0" borderId="1" xfId="1" applyNumberFormat="1" applyFont="1" applyFill="1" applyBorder="1" applyAlignment="1" applyProtection="1">
      <alignment horizontal="left" vertical="center" wrapText="1"/>
    </xf>
    <xf numFmtId="0" fontId="35" fillId="3" borderId="1" xfId="0" applyFont="1" applyFill="1" applyBorder="1" applyAlignment="1">
      <alignment horizontal="left" vertical="center"/>
    </xf>
    <xf numFmtId="0" fontId="28" fillId="0" borderId="1" xfId="4" applyNumberFormat="1" applyFont="1" applyFill="1" applyBorder="1" applyAlignment="1">
      <alignment horizontal="left" vertical="center" wrapText="1"/>
    </xf>
    <xf numFmtId="0" fontId="28" fillId="0" borderId="1" xfId="1" applyNumberFormat="1" applyFont="1" applyFill="1" applyBorder="1" applyAlignment="1" applyProtection="1">
      <alignment horizontal="left" vertical="center" wrapText="1"/>
      <protection locked="0"/>
    </xf>
    <xf numFmtId="0" fontId="47" fillId="0" borderId="0" xfId="0" applyFont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0" fillId="0" borderId="15" xfId="0" applyBorder="1"/>
    <xf numFmtId="14" fontId="29" fillId="0" borderId="15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textRotation="90"/>
    </xf>
    <xf numFmtId="0" fontId="29" fillId="3" borderId="1" xfId="0" applyFont="1" applyFill="1" applyBorder="1" applyAlignment="1">
      <alignment horizontal="center" vertical="center" textRotation="90" wrapText="1"/>
    </xf>
    <xf numFmtId="0" fontId="29" fillId="0" borderId="1" xfId="0" applyFont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1" xfId="0" applyFill="1" applyBorder="1"/>
    <xf numFmtId="0" fontId="0" fillId="11" borderId="1" xfId="0" applyFill="1" applyBorder="1"/>
    <xf numFmtId="0" fontId="0" fillId="0" borderId="6" xfId="0" applyBorder="1" applyAlignment="1">
      <alignment horizontal="center" vertical="center"/>
    </xf>
    <xf numFmtId="0" fontId="28" fillId="0" borderId="15" xfId="0" applyFont="1" applyBorder="1"/>
    <xf numFmtId="0" fontId="28" fillId="0" borderId="15" xfId="0" applyFont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wrapText="1"/>
    </xf>
    <xf numFmtId="0" fontId="30" fillId="3" borderId="14" xfId="1" applyFont="1" applyFill="1" applyBorder="1" applyAlignment="1">
      <alignment horizontal="center" vertical="center"/>
    </xf>
    <xf numFmtId="0" fontId="33" fillId="0" borderId="9" xfId="1" applyNumberFormat="1" applyFont="1" applyFill="1" applyBorder="1" applyAlignment="1">
      <alignment horizontal="center" vertical="center" wrapText="1"/>
    </xf>
    <xf numFmtId="0" fontId="32" fillId="0" borderId="8" xfId="1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2" fillId="3" borderId="12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33" fillId="3" borderId="1" xfId="1" applyNumberFormat="1" applyFont="1" applyFill="1" applyBorder="1" applyAlignment="1">
      <alignment horizontal="left" vertical="center" wrapText="1"/>
    </xf>
    <xf numFmtId="0" fontId="28" fillId="0" borderId="0" xfId="0" applyFont="1" applyAlignment="1">
      <alignment horizontal="center" vertical="center"/>
    </xf>
    <xf numFmtId="0" fontId="16" fillId="0" borderId="2" xfId="0" applyFont="1" applyBorder="1"/>
    <xf numFmtId="0" fontId="28" fillId="3" borderId="2" xfId="1" applyNumberFormat="1" applyFont="1" applyFill="1" applyBorder="1" applyAlignment="1">
      <alignment vertical="center" wrapText="1"/>
    </xf>
    <xf numFmtId="0" fontId="28" fillId="3" borderId="5" xfId="1" applyNumberFormat="1" applyFont="1" applyFill="1" applyBorder="1" applyAlignment="1">
      <alignment vertical="center" wrapText="1"/>
    </xf>
    <xf numFmtId="1" fontId="12" fillId="0" borderId="2" xfId="1" applyNumberFormat="1" applyFont="1" applyFill="1" applyBorder="1" applyAlignment="1" applyProtection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28" fillId="3" borderId="2" xfId="1" applyNumberFormat="1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vertical="center"/>
    </xf>
    <xf numFmtId="14" fontId="28" fillId="3" borderId="5" xfId="1" applyNumberFormat="1" applyFont="1" applyFill="1" applyBorder="1" applyAlignment="1">
      <alignment horizontal="left" vertical="center" wrapText="1"/>
    </xf>
    <xf numFmtId="0" fontId="31" fillId="3" borderId="1" xfId="0" applyFont="1" applyFill="1" applyBorder="1" applyAlignment="1">
      <alignment vertical="center"/>
    </xf>
    <xf numFmtId="0" fontId="31" fillId="3" borderId="1" xfId="0" applyNumberFormat="1" applyFont="1" applyFill="1" applyBorder="1" applyAlignment="1">
      <alignment horizontal="left" vertical="center" wrapText="1"/>
    </xf>
    <xf numFmtId="0" fontId="31" fillId="3" borderId="11" xfId="1" applyNumberFormat="1" applyFont="1" applyFill="1" applyBorder="1" applyAlignment="1">
      <alignment horizontal="left" vertical="center" wrapText="1"/>
    </xf>
    <xf numFmtId="0" fontId="32" fillId="3" borderId="4" xfId="0" applyFont="1" applyFill="1" applyBorder="1" applyAlignment="1">
      <alignment vertical="center"/>
    </xf>
    <xf numFmtId="0" fontId="33" fillId="3" borderId="1" xfId="0" applyNumberFormat="1" applyFont="1" applyFill="1" applyBorder="1" applyAlignment="1">
      <alignment horizontal="left" vertical="center" wrapText="1"/>
    </xf>
    <xf numFmtId="0" fontId="33" fillId="3" borderId="1" xfId="0" applyFont="1" applyFill="1" applyBorder="1" applyAlignment="1">
      <alignment horizontal="left" vertical="center"/>
    </xf>
    <xf numFmtId="0" fontId="33" fillId="3" borderId="4" xfId="1" applyNumberFormat="1" applyFont="1" applyFill="1" applyBorder="1" applyAlignment="1">
      <alignment horizontal="left" vertical="center" wrapText="1"/>
    </xf>
    <xf numFmtId="0" fontId="28" fillId="3" borderId="4" xfId="1" applyNumberFormat="1" applyFont="1" applyFill="1" applyBorder="1" applyAlignment="1">
      <alignment horizontal="left" vertical="center" wrapText="1"/>
    </xf>
    <xf numFmtId="0" fontId="32" fillId="3" borderId="11" xfId="0" applyFont="1" applyFill="1" applyBorder="1" applyAlignment="1">
      <alignment vertical="center"/>
    </xf>
    <xf numFmtId="0" fontId="31" fillId="3" borderId="5" xfId="0" applyFont="1" applyFill="1" applyBorder="1" applyAlignment="1">
      <alignment horizontal="left" vertical="center" wrapText="1"/>
    </xf>
    <xf numFmtId="0" fontId="31" fillId="3" borderId="11" xfId="0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horizontal="left" vertical="center"/>
    </xf>
    <xf numFmtId="0" fontId="33" fillId="3" borderId="5" xfId="1" applyNumberFormat="1" applyFont="1" applyFill="1" applyBorder="1" applyAlignment="1">
      <alignment horizontal="left" vertical="center" wrapText="1"/>
    </xf>
    <xf numFmtId="0" fontId="33" fillId="3" borderId="6" xfId="1" applyNumberFormat="1" applyFont="1" applyFill="1" applyBorder="1" applyAlignment="1">
      <alignment horizontal="left" vertical="center" wrapText="1"/>
    </xf>
    <xf numFmtId="0" fontId="28" fillId="3" borderId="4" xfId="0" applyFont="1" applyFill="1" applyBorder="1" applyAlignment="1">
      <alignment vertical="center"/>
    </xf>
    <xf numFmtId="0" fontId="32" fillId="3" borderId="14" xfId="0" applyFont="1" applyFill="1" applyBorder="1" applyAlignment="1">
      <alignment vertical="center"/>
    </xf>
    <xf numFmtId="0" fontId="28" fillId="3" borderId="5" xfId="0" applyFont="1" applyFill="1" applyBorder="1" applyAlignment="1"/>
    <xf numFmtId="0" fontId="28" fillId="3" borderId="4" xfId="0" applyFont="1" applyFill="1" applyBorder="1" applyAlignment="1">
      <alignment horizontal="left" vertical="center"/>
    </xf>
    <xf numFmtId="0" fontId="31" fillId="3" borderId="4" xfId="1" applyNumberFormat="1" applyFont="1" applyFill="1" applyBorder="1" applyAlignment="1">
      <alignment horizontal="left" vertical="center" wrapText="1"/>
    </xf>
    <xf numFmtId="0" fontId="31" fillId="3" borderId="4" xfId="0" applyFont="1" applyFill="1" applyBorder="1" applyAlignment="1">
      <alignment horizontal="left" vertical="center" wrapText="1"/>
    </xf>
    <xf numFmtId="0" fontId="28" fillId="3" borderId="15" xfId="1" applyNumberFormat="1" applyFont="1" applyFill="1" applyBorder="1" applyAlignment="1">
      <alignment horizontal="left" vertical="center" wrapText="1"/>
    </xf>
    <xf numFmtId="0" fontId="28" fillId="0" borderId="5" xfId="0" applyFont="1" applyBorder="1" applyAlignment="1">
      <alignment horizontal="left" wrapText="1"/>
    </xf>
    <xf numFmtId="0" fontId="32" fillId="0" borderId="1" xfId="0" applyFont="1" applyBorder="1" applyAlignment="1">
      <alignment horizontal="center" vertical="center"/>
    </xf>
    <xf numFmtId="14" fontId="28" fillId="3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4" fontId="27" fillId="0" borderId="1" xfId="0" applyNumberFormat="1" applyFont="1" applyFill="1" applyBorder="1" applyAlignment="1">
      <alignment horizontal="center" vertical="center" wrapText="1"/>
    </xf>
    <xf numFmtId="0" fontId="13" fillId="0" borderId="1" xfId="1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/>
    <xf numFmtId="0" fontId="50" fillId="0" borderId="41" xfId="5" applyFont="1" applyBorder="1" applyAlignment="1">
      <alignment horizontal="center" vertical="center" wrapText="1"/>
    </xf>
    <xf numFmtId="0" fontId="50" fillId="0" borderId="1" xfId="5" applyFont="1" applyBorder="1" applyAlignment="1">
      <alignment horizontal="center" vertical="center" wrapText="1"/>
    </xf>
    <xf numFmtId="14" fontId="51" fillId="0" borderId="0" xfId="5" applyNumberFormat="1" applyFont="1"/>
    <xf numFmtId="0" fontId="51" fillId="0" borderId="0" xfId="5" applyFont="1"/>
    <xf numFmtId="0" fontId="51" fillId="0" borderId="50" xfId="5" applyFont="1" applyBorder="1" applyAlignment="1">
      <alignment vertical="center"/>
    </xf>
    <xf numFmtId="0" fontId="50" fillId="0" borderId="50" xfId="5" applyFont="1" applyBorder="1" applyAlignment="1">
      <alignment vertical="center" wrapText="1"/>
    </xf>
    <xf numFmtId="0" fontId="51" fillId="0" borderId="1" xfId="5" applyFont="1" applyBorder="1" applyAlignment="1">
      <alignment vertical="center"/>
    </xf>
    <xf numFmtId="0" fontId="51" fillId="0" borderId="1" xfId="5" applyNumberFormat="1" applyFont="1" applyBorder="1" applyAlignment="1">
      <alignment vertical="center"/>
    </xf>
    <xf numFmtId="0" fontId="51" fillId="0" borderId="53" xfId="5" applyFont="1" applyBorder="1" applyAlignment="1">
      <alignment vertical="center"/>
    </xf>
    <xf numFmtId="0" fontId="51" fillId="0" borderId="53" xfId="5" applyNumberFormat="1" applyFont="1" applyBorder="1" applyAlignment="1">
      <alignment vertical="center"/>
    </xf>
    <xf numFmtId="0" fontId="9" fillId="0" borderId="0" xfId="5"/>
    <xf numFmtId="0" fontId="43" fillId="0" borderId="1" xfId="0" applyFont="1" applyBorder="1" applyAlignment="1">
      <alignment horizontal="center" vertical="center" wrapText="1"/>
    </xf>
    <xf numFmtId="0" fontId="28" fillId="3" borderId="3" xfId="2" applyNumberFormat="1" applyFont="1" applyFill="1" applyBorder="1" applyAlignment="1">
      <alignment horizontal="center" vertical="center" wrapText="1"/>
    </xf>
    <xf numFmtId="0" fontId="31" fillId="0" borderId="11" xfId="0" applyFont="1" applyFill="1" applyBorder="1" applyAlignment="1"/>
    <xf numFmtId="0" fontId="31" fillId="3" borderId="14" xfId="0" applyFont="1" applyFill="1" applyBorder="1" applyAlignment="1">
      <alignment horizontal="center" vertical="center" wrapText="1"/>
    </xf>
    <xf numFmtId="0" fontId="31" fillId="3" borderId="14" xfId="0" applyNumberFormat="1" applyFont="1" applyFill="1" applyBorder="1" applyAlignment="1">
      <alignment horizontal="center" vertical="center" wrapText="1"/>
    </xf>
    <xf numFmtId="0" fontId="34" fillId="3" borderId="1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14" fontId="31" fillId="3" borderId="11" xfId="0" applyNumberFormat="1" applyFont="1" applyFill="1" applyBorder="1" applyAlignment="1">
      <alignment horizontal="center" vertical="center"/>
    </xf>
    <xf numFmtId="0" fontId="28" fillId="0" borderId="10" xfId="2" applyNumberFormat="1" applyFont="1" applyFill="1" applyBorder="1" applyAlignment="1">
      <alignment horizontal="left" vertical="center" wrapText="1"/>
    </xf>
    <xf numFmtId="49" fontId="28" fillId="0" borderId="11" xfId="1" applyNumberFormat="1" applyFont="1" applyFill="1" applyBorder="1" applyAlignment="1">
      <alignment horizontal="center" vertical="center" wrapText="1"/>
    </xf>
    <xf numFmtId="14" fontId="28" fillId="0" borderId="4" xfId="0" applyNumberFormat="1" applyFont="1" applyBorder="1" applyAlignment="1">
      <alignment horizontal="center" vertical="center"/>
    </xf>
    <xf numFmtId="0" fontId="28" fillId="0" borderId="2" xfId="2" applyNumberFormat="1" applyFont="1" applyFill="1" applyBorder="1" applyAlignment="1">
      <alignment horizontal="left" vertical="center" wrapText="1"/>
    </xf>
    <xf numFmtId="49" fontId="28" fillId="0" borderId="5" xfId="1" applyNumberFormat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left" vertical="center" wrapText="1"/>
    </xf>
    <xf numFmtId="49" fontId="28" fillId="0" borderId="1" xfId="2" applyNumberFormat="1" applyFont="1" applyFill="1" applyBorder="1" applyAlignment="1" applyProtection="1">
      <alignment horizontal="center" vertical="center" wrapText="1"/>
    </xf>
    <xf numFmtId="0" fontId="31" fillId="0" borderId="0" xfId="0" applyFont="1" applyAlignment="1">
      <alignment horizontal="center" vertical="center" textRotation="90"/>
    </xf>
    <xf numFmtId="0" fontId="35" fillId="0" borderId="0" xfId="0" applyFont="1" applyAlignment="1">
      <alignment horizontal="center" vertical="center" textRotation="90"/>
    </xf>
    <xf numFmtId="0" fontId="31" fillId="0" borderId="0" xfId="0" applyFont="1" applyAlignment="1">
      <alignment horizontal="center" textRotation="90"/>
    </xf>
    <xf numFmtId="0" fontId="31" fillId="0" borderId="0" xfId="0" applyFont="1" applyAlignment="1">
      <alignment textRotation="90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6" xfId="0" applyFont="1" applyBorder="1" applyAlignment="1">
      <alignment horizontal="center" vertical="center" textRotation="90"/>
    </xf>
    <xf numFmtId="0" fontId="31" fillId="0" borderId="55" xfId="0" applyFont="1" applyBorder="1" applyAlignment="1">
      <alignment horizontal="center" vertical="center" textRotation="90"/>
    </xf>
    <xf numFmtId="0" fontId="31" fillId="0" borderId="56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textRotation="90"/>
    </xf>
    <xf numFmtId="0" fontId="35" fillId="0" borderId="37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1" fontId="31" fillId="0" borderId="34" xfId="0" applyNumberFormat="1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vertical="center"/>
    </xf>
    <xf numFmtId="0" fontId="31" fillId="0" borderId="32" xfId="0" applyFont="1" applyBorder="1" applyAlignment="1">
      <alignment vertical="center"/>
    </xf>
    <xf numFmtId="1" fontId="31" fillId="0" borderId="37" xfId="0" applyNumberFormat="1" applyFont="1" applyBorder="1" applyAlignment="1">
      <alignment horizontal="center" vertical="center"/>
    </xf>
    <xf numFmtId="0" fontId="31" fillId="0" borderId="61" xfId="0" applyFont="1" applyBorder="1" applyAlignment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31" fillId="0" borderId="58" xfId="0" applyFont="1" applyBorder="1" applyAlignment="1">
      <alignment vertical="center"/>
    </xf>
    <xf numFmtId="0" fontId="31" fillId="0" borderId="36" xfId="0" applyFont="1" applyBorder="1" applyAlignment="1">
      <alignment vertical="center"/>
    </xf>
    <xf numFmtId="0" fontId="31" fillId="0" borderId="4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4" xfId="0" applyFont="1" applyBorder="1" applyAlignment="1">
      <alignment vertical="center"/>
    </xf>
    <xf numFmtId="0" fontId="31" fillId="0" borderId="23" xfId="0" applyFont="1" applyBorder="1" applyAlignment="1">
      <alignment vertical="center"/>
    </xf>
    <xf numFmtId="0" fontId="35" fillId="0" borderId="44" xfId="0" applyFont="1" applyBorder="1" applyAlignment="1">
      <alignment horizontal="center" vertical="center"/>
    </xf>
    <xf numFmtId="1" fontId="35" fillId="0" borderId="25" xfId="0" applyNumberFormat="1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62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 textRotation="90"/>
    </xf>
    <xf numFmtId="0" fontId="35" fillId="0" borderId="43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 textRotation="90"/>
    </xf>
    <xf numFmtId="0" fontId="35" fillId="0" borderId="19" xfId="0" applyFont="1" applyBorder="1" applyAlignment="1">
      <alignment horizontal="center" vertical="center"/>
    </xf>
    <xf numFmtId="0" fontId="31" fillId="0" borderId="21" xfId="0" applyFont="1" applyBorder="1" applyAlignment="1">
      <alignment vertical="center"/>
    </xf>
    <xf numFmtId="0" fontId="31" fillId="0" borderId="37" xfId="0" applyFont="1" applyBorder="1" applyAlignment="1">
      <alignment vertical="center"/>
    </xf>
    <xf numFmtId="0" fontId="31" fillId="0" borderId="4" xfId="0" applyFont="1" applyFill="1" applyBorder="1" applyAlignment="1"/>
    <xf numFmtId="0" fontId="32" fillId="0" borderId="11" xfId="1" applyNumberFormat="1" applyFont="1" applyFill="1" applyBorder="1" applyAlignment="1">
      <alignment horizontal="left" vertical="center" wrapText="1"/>
    </xf>
    <xf numFmtId="49" fontId="35" fillId="3" borderId="14" xfId="0" applyNumberFormat="1" applyFont="1" applyFill="1" applyBorder="1" applyAlignment="1">
      <alignment horizontal="center" vertical="center"/>
    </xf>
    <xf numFmtId="0" fontId="31" fillId="3" borderId="14" xfId="0" applyFont="1" applyFill="1" applyBorder="1" applyAlignment="1"/>
    <xf numFmtId="0" fontId="31" fillId="0" borderId="14" xfId="0" applyFont="1" applyFill="1" applyBorder="1" applyAlignment="1">
      <alignment horizontal="center" vertical="center" wrapText="1"/>
    </xf>
    <xf numFmtId="0" fontId="33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Border="1" applyAlignment="1">
      <alignment horizontal="left" vertical="center" wrapText="1"/>
    </xf>
    <xf numFmtId="49" fontId="28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30" fillId="3" borderId="1" xfId="1" applyNumberFormat="1" applyFont="1" applyFill="1" applyBorder="1" applyAlignment="1" applyProtection="1">
      <alignment horizontal="center" vertical="center"/>
    </xf>
    <xf numFmtId="0" fontId="32" fillId="0" borderId="14" xfId="2" applyFont="1" applyFill="1" applyBorder="1" applyAlignment="1">
      <alignment horizontal="center" vertical="center" wrapText="1"/>
    </xf>
    <xf numFmtId="0" fontId="40" fillId="3" borderId="1" xfId="1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8" fillId="2" borderId="1" xfId="1" applyNumberFormat="1" applyFont="1" applyFill="1" applyBorder="1" applyAlignment="1">
      <alignment horizontal="left" vertical="center" wrapText="1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8" xfId="1" applyNumberFormat="1" applyFont="1" applyFill="1" applyBorder="1" applyAlignment="1">
      <alignment horizontal="center" vertical="center" wrapText="1"/>
    </xf>
    <xf numFmtId="49" fontId="28" fillId="3" borderId="1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wrapText="1"/>
    </xf>
    <xf numFmtId="0" fontId="30" fillId="3" borderId="2" xfId="0" applyFont="1" applyFill="1" applyBorder="1" applyAlignment="1">
      <alignment horizontal="center" vertical="center"/>
    </xf>
    <xf numFmtId="0" fontId="43" fillId="0" borderId="2" xfId="0" applyFont="1" applyBorder="1"/>
    <xf numFmtId="0" fontId="28" fillId="3" borderId="2" xfId="0" applyFont="1" applyFill="1" applyBorder="1" applyAlignment="1"/>
    <xf numFmtId="49" fontId="28" fillId="0" borderId="11" xfId="0" applyNumberFormat="1" applyFont="1" applyBorder="1" applyAlignment="1">
      <alignment horizontal="center" vertical="center" wrapText="1"/>
    </xf>
    <xf numFmtId="0" fontId="34" fillId="3" borderId="11" xfId="3" applyNumberFormat="1" applyFont="1" applyFill="1" applyBorder="1" applyAlignment="1">
      <alignment horizontal="center" vertical="center"/>
    </xf>
    <xf numFmtId="0" fontId="28" fillId="0" borderId="11" xfId="3" applyNumberFormat="1" applyFont="1" applyFill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14" fontId="44" fillId="0" borderId="0" xfId="0" applyNumberFormat="1" applyFont="1" applyBorder="1" applyAlignment="1"/>
    <xf numFmtId="0" fontId="33" fillId="0" borderId="10" xfId="1" applyNumberFormat="1" applyFont="1" applyFill="1" applyBorder="1" applyAlignment="1">
      <alignment horizontal="left" vertical="center" wrapText="1"/>
    </xf>
    <xf numFmtId="49" fontId="33" fillId="0" borderId="11" xfId="1" applyNumberFormat="1" applyFont="1" applyFill="1" applyBorder="1" applyAlignment="1" applyProtection="1">
      <alignment horizontal="center" vertical="center" wrapText="1"/>
    </xf>
    <xf numFmtId="0" fontId="33" fillId="0" borderId="11" xfId="1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/>
    </xf>
    <xf numFmtId="0" fontId="25" fillId="0" borderId="10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4" fontId="31" fillId="0" borderId="1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1" fontId="23" fillId="10" borderId="37" xfId="10" applyNumberFormat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0" fontId="32" fillId="0" borderId="1" xfId="1" applyNumberFormat="1" applyFont="1" applyFill="1" applyBorder="1" applyAlignment="1" applyProtection="1">
      <alignment horizontal="left" vertical="center" wrapText="1"/>
      <protection locked="0"/>
    </xf>
    <xf numFmtId="14" fontId="28" fillId="3" borderId="1" xfId="1" applyNumberFormat="1" applyFont="1" applyFill="1" applyBorder="1" applyAlignment="1">
      <alignment horizontal="center" vertical="center"/>
    </xf>
    <xf numFmtId="0" fontId="28" fillId="0" borderId="3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wrapText="1"/>
    </xf>
    <xf numFmtId="0" fontId="31" fillId="0" borderId="13" xfId="1" applyNumberFormat="1" applyFont="1" applyFill="1" applyBorder="1" applyAlignment="1" applyProtection="1">
      <alignment horizontal="left" vertical="center" wrapText="1"/>
      <protection locked="0"/>
    </xf>
    <xf numFmtId="0" fontId="37" fillId="3" borderId="1" xfId="1" applyNumberFormat="1" applyFont="1" applyFill="1" applyBorder="1" applyAlignment="1">
      <alignment horizontal="left" vertical="center" wrapText="1"/>
    </xf>
    <xf numFmtId="14" fontId="28" fillId="0" borderId="0" xfId="0" applyNumberFormat="1" applyFont="1" applyBorder="1" applyAlignment="1">
      <alignment horizontal="center" vertical="center"/>
    </xf>
    <xf numFmtId="1" fontId="12" fillId="0" borderId="2" xfId="1" applyNumberFormat="1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 wrapText="1"/>
    </xf>
    <xf numFmtId="0" fontId="28" fillId="0" borderId="2" xfId="0" applyFont="1" applyBorder="1" applyAlignment="1">
      <alignment wrapText="1"/>
    </xf>
    <xf numFmtId="0" fontId="29" fillId="0" borderId="1" xfId="0" applyFont="1" applyBorder="1" applyAlignment="1">
      <alignment horizontal="center" vertical="center" wrapText="1"/>
    </xf>
    <xf numFmtId="1" fontId="12" fillId="0" borderId="4" xfId="1" applyNumberFormat="1" applyFont="1" applyFill="1" applyBorder="1" applyAlignment="1" applyProtection="1">
      <alignment horizontal="center" vertical="center" wrapText="1"/>
    </xf>
    <xf numFmtId="0" fontId="28" fillId="3" borderId="15" xfId="2" applyFont="1" applyFill="1" applyBorder="1" applyAlignment="1">
      <alignment horizontal="center" vertical="center" wrapText="1"/>
    </xf>
    <xf numFmtId="0" fontId="28" fillId="3" borderId="15" xfId="1" applyNumberFormat="1" applyFont="1" applyFill="1" applyBorder="1" applyAlignment="1" applyProtection="1">
      <alignment horizontal="center" vertical="center" wrapText="1"/>
    </xf>
    <xf numFmtId="0" fontId="13" fillId="3" borderId="15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13" xfId="1" applyNumberFormat="1" applyFont="1" applyFill="1" applyBorder="1" applyAlignment="1" applyProtection="1">
      <alignment horizontal="center" vertical="center" wrapText="1"/>
      <protection locked="0"/>
    </xf>
    <xf numFmtId="0" fontId="12" fillId="2" borderId="0" xfId="0" applyNumberFormat="1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49" fontId="12" fillId="3" borderId="9" xfId="0" applyNumberFormat="1" applyFont="1" applyFill="1" applyBorder="1" applyAlignment="1">
      <alignment horizontal="center" vertical="center" wrapText="1"/>
    </xf>
    <xf numFmtId="49" fontId="28" fillId="3" borderId="0" xfId="0" applyNumberFormat="1" applyFont="1" applyFill="1" applyBorder="1" applyAlignment="1">
      <alignment horizontal="center" vertical="center" wrapText="1"/>
    </xf>
    <xf numFmtId="49" fontId="28" fillId="3" borderId="9" xfId="0" applyNumberFormat="1" applyFont="1" applyFill="1" applyBorder="1" applyAlignment="1">
      <alignment horizontal="center" vertical="center" wrapText="1"/>
    </xf>
    <xf numFmtId="0" fontId="12" fillId="0" borderId="9" xfId="0" applyNumberFormat="1" applyFont="1" applyFill="1" applyBorder="1" applyAlignment="1">
      <alignment horizontal="center" vertical="center" wrapText="1"/>
    </xf>
    <xf numFmtId="0" fontId="28" fillId="3" borderId="2" xfId="0" applyNumberFormat="1" applyFont="1" applyFill="1" applyBorder="1" applyAlignment="1">
      <alignment horizontal="center" vertical="center" wrapText="1"/>
    </xf>
    <xf numFmtId="0" fontId="34" fillId="3" borderId="0" xfId="0" applyFont="1" applyFill="1" applyBorder="1" applyAlignment="1">
      <alignment horizontal="center" vertical="center"/>
    </xf>
    <xf numFmtId="14" fontId="31" fillId="3" borderId="0" xfId="0" applyNumberFormat="1" applyFont="1" applyFill="1" applyBorder="1" applyAlignment="1">
      <alignment vertical="center"/>
    </xf>
    <xf numFmtId="0" fontId="28" fillId="3" borderId="9" xfId="0" applyFont="1" applyFill="1" applyBorder="1" applyAlignment="1">
      <alignment horizontal="center" vertical="center"/>
    </xf>
    <xf numFmtId="0" fontId="32" fillId="3" borderId="4" xfId="1" applyNumberFormat="1" applyFont="1" applyFill="1" applyBorder="1" applyAlignment="1">
      <alignment horizontal="left" vertical="center" wrapText="1"/>
    </xf>
    <xf numFmtId="0" fontId="32" fillId="3" borderId="1" xfId="0" applyNumberFormat="1" applyFont="1" applyFill="1" applyBorder="1" applyAlignment="1">
      <alignment horizontal="left" vertical="center" wrapText="1"/>
    </xf>
    <xf numFmtId="0" fontId="32" fillId="3" borderId="11" xfId="1" applyNumberFormat="1" applyFont="1" applyFill="1" applyBorder="1" applyAlignment="1">
      <alignment horizontal="left" vertical="center" wrapText="1"/>
    </xf>
    <xf numFmtId="0" fontId="33" fillId="3" borderId="1" xfId="1" applyNumberFormat="1" applyFont="1" applyFill="1" applyBorder="1" applyAlignment="1" applyProtection="1">
      <alignment horizontal="left" vertical="center" wrapText="1"/>
      <protection locked="0"/>
    </xf>
    <xf numFmtId="0" fontId="32" fillId="3" borderId="4" xfId="0" applyNumberFormat="1" applyFont="1" applyFill="1" applyBorder="1" applyAlignment="1">
      <alignment horizontal="left" vertical="center" wrapText="1"/>
    </xf>
    <xf numFmtId="0" fontId="33" fillId="3" borderId="11" xfId="0" applyNumberFormat="1" applyFont="1" applyFill="1" applyBorder="1" applyAlignment="1">
      <alignment horizontal="left" vertical="center" wrapText="1"/>
    </xf>
    <xf numFmtId="0" fontId="33" fillId="3" borderId="4" xfId="0" applyNumberFormat="1" applyFont="1" applyFill="1" applyBorder="1" applyAlignment="1">
      <alignment horizontal="left" vertical="center" wrapText="1"/>
    </xf>
    <xf numFmtId="0" fontId="37" fillId="3" borderId="1" xfId="1" applyNumberFormat="1" applyFont="1" applyFill="1" applyBorder="1" applyAlignment="1" applyProtection="1">
      <alignment horizontal="left" vertical="center" wrapText="1"/>
      <protection locked="0"/>
    </xf>
    <xf numFmtId="0" fontId="28" fillId="3" borderId="1" xfId="0" applyFont="1" applyFill="1" applyBorder="1" applyAlignment="1">
      <alignment vertical="center" wrapText="1"/>
    </xf>
    <xf numFmtId="0" fontId="32" fillId="3" borderId="1" xfId="0" applyFont="1" applyFill="1" applyBorder="1" applyAlignment="1">
      <alignment vertical="center" wrapText="1"/>
    </xf>
    <xf numFmtId="0" fontId="33" fillId="3" borderId="4" xfId="0" applyFont="1" applyFill="1" applyBorder="1" applyAlignment="1">
      <alignment horizontal="left" vertical="center"/>
    </xf>
    <xf numFmtId="49" fontId="33" fillId="3" borderId="1" xfId="1" applyNumberFormat="1" applyFont="1" applyFill="1" applyBorder="1" applyAlignment="1" applyProtection="1">
      <alignment horizontal="left" vertical="center" wrapText="1"/>
      <protection locked="0"/>
    </xf>
    <xf numFmtId="0" fontId="37" fillId="3" borderId="1" xfId="0" applyFont="1" applyFill="1" applyBorder="1" applyAlignment="1">
      <alignment horizontal="left" vertical="center"/>
    </xf>
    <xf numFmtId="49" fontId="32" fillId="3" borderId="4" xfId="1" applyNumberFormat="1" applyFont="1" applyFill="1" applyBorder="1" applyAlignment="1" applyProtection="1">
      <alignment horizontal="left" vertical="center" wrapText="1"/>
      <protection locked="0"/>
    </xf>
    <xf numFmtId="0" fontId="32" fillId="3" borderId="11" xfId="0" applyFont="1" applyFill="1" applyBorder="1" applyAlignment="1">
      <alignment horizontal="left" vertical="center"/>
    </xf>
    <xf numFmtId="0" fontId="33" fillId="3" borderId="14" xfId="1" applyNumberFormat="1" applyFont="1" applyFill="1" applyBorder="1" applyAlignment="1">
      <alignment horizontal="left" vertical="center" wrapText="1"/>
    </xf>
    <xf numFmtId="0" fontId="32" fillId="3" borderId="1" xfId="1" applyFont="1" applyFill="1" applyBorder="1" applyAlignment="1">
      <alignment horizontal="left" vertical="center" wrapText="1"/>
    </xf>
    <xf numFmtId="0" fontId="37" fillId="3" borderId="11" xfId="1" applyNumberFormat="1" applyFont="1" applyFill="1" applyBorder="1" applyAlignment="1">
      <alignment horizontal="left" vertical="center" wrapText="1"/>
    </xf>
    <xf numFmtId="0" fontId="32" fillId="3" borderId="14" xfId="1" applyNumberFormat="1" applyFont="1" applyFill="1" applyBorder="1" applyAlignment="1">
      <alignment horizontal="left" vertical="center" wrapText="1"/>
    </xf>
    <xf numFmtId="0" fontId="43" fillId="3" borderId="0" xfId="0" applyFont="1" applyFill="1"/>
    <xf numFmtId="0" fontId="29" fillId="3" borderId="1" xfId="0" applyFont="1" applyFill="1" applyBorder="1" applyAlignment="1">
      <alignment horizontal="center" vertical="center" wrapText="1"/>
    </xf>
    <xf numFmtId="0" fontId="30" fillId="3" borderId="11" xfId="3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28" fillId="0" borderId="1" xfId="0" applyFont="1" applyBorder="1" applyAlignment="1">
      <alignment horizontal="left" vertical="center"/>
    </xf>
    <xf numFmtId="0" fontId="28" fillId="0" borderId="0" xfId="0" applyFont="1" applyAlignment="1">
      <alignment horizontal="center" wrapText="1"/>
    </xf>
    <xf numFmtId="14" fontId="3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>
      <alignment horizontal="left" vertical="center" wrapText="1"/>
    </xf>
    <xf numFmtId="0" fontId="28" fillId="13" borderId="1" xfId="0" applyFont="1" applyFill="1" applyBorder="1" applyAlignment="1">
      <alignment horizontal="left" vertical="center" wrapText="1"/>
    </xf>
    <xf numFmtId="0" fontId="28" fillId="13" borderId="1" xfId="1" applyNumberFormat="1" applyFont="1" applyFill="1" applyBorder="1" applyAlignment="1">
      <alignment horizontal="left" vertical="center" wrapText="1"/>
    </xf>
    <xf numFmtId="0" fontId="28" fillId="13" borderId="1" xfId="0" applyFont="1" applyFill="1" applyBorder="1" applyAlignment="1">
      <alignment vertical="center"/>
    </xf>
    <xf numFmtId="0" fontId="32" fillId="0" borderId="12" xfId="1" applyNumberFormat="1" applyFont="1" applyFill="1" applyBorder="1" applyAlignment="1">
      <alignment horizontal="center" vertical="center"/>
    </xf>
    <xf numFmtId="0" fontId="32" fillId="3" borderId="11" xfId="1" applyNumberFormat="1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31" fillId="0" borderId="11" xfId="1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vertical="center"/>
    </xf>
    <xf numFmtId="0" fontId="31" fillId="0" borderId="1" xfId="1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0" fontId="53" fillId="0" borderId="1" xfId="0" applyFont="1" applyBorder="1"/>
    <xf numFmtId="0" fontId="53" fillId="0" borderId="1" xfId="0" applyFont="1" applyBorder="1" applyAlignment="1">
      <alignment horizontal="center" vertical="center"/>
    </xf>
    <xf numFmtId="0" fontId="53" fillId="15" borderId="1" xfId="0" applyFont="1" applyFill="1" applyBorder="1"/>
    <xf numFmtId="0" fontId="53" fillId="15" borderId="1" xfId="0" applyFont="1" applyFill="1" applyBorder="1" applyAlignment="1">
      <alignment horizontal="center" vertical="center"/>
    </xf>
    <xf numFmtId="49" fontId="53" fillId="0" borderId="1" xfId="0" applyNumberFormat="1" applyFont="1" applyBorder="1"/>
    <xf numFmtId="49" fontId="53" fillId="15" borderId="1" xfId="0" applyNumberFormat="1" applyFont="1" applyFill="1" applyBorder="1"/>
    <xf numFmtId="0" fontId="53" fillId="0" borderId="0" xfId="0" applyFont="1"/>
    <xf numFmtId="0" fontId="31" fillId="0" borderId="0" xfId="0" applyFont="1" applyFill="1" applyBorder="1" applyAlignment="1">
      <alignment horizontal="left" vertical="center" wrapText="1"/>
    </xf>
    <xf numFmtId="0" fontId="31" fillId="0" borderId="1" xfId="0" applyNumberFormat="1" applyFont="1" applyFill="1" applyBorder="1" applyAlignment="1">
      <alignment horizontal="left" vertical="center" wrapText="1"/>
    </xf>
    <xf numFmtId="0" fontId="28" fillId="0" borderId="4" xfId="1" applyNumberFormat="1" applyFont="1" applyFill="1" applyBorder="1" applyAlignment="1">
      <alignment horizontal="left" vertical="center" wrapText="1"/>
    </xf>
    <xf numFmtId="0" fontId="56" fillId="0" borderId="1" xfId="0" applyFont="1" applyFill="1" applyBorder="1" applyAlignment="1">
      <alignment horizontal="center" vertical="center" wrapText="1"/>
    </xf>
    <xf numFmtId="0" fontId="5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16" borderId="1" xfId="17" applyFont="1" applyFill="1" applyBorder="1" applyAlignment="1">
      <alignment horizontal="center" vertical="center" wrapText="1" readingOrder="1"/>
    </xf>
    <xf numFmtId="166" fontId="56" fillId="16" borderId="1" xfId="0" applyNumberFormat="1" applyFont="1" applyFill="1" applyBorder="1" applyAlignment="1">
      <alignment horizontal="center" vertical="center"/>
    </xf>
    <xf numFmtId="9" fontId="56" fillId="16" borderId="1" xfId="0" applyNumberFormat="1" applyFont="1" applyFill="1" applyBorder="1" applyAlignment="1">
      <alignment horizontal="center" vertical="center"/>
    </xf>
    <xf numFmtId="3" fontId="58" fillId="16" borderId="1" xfId="18" applyNumberFormat="1" applyFont="1" applyFill="1" applyBorder="1" applyAlignment="1">
      <alignment horizontal="center" vertical="center" wrapText="1" readingOrder="1"/>
    </xf>
    <xf numFmtId="166" fontId="21" fillId="17" borderId="1" xfId="0" applyNumberFormat="1" applyFont="1" applyFill="1" applyBorder="1" applyAlignment="1">
      <alignment horizontal="left" vertical="center"/>
    </xf>
    <xf numFmtId="166" fontId="59" fillId="0" borderId="1" xfId="18" applyNumberFormat="1" applyFont="1" applyBorder="1" applyAlignment="1">
      <alignment horizontal="center" vertical="center" wrapText="1" readingOrder="1"/>
    </xf>
    <xf numFmtId="166" fontId="59" fillId="0" borderId="2" xfId="18" applyNumberFormat="1" applyFont="1" applyBorder="1" applyAlignment="1">
      <alignment horizontal="center" vertical="center" wrapText="1" readingOrder="1"/>
    </xf>
    <xf numFmtId="166" fontId="56" fillId="17" borderId="1" xfId="0" applyNumberFormat="1" applyFont="1" applyFill="1" applyBorder="1" applyAlignment="1">
      <alignment horizontal="center" vertical="center"/>
    </xf>
    <xf numFmtId="166" fontId="59" fillId="18" borderId="2" xfId="18" applyNumberFormat="1" applyFont="1" applyFill="1" applyBorder="1" applyAlignment="1">
      <alignment horizontal="center" vertical="center" wrapText="1" readingOrder="1"/>
    </xf>
    <xf numFmtId="9" fontId="56" fillId="17" borderId="1" xfId="0" applyNumberFormat="1" applyFont="1" applyFill="1" applyBorder="1" applyAlignment="1">
      <alignment horizontal="center" vertical="center"/>
    </xf>
    <xf numFmtId="9" fontId="56" fillId="0" borderId="1" xfId="0" applyNumberFormat="1" applyFont="1" applyFill="1" applyBorder="1" applyAlignment="1">
      <alignment horizontal="center" vertical="center"/>
    </xf>
    <xf numFmtId="166" fontId="56" fillId="0" borderId="1" xfId="0" applyNumberFormat="1" applyFont="1" applyFill="1" applyBorder="1" applyAlignment="1">
      <alignment horizontal="center" vertical="center"/>
    </xf>
    <xf numFmtId="166" fontId="60" fillId="0" borderId="1" xfId="18" applyNumberFormat="1" applyFont="1" applyBorder="1" applyAlignment="1">
      <alignment horizontal="center" vertical="center" readingOrder="1"/>
    </xf>
    <xf numFmtId="166" fontId="17" fillId="0" borderId="1" xfId="17" applyNumberFormat="1" applyFont="1" applyFill="1" applyBorder="1" applyAlignment="1">
      <alignment horizontal="left" vertical="center" wrapText="1" readingOrder="1"/>
    </xf>
    <xf numFmtId="166" fontId="21" fillId="3" borderId="1" xfId="0" applyNumberFormat="1" applyFont="1" applyFill="1" applyBorder="1" applyAlignment="1">
      <alignment horizontal="left" vertical="center"/>
    </xf>
    <xf numFmtId="166" fontId="59" fillId="0" borderId="0" xfId="18" applyNumberFormat="1" applyFont="1" applyBorder="1" applyAlignment="1">
      <alignment horizontal="center" vertical="center" wrapText="1" readingOrder="1"/>
    </xf>
    <xf numFmtId="166" fontId="56" fillId="0" borderId="0" xfId="0" applyNumberFormat="1" applyFont="1" applyFill="1" applyBorder="1" applyAlignment="1">
      <alignment horizontal="center" vertical="center"/>
    </xf>
    <xf numFmtId="0" fontId="58" fillId="0" borderId="0" xfId="16" applyNumberFormat="1" applyFont="1" applyFill="1" applyBorder="1" applyAlignment="1">
      <alignment horizontal="center" vertical="center" wrapText="1" readingOrder="1"/>
    </xf>
    <xf numFmtId="166" fontId="60" fillId="0" borderId="0" xfId="18" applyNumberFormat="1" applyFont="1" applyBorder="1" applyAlignment="1">
      <alignment horizontal="center" vertical="center" readingOrder="1"/>
    </xf>
    <xf numFmtId="0" fontId="56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wrapText="1"/>
    </xf>
    <xf numFmtId="0" fontId="29" fillId="0" borderId="1" xfId="0" applyFont="1" applyFill="1" applyBorder="1" applyAlignment="1">
      <alignment horizontal="center" vertical="center" wrapText="1"/>
    </xf>
    <xf numFmtId="0" fontId="47" fillId="3" borderId="1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/>
    </xf>
    <xf numFmtId="0" fontId="28" fillId="5" borderId="1" xfId="1" applyNumberFormat="1" applyFont="1" applyFill="1" applyBorder="1" applyAlignment="1">
      <alignment horizontal="left" vertical="center" wrapText="1"/>
    </xf>
    <xf numFmtId="14" fontId="28" fillId="0" borderId="1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textRotation="90"/>
    </xf>
    <xf numFmtId="0" fontId="30" fillId="0" borderId="1" xfId="0" applyFont="1" applyBorder="1" applyAlignment="1">
      <alignment horizontal="center" vertical="center" textRotation="90"/>
    </xf>
    <xf numFmtId="0" fontId="28" fillId="0" borderId="0" xfId="0" applyFont="1" applyBorder="1" applyAlignment="1">
      <alignment vertical="center"/>
    </xf>
    <xf numFmtId="0" fontId="30" fillId="0" borderId="5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3" fillId="4" borderId="1" xfId="1" applyNumberFormat="1" applyFont="1" applyFill="1" applyBorder="1" applyAlignment="1">
      <alignment horizontal="left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/>
    </xf>
    <xf numFmtId="0" fontId="35" fillId="3" borderId="1" xfId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 wrapText="1"/>
    </xf>
    <xf numFmtId="166" fontId="21" fillId="17" borderId="1" xfId="0" applyNumberFormat="1" applyFont="1" applyFill="1" applyBorder="1" applyAlignment="1">
      <alignment horizontal="center" vertical="center"/>
    </xf>
    <xf numFmtId="0" fontId="31" fillId="19" borderId="1" xfId="0" applyFont="1" applyFill="1" applyBorder="1" applyAlignment="1">
      <alignment horizontal="left" vertical="center" wrapText="1"/>
    </xf>
    <xf numFmtId="0" fontId="28" fillId="19" borderId="1" xfId="1" applyNumberFormat="1" applyFont="1" applyFill="1" applyBorder="1" applyAlignment="1">
      <alignment horizontal="left" vertical="center" wrapText="1"/>
    </xf>
    <xf numFmtId="0" fontId="28" fillId="0" borderId="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 wrapText="1"/>
    </xf>
    <xf numFmtId="0" fontId="31" fillId="19" borderId="4" xfId="0" applyFont="1" applyFill="1" applyBorder="1" applyAlignment="1">
      <alignment horizontal="left" vertical="center" wrapText="1"/>
    </xf>
    <xf numFmtId="0" fontId="31" fillId="19" borderId="1" xfId="1" applyNumberFormat="1" applyFont="1" applyFill="1" applyBorder="1" applyAlignment="1">
      <alignment horizontal="left" vertical="center" wrapText="1"/>
    </xf>
    <xf numFmtId="0" fontId="28" fillId="19" borderId="11" xfId="1" applyNumberFormat="1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/>
    </xf>
    <xf numFmtId="0" fontId="28" fillId="19" borderId="1" xfId="0" applyFont="1" applyFill="1" applyBorder="1" applyAlignment="1">
      <alignment vertical="center"/>
    </xf>
    <xf numFmtId="166" fontId="17" fillId="0" borderId="1" xfId="17" applyNumberFormat="1" applyFont="1" applyFill="1" applyBorder="1" applyAlignment="1">
      <alignment horizontal="center" vertical="center" wrapText="1" readingOrder="1"/>
    </xf>
    <xf numFmtId="166" fontId="20" fillId="0" borderId="1" xfId="17" applyNumberFormat="1" applyFont="1" applyFill="1" applyBorder="1" applyAlignment="1">
      <alignment horizontal="center" vertical="center" wrapText="1" readingOrder="1"/>
    </xf>
    <xf numFmtId="166" fontId="20" fillId="0" borderId="1" xfId="17" applyNumberFormat="1" applyFont="1" applyFill="1" applyBorder="1" applyAlignment="1">
      <alignment horizontal="left" vertical="center" readingOrder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3" fillId="20" borderId="1" xfId="1" applyNumberFormat="1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28" fillId="0" borderId="4" xfId="0" applyFont="1" applyBorder="1" applyAlignment="1">
      <alignment horizontal="center" vertical="center"/>
    </xf>
    <xf numFmtId="0" fontId="25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11" xfId="1" applyFont="1" applyFill="1" applyBorder="1" applyAlignment="1">
      <alignment horizontal="center" vertical="center" wrapText="1"/>
    </xf>
    <xf numFmtId="49" fontId="28" fillId="3" borderId="14" xfId="1" applyNumberFormat="1" applyFont="1" applyFill="1" applyBorder="1" applyAlignment="1">
      <alignment horizontal="center" vertical="center" wrapText="1"/>
    </xf>
    <xf numFmtId="0" fontId="24" fillId="0" borderId="14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8" xfId="0" applyNumberFormat="1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left" vertical="center"/>
    </xf>
    <xf numFmtId="0" fontId="31" fillId="3" borderId="14" xfId="1" applyNumberFormat="1" applyFont="1" applyFill="1" applyBorder="1" applyAlignment="1">
      <alignment horizontal="left" vertical="center" wrapText="1"/>
    </xf>
    <xf numFmtId="0" fontId="28" fillId="0" borderId="4" xfId="0" applyFont="1" applyBorder="1" applyAlignment="1">
      <alignment horizontal="center" wrapText="1"/>
    </xf>
    <xf numFmtId="0" fontId="31" fillId="0" borderId="14" xfId="1" applyNumberFormat="1" applyFont="1" applyFill="1" applyBorder="1" applyAlignment="1">
      <alignment horizontal="left" vertical="center" wrapText="1"/>
    </xf>
    <xf numFmtId="0" fontId="34" fillId="3" borderId="4" xfId="5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40" fillId="3" borderId="1" xfId="1" applyFont="1" applyFill="1" applyBorder="1" applyAlignment="1" applyProtection="1">
      <alignment horizontal="center" vertical="center"/>
      <protection locked="0" hidden="1"/>
    </xf>
    <xf numFmtId="0" fontId="62" fillId="0" borderId="0" xfId="0" applyFont="1"/>
    <xf numFmtId="0" fontId="62" fillId="0" borderId="15" xfId="0" applyFont="1" applyBorder="1"/>
    <xf numFmtId="0" fontId="62" fillId="0" borderId="0" xfId="0" applyFont="1" applyBorder="1"/>
    <xf numFmtId="0" fontId="65" fillId="0" borderId="0" xfId="0" applyFont="1" applyAlignment="1">
      <alignment horizontal="left" vertical="center" wrapText="1"/>
    </xf>
    <xf numFmtId="0" fontId="64" fillId="0" borderId="11" xfId="0" applyFont="1" applyBorder="1" applyAlignment="1">
      <alignment horizontal="center" vertical="center" wrapText="1"/>
    </xf>
    <xf numFmtId="0" fontId="66" fillId="0" borderId="49" xfId="0" applyFont="1" applyBorder="1" applyAlignment="1">
      <alignment horizontal="left" vertical="center" shrinkToFit="1"/>
    </xf>
    <xf numFmtId="0" fontId="66" fillId="0" borderId="41" xfId="0" applyFont="1" applyBorder="1" applyAlignment="1">
      <alignment horizontal="left" vertical="center" shrinkToFit="1"/>
    </xf>
    <xf numFmtId="0" fontId="66" fillId="0" borderId="41" xfId="0" applyFont="1" applyBorder="1" applyAlignment="1">
      <alignment horizontal="left" vertical="center" wrapText="1" shrinkToFit="1"/>
    </xf>
    <xf numFmtId="0" fontId="69" fillId="0" borderId="41" xfId="0" applyFont="1" applyBorder="1" applyAlignment="1">
      <alignment horizontal="left" vertical="center" shrinkToFit="1"/>
    </xf>
    <xf numFmtId="0" fontId="69" fillId="0" borderId="41" xfId="0" applyFont="1" applyBorder="1" applyAlignment="1">
      <alignment horizontal="left" vertical="center" wrapText="1" shrinkToFit="1"/>
    </xf>
    <xf numFmtId="0" fontId="52" fillId="0" borderId="52" xfId="0" applyFont="1" applyBorder="1" applyAlignment="1">
      <alignment horizontal="left" shrinkToFit="1"/>
    </xf>
    <xf numFmtId="0" fontId="66" fillId="0" borderId="17" xfId="0" applyFont="1" applyBorder="1" applyAlignment="1">
      <alignment shrinkToFit="1"/>
    </xf>
    <xf numFmtId="0" fontId="65" fillId="0" borderId="0" xfId="0" applyFont="1"/>
    <xf numFmtId="0" fontId="67" fillId="0" borderId="41" xfId="0" applyFont="1" applyBorder="1" applyAlignment="1">
      <alignment horizontal="left" wrapText="1" shrinkToFit="1"/>
    </xf>
    <xf numFmtId="0" fontId="66" fillId="0" borderId="41" xfId="0" applyFont="1" applyBorder="1" applyAlignment="1">
      <alignment wrapText="1"/>
    </xf>
    <xf numFmtId="0" fontId="67" fillId="0" borderId="41" xfId="0" applyFont="1" applyBorder="1" applyAlignment="1">
      <alignment wrapText="1"/>
    </xf>
    <xf numFmtId="0" fontId="67" fillId="0" borderId="52" xfId="0" applyFont="1" applyBorder="1" applyAlignment="1">
      <alignment wrapText="1"/>
    </xf>
    <xf numFmtId="0" fontId="13" fillId="0" borderId="25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0" fillId="0" borderId="34" xfId="0" applyBorder="1" applyAlignment="1">
      <alignment vertical="top" wrapText="1"/>
    </xf>
    <xf numFmtId="0" fontId="0" fillId="0" borderId="42" xfId="0" applyBorder="1" applyAlignment="1">
      <alignment vertical="top" wrapText="1"/>
    </xf>
    <xf numFmtId="0" fontId="13" fillId="0" borderId="42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42" xfId="0" applyFont="1" applyBorder="1" applyAlignment="1">
      <alignment horizontal="center" vertical="top" wrapText="1"/>
    </xf>
    <xf numFmtId="0" fontId="31" fillId="0" borderId="50" xfId="0" applyFont="1" applyBorder="1" applyAlignment="1">
      <alignment horizontal="center" vertical="center" shrinkToFit="1"/>
    </xf>
    <xf numFmtId="0" fontId="31" fillId="0" borderId="51" xfId="0" applyFont="1" applyBorder="1" applyAlignment="1">
      <alignment horizontal="center" vertical="center" shrinkToFit="1"/>
    </xf>
    <xf numFmtId="0" fontId="31" fillId="0" borderId="1" xfId="0" applyFont="1" applyBorder="1" applyAlignment="1">
      <alignment horizontal="center" vertical="center" shrinkToFit="1"/>
    </xf>
    <xf numFmtId="0" fontId="31" fillId="0" borderId="53" xfId="0" applyFont="1" applyBorder="1" applyAlignment="1">
      <alignment horizontal="center" vertical="center" shrinkToFit="1"/>
    </xf>
    <xf numFmtId="0" fontId="31" fillId="0" borderId="1" xfId="0" applyFont="1" applyBorder="1" applyAlignment="1">
      <alignment horizontal="center" vertical="center"/>
    </xf>
    <xf numFmtId="0" fontId="31" fillId="0" borderId="53" xfId="0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 shrinkToFit="1"/>
    </xf>
    <xf numFmtId="1" fontId="31" fillId="0" borderId="51" xfId="0" applyNumberFormat="1" applyFont="1" applyBorder="1" applyAlignment="1">
      <alignment horizontal="center" vertical="center" shrinkToFit="1"/>
    </xf>
    <xf numFmtId="0" fontId="13" fillId="0" borderId="11" xfId="0" applyFont="1" applyBorder="1" applyAlignment="1">
      <alignment horizontal="center" vertical="center"/>
    </xf>
    <xf numFmtId="49" fontId="28" fillId="3" borderId="1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37" fillId="0" borderId="14" xfId="2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40" fillId="0" borderId="11" xfId="1" applyFont="1" applyFill="1" applyBorder="1" applyAlignment="1" applyProtection="1">
      <alignment horizontal="center" vertical="center"/>
      <protection locked="0" hidden="1"/>
    </xf>
    <xf numFmtId="0" fontId="37" fillId="3" borderId="4" xfId="1" applyNumberFormat="1" applyFont="1" applyFill="1" applyBorder="1" applyAlignment="1">
      <alignment horizontal="left" vertical="center" wrapText="1"/>
    </xf>
    <xf numFmtId="0" fontId="28" fillId="0" borderId="4" xfId="0" applyNumberFormat="1" applyFont="1" applyFill="1" applyBorder="1" applyAlignment="1" applyProtection="1">
      <alignment horizontal="center" vertical="center" wrapText="1"/>
    </xf>
    <xf numFmtId="0" fontId="37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4" xfId="1" applyNumberFormat="1" applyFont="1" applyFill="1" applyBorder="1" applyAlignment="1">
      <alignment horizontal="center" vertical="center" wrapText="1"/>
    </xf>
    <xf numFmtId="0" fontId="30" fillId="0" borderId="11" xfId="1" applyFont="1" applyFill="1" applyBorder="1" applyAlignment="1" applyProtection="1">
      <alignment horizontal="center" vertical="center"/>
      <protection locked="0" hidden="1"/>
    </xf>
    <xf numFmtId="0" fontId="29" fillId="3" borderId="4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166" fontId="21" fillId="16" borderId="1" xfId="17" applyNumberFormat="1" applyFont="1" applyFill="1" applyBorder="1" applyAlignment="1">
      <alignment horizontal="center" vertical="center" wrapText="1" readingOrder="1"/>
    </xf>
    <xf numFmtId="0" fontId="28" fillId="0" borderId="1" xfId="0" applyFont="1" applyBorder="1" applyAlignment="1">
      <alignment horizontal="center" vertical="center"/>
    </xf>
    <xf numFmtId="0" fontId="31" fillId="19" borderId="1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3" fillId="3" borderId="10" xfId="1" applyNumberFormat="1" applyFont="1" applyFill="1" applyBorder="1" applyAlignment="1">
      <alignment horizontal="center" vertical="center" wrapText="1"/>
    </xf>
    <xf numFmtId="0" fontId="32" fillId="3" borderId="13" xfId="0" applyNumberFormat="1" applyFont="1" applyFill="1" applyBorder="1" applyAlignment="1">
      <alignment horizontal="left" vertical="center" wrapText="1"/>
    </xf>
    <xf numFmtId="0" fontId="32" fillId="3" borderId="4" xfId="0" applyNumberFormat="1" applyFont="1" applyFill="1" applyBorder="1" applyAlignment="1">
      <alignment horizontal="center" vertical="center" wrapText="1"/>
    </xf>
    <xf numFmtId="49" fontId="32" fillId="3" borderId="4" xfId="0" applyNumberFormat="1" applyFont="1" applyFill="1" applyBorder="1" applyAlignment="1">
      <alignment horizontal="center" vertical="center" wrapText="1"/>
    </xf>
    <xf numFmtId="0" fontId="24" fillId="0" borderId="4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 wrapText="1"/>
    </xf>
    <xf numFmtId="0" fontId="28" fillId="0" borderId="4" xfId="0" applyFont="1" applyFill="1" applyBorder="1" applyAlignment="1">
      <alignment horizontal="left" vertical="center"/>
    </xf>
    <xf numFmtId="49" fontId="35" fillId="0" borderId="2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2" fillId="0" borderId="13" xfId="1" applyNumberFormat="1" applyFont="1" applyFill="1" applyBorder="1" applyAlignment="1">
      <alignment horizontal="center" vertical="center" wrapText="1"/>
    </xf>
    <xf numFmtId="0" fontId="33" fillId="9" borderId="1" xfId="1" applyNumberFormat="1" applyFont="1" applyFill="1" applyBorder="1" applyAlignment="1">
      <alignment horizontal="left" vertical="center" wrapText="1"/>
    </xf>
    <xf numFmtId="0" fontId="43" fillId="0" borderId="11" xfId="0" applyFont="1" applyBorder="1" applyAlignment="1">
      <alignment horizontal="center" vertical="center"/>
    </xf>
    <xf numFmtId="0" fontId="32" fillId="3" borderId="4" xfId="0" applyFont="1" applyFill="1" applyBorder="1" applyAlignment="1">
      <alignment vertical="center" wrapText="1"/>
    </xf>
    <xf numFmtId="14" fontId="28" fillId="3" borderId="5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49" fontId="32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32" fillId="3" borderId="4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right" vertical="top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0" borderId="3" xfId="0" applyFont="1" applyBorder="1" applyAlignment="1"/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4" fontId="31" fillId="0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31" fillId="0" borderId="4" xfId="1" applyNumberFormat="1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44" fillId="0" borderId="0" xfId="0" applyFont="1" applyBorder="1"/>
    <xf numFmtId="9" fontId="44" fillId="0" borderId="0" xfId="16" applyFont="1" applyBorder="1"/>
    <xf numFmtId="0" fontId="44" fillId="0" borderId="0" xfId="0" applyFont="1" applyBorder="1" applyAlignment="1">
      <alignment horizontal="right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4" fontId="31" fillId="3" borderId="1" xfId="0" applyNumberFormat="1" applyFont="1" applyFill="1" applyBorder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49" fontId="31" fillId="3" borderId="1" xfId="1" applyNumberFormat="1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74" fillId="3" borderId="0" xfId="0" applyFont="1" applyFill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4" borderId="1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wrapText="1"/>
    </xf>
    <xf numFmtId="0" fontId="28" fillId="0" borderId="2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28" fillId="3" borderId="8" xfId="1" applyNumberFormat="1" applyFont="1" applyFill="1" applyBorder="1" applyAlignment="1">
      <alignment horizontal="center" vertical="center" wrapText="1"/>
    </xf>
    <xf numFmtId="0" fontId="28" fillId="0" borderId="8" xfId="0" applyFont="1" applyBorder="1"/>
    <xf numFmtId="0" fontId="28" fillId="0" borderId="2" xfId="0" applyFont="1" applyBorder="1"/>
    <xf numFmtId="0" fontId="28" fillId="0" borderId="12" xfId="0" applyFont="1" applyBorder="1"/>
    <xf numFmtId="0" fontId="33" fillId="3" borderId="2" xfId="0" applyNumberFormat="1" applyFont="1" applyFill="1" applyBorder="1" applyAlignment="1">
      <alignment horizontal="center" vertical="center" wrapText="1"/>
    </xf>
    <xf numFmtId="0" fontId="28" fillId="3" borderId="12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28" fillId="4" borderId="4" xfId="0" applyFont="1" applyFill="1" applyBorder="1" applyAlignment="1">
      <alignment horizontal="center" vertical="center" wrapText="1"/>
    </xf>
    <xf numFmtId="14" fontId="28" fillId="3" borderId="4" xfId="1" applyNumberFormat="1" applyFont="1" applyFill="1" applyBorder="1" applyAlignment="1">
      <alignment horizontal="center" vertical="center"/>
    </xf>
    <xf numFmtId="49" fontId="32" fillId="3" borderId="4" xfId="1" applyNumberFormat="1" applyFont="1" applyFill="1" applyBorder="1" applyAlignment="1" applyProtection="1">
      <alignment horizontal="center" vertical="center" wrapText="1"/>
      <protection locked="0"/>
    </xf>
    <xf numFmtId="1" fontId="13" fillId="3" borderId="11" xfId="1" applyNumberFormat="1" applyFont="1" applyFill="1" applyBorder="1" applyAlignment="1" applyProtection="1">
      <alignment horizontal="center" vertical="center" wrapText="1"/>
    </xf>
    <xf numFmtId="1" fontId="13" fillId="3" borderId="4" xfId="1" applyNumberFormat="1" applyFont="1" applyFill="1" applyBorder="1" applyAlignment="1" applyProtection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43" fillId="3" borderId="1" xfId="0" applyFont="1" applyFill="1" applyBorder="1"/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33" fillId="3" borderId="4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7" fontId="28" fillId="0" borderId="1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4" fontId="28" fillId="3" borderId="11" xfId="0" applyNumberFormat="1" applyFont="1" applyFill="1" applyBorder="1" applyAlignment="1">
      <alignment horizontal="left" vertical="center" wrapText="1"/>
    </xf>
    <xf numFmtId="0" fontId="31" fillId="3" borderId="11" xfId="0" applyNumberFormat="1" applyFont="1" applyFill="1" applyBorder="1" applyAlignment="1">
      <alignment horizontal="left" vertical="center" wrapText="1"/>
    </xf>
    <xf numFmtId="0" fontId="1" fillId="0" borderId="1" xfId="19" applyFont="1" applyFill="1" applyBorder="1" applyAlignment="1">
      <alignment horizontal="left" vertical="center"/>
    </xf>
    <xf numFmtId="0" fontId="33" fillId="0" borderId="1" xfId="2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3" borderId="4" xfId="0" applyFont="1" applyFill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37" fillId="3" borderId="4" xfId="0" applyFont="1" applyFill="1" applyBorder="1" applyAlignment="1">
      <alignment vertical="center"/>
    </xf>
    <xf numFmtId="0" fontId="33" fillId="3" borderId="4" xfId="0" applyFont="1" applyFill="1" applyBorder="1" applyAlignment="1">
      <alignment vertical="center"/>
    </xf>
    <xf numFmtId="0" fontId="28" fillId="22" borderId="1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top" wrapText="1"/>
    </xf>
    <xf numFmtId="14" fontId="28" fillId="23" borderId="1" xfId="0" applyNumberFormat="1" applyFont="1" applyFill="1" applyBorder="1" applyAlignment="1">
      <alignment horizontal="center" vertical="center" wrapText="1"/>
    </xf>
    <xf numFmtId="0" fontId="20" fillId="7" borderId="1" xfId="8" applyFont="1" applyFill="1" applyBorder="1" applyAlignment="1">
      <alignment horizontal="center" vertical="center" textRotation="90" wrapText="1"/>
    </xf>
    <xf numFmtId="0" fontId="44" fillId="0" borderId="0" xfId="0" applyFont="1" applyBorder="1" applyAlignment="1">
      <alignment horizontal="center" wrapText="1"/>
    </xf>
    <xf numFmtId="0" fontId="48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14" fontId="44" fillId="0" borderId="0" xfId="0" applyNumberFormat="1" applyFont="1" applyBorder="1" applyAlignment="1">
      <alignment horizontal="left"/>
    </xf>
    <xf numFmtId="0" fontId="20" fillId="7" borderId="1" xfId="8" applyFont="1" applyFill="1" applyBorder="1" applyAlignment="1">
      <alignment horizontal="center" vertical="center" wrapText="1"/>
    </xf>
    <xf numFmtId="0" fontId="46" fillId="7" borderId="1" xfId="8" applyFont="1" applyFill="1" applyBorder="1" applyAlignment="1">
      <alignment horizontal="center" vertical="center" textRotation="90" wrapText="1"/>
    </xf>
    <xf numFmtId="0" fontId="46" fillId="7" borderId="1" xfId="8" applyNumberFormat="1" applyFont="1" applyFill="1" applyBorder="1" applyAlignment="1">
      <alignment horizontal="center" vertical="center" textRotation="90" wrapText="1"/>
    </xf>
    <xf numFmtId="9" fontId="20" fillId="7" borderId="1" xfId="16" applyFont="1" applyFill="1" applyBorder="1" applyAlignment="1">
      <alignment horizontal="center" vertical="center" textRotation="90" wrapText="1"/>
    </xf>
    <xf numFmtId="49" fontId="20" fillId="7" borderId="1" xfId="8" applyNumberFormat="1" applyFont="1" applyFill="1" applyBorder="1" applyAlignment="1">
      <alignment horizontal="center" vertical="center" textRotation="90" wrapText="1"/>
    </xf>
    <xf numFmtId="0" fontId="29" fillId="11" borderId="4" xfId="0" applyFont="1" applyFill="1" applyBorder="1" applyAlignment="1">
      <alignment horizontal="center" vertical="center" textRotation="90"/>
    </xf>
    <xf numFmtId="0" fontId="29" fillId="11" borderId="1" xfId="0" applyFont="1" applyFill="1" applyBorder="1" applyAlignment="1">
      <alignment horizontal="center" vertical="center" textRotation="90"/>
    </xf>
    <xf numFmtId="0" fontId="29" fillId="0" borderId="4" xfId="0" applyFont="1" applyBorder="1" applyAlignment="1">
      <alignment horizontal="center" vertical="center" wrapText="1"/>
    </xf>
    <xf numFmtId="14" fontId="29" fillId="0" borderId="0" xfId="0" applyNumberFormat="1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3" fillId="7" borderId="24" xfId="8" applyFont="1" applyFill="1" applyBorder="1" applyAlignment="1">
      <alignment horizontal="center" vertical="center" textRotation="90" wrapText="1"/>
    </xf>
    <xf numFmtId="0" fontId="23" fillId="7" borderId="14" xfId="8" applyFont="1" applyFill="1" applyBorder="1" applyAlignment="1">
      <alignment horizontal="center" vertical="center" textRotation="90" wrapText="1"/>
    </xf>
    <xf numFmtId="0" fontId="23" fillId="7" borderId="33" xfId="8" applyFont="1" applyFill="1" applyBorder="1" applyAlignment="1">
      <alignment horizontal="center" vertical="center" textRotation="90" wrapText="1"/>
    </xf>
    <xf numFmtId="0" fontId="23" fillId="7" borderId="18" xfId="8" applyFont="1" applyFill="1" applyBorder="1" applyAlignment="1">
      <alignment horizontal="center" vertical="center" textRotation="90" wrapText="1"/>
    </xf>
    <xf numFmtId="0" fontId="23" fillId="7" borderId="23" xfId="8" applyFont="1" applyFill="1" applyBorder="1" applyAlignment="1">
      <alignment horizontal="center" vertical="center" textRotation="90" wrapText="1"/>
    </xf>
    <xf numFmtId="0" fontId="23" fillId="7" borderId="32" xfId="8" applyFont="1" applyFill="1" applyBorder="1" applyAlignment="1">
      <alignment horizontal="center" vertical="center" textRotation="90" wrapText="1"/>
    </xf>
    <xf numFmtId="0" fontId="22" fillId="7" borderId="25" xfId="8" applyFont="1" applyFill="1" applyBorder="1" applyAlignment="1">
      <alignment horizontal="center" vertical="center" textRotation="90" wrapText="1"/>
    </xf>
    <xf numFmtId="0" fontId="22" fillId="7" borderId="26" xfId="8" applyFont="1" applyFill="1" applyBorder="1" applyAlignment="1">
      <alignment horizontal="center" vertical="center" textRotation="90" wrapText="1"/>
    </xf>
    <xf numFmtId="0" fontId="22" fillId="7" borderId="34" xfId="8" applyFont="1" applyFill="1" applyBorder="1" applyAlignment="1">
      <alignment horizontal="center" vertical="center" textRotation="90" wrapText="1"/>
    </xf>
    <xf numFmtId="0" fontId="23" fillId="7" borderId="17" xfId="8" applyFont="1" applyFill="1" applyBorder="1" applyAlignment="1">
      <alignment horizontal="center" vertical="center" textRotation="90" wrapText="1"/>
    </xf>
    <xf numFmtId="0" fontId="23" fillId="7" borderId="22" xfId="8" applyFont="1" applyFill="1" applyBorder="1" applyAlignment="1">
      <alignment horizontal="center" vertical="center" textRotation="90" wrapText="1"/>
    </xf>
    <xf numFmtId="0" fontId="23" fillId="7" borderId="31" xfId="8" applyFont="1" applyFill="1" applyBorder="1" applyAlignment="1">
      <alignment horizontal="center" vertical="center" textRotation="90" wrapText="1"/>
    </xf>
    <xf numFmtId="0" fontId="23" fillId="7" borderId="29" xfId="8" applyFont="1" applyFill="1" applyBorder="1" applyAlignment="1">
      <alignment horizontal="center" vertical="center" textRotation="90" wrapText="1"/>
    </xf>
    <xf numFmtId="0" fontId="23" fillId="7" borderId="30" xfId="8" applyFont="1" applyFill="1" applyBorder="1" applyAlignment="1">
      <alignment horizontal="center" vertical="center" textRotation="90" wrapText="1"/>
    </xf>
    <xf numFmtId="0" fontId="22" fillId="7" borderId="18" xfId="8" applyFont="1" applyFill="1" applyBorder="1" applyAlignment="1">
      <alignment horizontal="center" vertical="center" textRotation="90" wrapText="1"/>
    </xf>
    <xf numFmtId="0" fontId="22" fillId="7" borderId="23" xfId="8" applyFont="1" applyFill="1" applyBorder="1" applyAlignment="1">
      <alignment horizontal="center" vertical="center" textRotation="90" wrapText="1"/>
    </xf>
    <xf numFmtId="0" fontId="23" fillId="7" borderId="27" xfId="8" applyFont="1" applyFill="1" applyBorder="1" applyAlignment="1">
      <alignment horizontal="center" vertical="center" wrapText="1"/>
    </xf>
    <xf numFmtId="0" fontId="23" fillId="7" borderId="28" xfId="8" applyFont="1" applyFill="1" applyBorder="1" applyAlignment="1">
      <alignment horizontal="center" vertical="center" wrapText="1"/>
    </xf>
    <xf numFmtId="0" fontId="23" fillId="7" borderId="25" xfId="8" applyFont="1" applyFill="1" applyBorder="1" applyAlignment="1">
      <alignment horizontal="center" vertical="center" textRotation="90" wrapText="1"/>
    </xf>
    <xf numFmtId="0" fontId="23" fillId="7" borderId="26" xfId="8" applyFont="1" applyFill="1" applyBorder="1" applyAlignment="1">
      <alignment horizontal="center" vertical="center" textRotation="90" wrapText="1"/>
    </xf>
    <xf numFmtId="0" fontId="23" fillId="7" borderId="34" xfId="8" applyFont="1" applyFill="1" applyBorder="1" applyAlignment="1">
      <alignment horizontal="center" vertical="center" textRotation="90" wrapText="1"/>
    </xf>
    <xf numFmtId="0" fontId="23" fillId="7" borderId="19" xfId="8" applyFont="1" applyFill="1" applyBorder="1" applyAlignment="1">
      <alignment horizontal="center" vertical="center" wrapText="1"/>
    </xf>
    <xf numFmtId="0" fontId="23" fillId="7" borderId="20" xfId="8" applyFont="1" applyFill="1" applyBorder="1" applyAlignment="1">
      <alignment horizontal="center" vertical="center" wrapText="1"/>
    </xf>
    <xf numFmtId="0" fontId="23" fillId="7" borderId="21" xfId="8" applyFont="1" applyFill="1" applyBorder="1" applyAlignment="1">
      <alignment horizontal="center" vertical="center" wrapText="1"/>
    </xf>
    <xf numFmtId="14" fontId="23" fillId="7" borderId="17" xfId="8" applyNumberFormat="1" applyFont="1" applyFill="1" applyBorder="1" applyAlignment="1">
      <alignment horizontal="center" vertical="center" textRotation="90" wrapText="1"/>
    </xf>
    <xf numFmtId="14" fontId="23" fillId="7" borderId="22" xfId="8" applyNumberFormat="1" applyFont="1" applyFill="1" applyBorder="1" applyAlignment="1">
      <alignment horizontal="center" vertical="center" textRotation="90" wrapText="1"/>
    </xf>
    <xf numFmtId="14" fontId="23" fillId="7" borderId="31" xfId="8" applyNumberFormat="1" applyFont="1" applyFill="1" applyBorder="1" applyAlignment="1">
      <alignment horizontal="center" vertical="center" textRotation="90" wrapText="1"/>
    </xf>
    <xf numFmtId="0" fontId="23" fillId="4" borderId="20" xfId="8" applyFont="1" applyFill="1" applyBorder="1" applyAlignment="1">
      <alignment horizontal="center" vertical="center" wrapText="1"/>
    </xf>
    <xf numFmtId="0" fontId="23" fillId="4" borderId="21" xfId="8" applyFont="1" applyFill="1" applyBorder="1" applyAlignment="1">
      <alignment horizontal="center" vertical="center" wrapText="1"/>
    </xf>
    <xf numFmtId="0" fontId="17" fillId="0" borderId="0" xfId="8" applyFont="1" applyFill="1" applyAlignment="1">
      <alignment horizontal="center"/>
    </xf>
    <xf numFmtId="0" fontId="19" fillId="0" borderId="0" xfId="8" applyFont="1" applyFill="1" applyBorder="1" applyAlignment="1">
      <alignment horizontal="left"/>
    </xf>
    <xf numFmtId="0" fontId="21" fillId="0" borderId="16" xfId="8" applyFont="1" applyFill="1" applyBorder="1" applyAlignment="1">
      <alignment horizontal="center"/>
    </xf>
    <xf numFmtId="0" fontId="21" fillId="4" borderId="0" xfId="8" applyFont="1" applyFill="1" applyBorder="1" applyAlignment="1">
      <alignment horizontal="center"/>
    </xf>
    <xf numFmtId="0" fontId="21" fillId="0" borderId="0" xfId="8" applyFont="1" applyFill="1" applyBorder="1" applyAlignment="1">
      <alignment horizontal="center"/>
    </xf>
    <xf numFmtId="0" fontId="23" fillId="7" borderId="17" xfId="8" applyFont="1" applyFill="1" applyBorder="1" applyAlignment="1">
      <alignment horizontal="center" vertical="center" wrapText="1"/>
    </xf>
    <xf numFmtId="0" fontId="23" fillId="7" borderId="22" xfId="8" applyFont="1" applyFill="1" applyBorder="1" applyAlignment="1">
      <alignment horizontal="center" vertical="center" wrapText="1"/>
    </xf>
    <xf numFmtId="0" fontId="23" fillId="7" borderId="31" xfId="8" applyFont="1" applyFill="1" applyBorder="1" applyAlignment="1">
      <alignment horizontal="center" vertical="center" wrapText="1"/>
    </xf>
    <xf numFmtId="0" fontId="23" fillId="7" borderId="18" xfId="8" applyFont="1" applyFill="1" applyBorder="1" applyAlignment="1">
      <alignment horizontal="center" vertical="center" wrapText="1"/>
    </xf>
    <xf numFmtId="0" fontId="23" fillId="7" borderId="23" xfId="8" applyFont="1" applyFill="1" applyBorder="1" applyAlignment="1">
      <alignment horizontal="center" vertical="center" wrapText="1"/>
    </xf>
    <xf numFmtId="0" fontId="23" fillId="7" borderId="32" xfId="8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top" textRotation="90"/>
    </xf>
    <xf numFmtId="0" fontId="35" fillId="0" borderId="15" xfId="0" applyFont="1" applyBorder="1" applyAlignment="1">
      <alignment horizontal="center" vertical="top" textRotation="90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right" vertical="center"/>
    </xf>
    <xf numFmtId="14" fontId="35" fillId="0" borderId="0" xfId="0" applyNumberFormat="1" applyFont="1" applyAlignment="1">
      <alignment horizontal="left" vertical="center"/>
    </xf>
    <xf numFmtId="0" fontId="35" fillId="0" borderId="12" xfId="0" applyFont="1" applyBorder="1" applyAlignment="1">
      <alignment horizontal="center" vertical="center" textRotation="90"/>
    </xf>
    <xf numFmtId="0" fontId="35" fillId="0" borderId="9" xfId="0" applyFont="1" applyBorder="1" applyAlignment="1">
      <alignment horizontal="center" vertical="center" textRotation="90"/>
    </xf>
    <xf numFmtId="0" fontId="35" fillId="0" borderId="8" xfId="0" applyFont="1" applyBorder="1" applyAlignment="1">
      <alignment horizontal="center" vertical="center" textRotation="90"/>
    </xf>
    <xf numFmtId="165" fontId="35" fillId="0" borderId="6" xfId="0" applyNumberFormat="1" applyFont="1" applyBorder="1" applyAlignment="1">
      <alignment horizontal="center" textRotation="90"/>
    </xf>
    <xf numFmtId="165" fontId="35" fillId="0" borderId="0" xfId="0" applyNumberFormat="1" applyFont="1" applyBorder="1" applyAlignment="1">
      <alignment horizontal="center" textRotation="90"/>
    </xf>
    <xf numFmtId="0" fontId="35" fillId="0" borderId="6" xfId="0" applyFont="1" applyBorder="1" applyAlignment="1">
      <alignment horizontal="center" vertical="center" textRotation="90"/>
    </xf>
    <xf numFmtId="0" fontId="35" fillId="0" borderId="0" xfId="0" applyFont="1" applyBorder="1" applyAlignment="1">
      <alignment horizontal="center" vertical="center" textRotation="90"/>
    </xf>
    <xf numFmtId="0" fontId="35" fillId="0" borderId="15" xfId="0" applyFont="1" applyBorder="1" applyAlignment="1">
      <alignment horizontal="center" vertical="center" textRotation="90"/>
    </xf>
    <xf numFmtId="0" fontId="35" fillId="0" borderId="6" xfId="0" applyFont="1" applyBorder="1" applyAlignment="1">
      <alignment horizontal="center" textRotation="90"/>
    </xf>
    <xf numFmtId="0" fontId="35" fillId="0" borderId="0" xfId="0" applyFont="1" applyBorder="1" applyAlignment="1">
      <alignment horizontal="center" textRotation="90"/>
    </xf>
    <xf numFmtId="0" fontId="35" fillId="0" borderId="15" xfId="0" applyFont="1" applyBorder="1" applyAlignment="1">
      <alignment horizontal="center" textRotation="90"/>
    </xf>
    <xf numFmtId="0" fontId="52" fillId="0" borderId="6" xfId="0" applyFont="1" applyBorder="1" applyAlignment="1">
      <alignment horizontal="center" textRotation="90"/>
    </xf>
    <xf numFmtId="0" fontId="52" fillId="0" borderId="0" xfId="0" applyFont="1" applyBorder="1" applyAlignment="1">
      <alignment horizontal="center" textRotation="90"/>
    </xf>
    <xf numFmtId="0" fontId="52" fillId="0" borderId="15" xfId="0" applyFont="1" applyBorder="1" applyAlignment="1">
      <alignment horizontal="center" textRotation="90"/>
    </xf>
    <xf numFmtId="0" fontId="52" fillId="0" borderId="10" xfId="0" applyFont="1" applyBorder="1" applyAlignment="1">
      <alignment horizontal="center" textRotation="90"/>
    </xf>
    <xf numFmtId="0" fontId="52" fillId="0" borderId="7" xfId="0" applyFont="1" applyBorder="1" applyAlignment="1">
      <alignment horizontal="center" textRotation="90"/>
    </xf>
    <xf numFmtId="0" fontId="52" fillId="0" borderId="13" xfId="0" applyFont="1" applyBorder="1" applyAlignment="1">
      <alignment horizontal="center" textRotation="90"/>
    </xf>
    <xf numFmtId="0" fontId="35" fillId="0" borderId="57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49" fillId="4" borderId="19" xfId="5" applyFont="1" applyFill="1" applyBorder="1" applyAlignment="1">
      <alignment horizontal="center"/>
    </xf>
    <xf numFmtId="0" fontId="49" fillId="4" borderId="20" xfId="5" applyFont="1" applyFill="1" applyBorder="1" applyAlignment="1">
      <alignment horizontal="center"/>
    </xf>
    <xf numFmtId="0" fontId="49" fillId="4" borderId="21" xfId="5" applyFont="1" applyFill="1" applyBorder="1" applyAlignment="1">
      <alignment horizontal="center"/>
    </xf>
    <xf numFmtId="0" fontId="50" fillId="0" borderId="49" xfId="5" applyFont="1" applyBorder="1" applyAlignment="1">
      <alignment horizontal="center" vertical="center" wrapText="1"/>
    </xf>
    <xf numFmtId="0" fontId="50" fillId="0" borderId="50" xfId="5" applyFont="1" applyBorder="1" applyAlignment="1">
      <alignment horizontal="center" vertical="center" wrapText="1"/>
    </xf>
    <xf numFmtId="0" fontId="50" fillId="0" borderId="1" xfId="5" applyFont="1" applyBorder="1" applyAlignment="1">
      <alignment horizontal="center" vertical="center" wrapText="1"/>
    </xf>
    <xf numFmtId="0" fontId="50" fillId="0" borderId="51" xfId="5" applyFont="1" applyBorder="1" applyAlignment="1">
      <alignment horizontal="center" vertical="center" wrapText="1"/>
    </xf>
    <xf numFmtId="0" fontId="50" fillId="0" borderId="39" xfId="5" applyFont="1" applyBorder="1" applyAlignment="1">
      <alignment horizontal="center" vertical="center" wrapText="1"/>
    </xf>
    <xf numFmtId="14" fontId="51" fillId="0" borderId="1" xfId="5" applyNumberFormat="1" applyFont="1" applyBorder="1" applyAlignment="1">
      <alignment horizontal="center" vertical="center"/>
    </xf>
    <xf numFmtId="14" fontId="51" fillId="0" borderId="39" xfId="5" applyNumberFormat="1" applyFont="1" applyBorder="1" applyAlignment="1">
      <alignment horizontal="center" vertical="center"/>
    </xf>
    <xf numFmtId="14" fontId="51" fillId="0" borderId="53" xfId="5" applyNumberFormat="1" applyFont="1" applyBorder="1" applyAlignment="1">
      <alignment horizontal="center" vertical="center"/>
    </xf>
    <xf numFmtId="14" fontId="51" fillId="0" borderId="54" xfId="5" applyNumberFormat="1" applyFont="1" applyBorder="1" applyAlignment="1">
      <alignment horizontal="center" vertical="center"/>
    </xf>
    <xf numFmtId="14" fontId="51" fillId="0" borderId="19" xfId="5" applyNumberFormat="1" applyFont="1" applyBorder="1" applyAlignment="1">
      <alignment horizontal="center"/>
    </xf>
    <xf numFmtId="14" fontId="51" fillId="0" borderId="20" xfId="5" applyNumberFormat="1" applyFont="1" applyBorder="1" applyAlignment="1">
      <alignment horizontal="center"/>
    </xf>
    <xf numFmtId="14" fontId="51" fillId="0" borderId="21" xfId="5" applyNumberFormat="1" applyFont="1" applyBorder="1" applyAlignment="1">
      <alignment horizontal="center"/>
    </xf>
    <xf numFmtId="0" fontId="51" fillId="0" borderId="50" xfId="5" applyFont="1" applyBorder="1" applyAlignment="1">
      <alignment horizontal="center" vertical="center"/>
    </xf>
    <xf numFmtId="0" fontId="51" fillId="0" borderId="1" xfId="5" applyFont="1" applyBorder="1" applyAlignment="1">
      <alignment horizontal="center" vertical="center"/>
    </xf>
    <xf numFmtId="0" fontId="51" fillId="0" borderId="53" xfId="5" applyFont="1" applyBorder="1" applyAlignment="1">
      <alignment horizontal="center" vertical="center"/>
    </xf>
    <xf numFmtId="14" fontId="51" fillId="0" borderId="41" xfId="5" applyNumberFormat="1" applyFont="1" applyBorder="1" applyAlignment="1">
      <alignment horizontal="center" vertical="center"/>
    </xf>
    <xf numFmtId="14" fontId="51" fillId="0" borderId="52" xfId="5" applyNumberFormat="1" applyFont="1" applyBorder="1" applyAlignment="1">
      <alignment horizontal="center" vertical="center"/>
    </xf>
    <xf numFmtId="0" fontId="51" fillId="0" borderId="1" xfId="5" applyNumberFormat="1" applyFont="1" applyBorder="1" applyAlignment="1">
      <alignment horizontal="center" vertical="center"/>
    </xf>
    <xf numFmtId="0" fontId="51" fillId="0" borderId="39" xfId="5" applyNumberFormat="1" applyFont="1" applyBorder="1" applyAlignment="1">
      <alignment horizontal="center" vertical="center"/>
    </xf>
    <xf numFmtId="0" fontId="51" fillId="0" borderId="53" xfId="5" applyNumberFormat="1" applyFont="1" applyBorder="1" applyAlignment="1">
      <alignment horizontal="center" vertical="center"/>
    </xf>
    <xf numFmtId="0" fontId="51" fillId="0" borderId="54" xfId="5" applyNumberFormat="1" applyFont="1" applyBorder="1" applyAlignment="1">
      <alignment horizontal="center" vertical="center"/>
    </xf>
    <xf numFmtId="0" fontId="51" fillId="0" borderId="41" xfId="5" applyNumberFormat="1" applyFont="1" applyBorder="1" applyAlignment="1">
      <alignment horizontal="center" vertical="center"/>
    </xf>
    <xf numFmtId="0" fontId="51" fillId="0" borderId="52" xfId="5" applyNumberFormat="1" applyFont="1" applyBorder="1" applyAlignment="1">
      <alignment horizontal="center" vertical="center"/>
    </xf>
    <xf numFmtId="0" fontId="53" fillId="14" borderId="1" xfId="0" applyFont="1" applyFill="1" applyBorder="1" applyAlignment="1">
      <alignment horizontal="center"/>
    </xf>
    <xf numFmtId="0" fontId="53" fillId="14" borderId="2" xfId="0" applyFont="1" applyFill="1" applyBorder="1" applyAlignment="1">
      <alignment horizontal="center"/>
    </xf>
    <xf numFmtId="0" fontId="55" fillId="0" borderId="11" xfId="0" applyFont="1" applyFill="1" applyBorder="1" applyAlignment="1">
      <alignment horizontal="center" vertical="center" wrapText="1"/>
    </xf>
    <xf numFmtId="0" fontId="55" fillId="0" borderId="14" xfId="0" applyFont="1" applyFill="1" applyBorder="1" applyAlignment="1">
      <alignment horizontal="center" vertical="center" wrapText="1"/>
    </xf>
    <xf numFmtId="0" fontId="55" fillId="0" borderId="4" xfId="0" applyFont="1" applyFill="1" applyBorder="1" applyAlignment="1">
      <alignment horizontal="center" vertical="center" wrapText="1"/>
    </xf>
    <xf numFmtId="0" fontId="55" fillId="0" borderId="11" xfId="0" applyFont="1" applyFill="1" applyBorder="1" applyAlignment="1">
      <alignment horizontal="center" vertical="center" textRotation="90" wrapText="1"/>
    </xf>
    <xf numFmtId="0" fontId="55" fillId="0" borderId="14" xfId="0" applyFont="1" applyFill="1" applyBorder="1" applyAlignment="1">
      <alignment horizontal="center" vertical="center" textRotation="90" wrapText="1"/>
    </xf>
    <xf numFmtId="0" fontId="55" fillId="0" borderId="4" xfId="0" applyFont="1" applyFill="1" applyBorder="1" applyAlignment="1">
      <alignment horizontal="center" vertical="center" textRotation="90" wrapText="1"/>
    </xf>
    <xf numFmtId="0" fontId="54" fillId="0" borderId="0" xfId="0" applyFont="1" applyAlignment="1">
      <alignment horizontal="center"/>
    </xf>
    <xf numFmtId="14" fontId="54" fillId="0" borderId="1" xfId="0" applyNumberFormat="1" applyFont="1" applyBorder="1" applyAlignment="1">
      <alignment horizontal="center"/>
    </xf>
    <xf numFmtId="0" fontId="55" fillId="0" borderId="1" xfId="0" applyFont="1" applyFill="1" applyBorder="1" applyAlignment="1">
      <alignment horizontal="center" vertical="center" wrapText="1"/>
    </xf>
    <xf numFmtId="0" fontId="56" fillId="0" borderId="1" xfId="0" applyFont="1" applyBorder="1" applyAlignment="1" applyProtection="1">
      <alignment horizontal="center" vertical="center" wrapText="1"/>
      <protection locked="0"/>
    </xf>
    <xf numFmtId="0" fontId="56" fillId="0" borderId="1" xfId="0" applyFont="1" applyFill="1" applyBorder="1" applyAlignment="1">
      <alignment horizontal="center" vertical="center" wrapText="1"/>
    </xf>
    <xf numFmtId="0" fontId="57" fillId="0" borderId="1" xfId="0" applyFont="1" applyFill="1" applyBorder="1" applyAlignment="1" applyProtection="1">
      <alignment horizontal="center" vertical="center" textRotation="90" wrapText="1"/>
      <protection locked="0"/>
    </xf>
    <xf numFmtId="0" fontId="57" fillId="0" borderId="11" xfId="0" applyFont="1" applyFill="1" applyBorder="1" applyAlignment="1" applyProtection="1">
      <alignment horizontal="center" vertical="center" textRotation="90" wrapText="1"/>
      <protection locked="0"/>
    </xf>
    <xf numFmtId="0" fontId="57" fillId="0" borderId="14" xfId="0" applyFont="1" applyFill="1" applyBorder="1" applyAlignment="1" applyProtection="1">
      <alignment horizontal="center" vertical="center" textRotation="90" wrapText="1"/>
      <protection locked="0"/>
    </xf>
    <xf numFmtId="0" fontId="57" fillId="0" borderId="4" xfId="0" applyFont="1" applyFill="1" applyBorder="1" applyAlignment="1" applyProtection="1">
      <alignment horizontal="center" vertical="center" textRotation="90" wrapText="1"/>
      <protection locked="0"/>
    </xf>
    <xf numFmtId="0" fontId="57" fillId="0" borderId="12" xfId="0" applyFont="1" applyFill="1" applyBorder="1" applyAlignment="1" applyProtection="1">
      <alignment horizontal="center" vertical="center" textRotation="90" wrapText="1"/>
      <protection locked="0"/>
    </xf>
    <xf numFmtId="0" fontId="57" fillId="0" borderId="9" xfId="0" applyFont="1" applyFill="1" applyBorder="1" applyAlignment="1" applyProtection="1">
      <alignment horizontal="center" vertical="center" textRotation="90" wrapText="1"/>
      <protection locked="0"/>
    </xf>
    <xf numFmtId="0" fontId="57" fillId="0" borderId="8" xfId="0" applyFont="1" applyFill="1" applyBorder="1" applyAlignment="1" applyProtection="1">
      <alignment horizontal="center" vertical="center" textRotation="90" wrapText="1"/>
      <protection locked="0"/>
    </xf>
    <xf numFmtId="0" fontId="56" fillId="0" borderId="1" xfId="0" applyFont="1" applyFill="1" applyBorder="1" applyAlignment="1" applyProtection="1">
      <alignment horizontal="center" vertical="center" textRotation="90" wrapText="1"/>
      <protection locked="0"/>
    </xf>
    <xf numFmtId="0" fontId="57" fillId="0" borderId="1" xfId="0" applyFont="1" applyFill="1" applyBorder="1" applyAlignment="1" applyProtection="1">
      <alignment horizontal="center" vertical="center" wrapText="1"/>
      <protection locked="0"/>
    </xf>
    <xf numFmtId="9" fontId="56" fillId="3" borderId="1" xfId="16" applyFont="1" applyFill="1" applyBorder="1" applyAlignment="1" applyProtection="1">
      <alignment horizontal="center" vertical="center" textRotation="90" wrapText="1"/>
      <protection locked="0"/>
    </xf>
    <xf numFmtId="0" fontId="57" fillId="0" borderId="1" xfId="0" applyFont="1" applyBorder="1" applyAlignment="1" applyProtection="1">
      <alignment horizontal="center" vertical="center" textRotation="90" wrapText="1"/>
      <protection locked="0"/>
    </xf>
    <xf numFmtId="0" fontId="56" fillId="0" borderId="11" xfId="16" applyNumberFormat="1" applyFont="1" applyFill="1" applyBorder="1" applyAlignment="1" applyProtection="1">
      <alignment horizontal="center" vertical="center" textRotation="90" wrapText="1"/>
      <protection locked="0"/>
    </xf>
    <xf numFmtId="0" fontId="56" fillId="0" borderId="14" xfId="16" applyNumberFormat="1" applyFont="1" applyFill="1" applyBorder="1" applyAlignment="1" applyProtection="1">
      <alignment horizontal="center" vertical="center" textRotation="90" wrapText="1"/>
      <protection locked="0"/>
    </xf>
    <xf numFmtId="0" fontId="56" fillId="0" borderId="4" xfId="16" applyNumberFormat="1" applyFont="1" applyFill="1" applyBorder="1" applyAlignment="1" applyProtection="1">
      <alignment horizontal="center" vertical="center" textRotation="90" wrapText="1"/>
      <protection locked="0"/>
    </xf>
    <xf numFmtId="0" fontId="56" fillId="12" borderId="11" xfId="16" applyNumberFormat="1" applyFont="1" applyFill="1" applyBorder="1" applyAlignment="1" applyProtection="1">
      <alignment horizontal="center" vertical="center" textRotation="90" wrapText="1"/>
      <protection locked="0"/>
    </xf>
    <xf numFmtId="0" fontId="56" fillId="12" borderId="14" xfId="16" applyNumberFormat="1" applyFont="1" applyFill="1" applyBorder="1" applyAlignment="1" applyProtection="1">
      <alignment horizontal="center" vertical="center" textRotation="90" wrapText="1"/>
      <protection locked="0"/>
    </xf>
    <xf numFmtId="0" fontId="56" fillId="12" borderId="4" xfId="16" applyNumberFormat="1" applyFont="1" applyFill="1" applyBorder="1" applyAlignment="1" applyProtection="1">
      <alignment horizontal="center" vertical="center" textRotation="90" wrapText="1"/>
      <protection locked="0"/>
    </xf>
    <xf numFmtId="0" fontId="57" fillId="0" borderId="1" xfId="0" applyFont="1" applyBorder="1" applyAlignment="1" applyProtection="1">
      <alignment horizontal="center" textRotation="90" wrapText="1"/>
      <protection locked="0"/>
    </xf>
    <xf numFmtId="0" fontId="57" fillId="0" borderId="1" xfId="0" applyFont="1" applyBorder="1" applyAlignment="1" applyProtection="1">
      <alignment horizontal="center" vertical="center" wrapText="1"/>
      <protection locked="0"/>
    </xf>
    <xf numFmtId="0" fontId="57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 textRotation="90"/>
    </xf>
    <xf numFmtId="0" fontId="56" fillId="0" borderId="2" xfId="0" applyFont="1" applyFill="1" applyBorder="1" applyAlignment="1">
      <alignment horizontal="center" vertical="center" wrapText="1"/>
    </xf>
    <xf numFmtId="0" fontId="56" fillId="0" borderId="5" xfId="0" applyFont="1" applyFill="1" applyBorder="1" applyAlignment="1">
      <alignment horizontal="center" vertical="center" wrapText="1"/>
    </xf>
    <xf numFmtId="0" fontId="56" fillId="0" borderId="3" xfId="0" applyFont="1" applyFill="1" applyBorder="1" applyAlignment="1">
      <alignment horizontal="center" vertical="center" wrapText="1"/>
    </xf>
    <xf numFmtId="0" fontId="57" fillId="0" borderId="11" xfId="0" applyFont="1" applyBorder="1" applyAlignment="1" applyProtection="1">
      <alignment horizontal="center" vertical="center" textRotation="90" wrapText="1"/>
      <protection locked="0"/>
    </xf>
    <xf numFmtId="0" fontId="57" fillId="0" borderId="14" xfId="0" applyFont="1" applyBorder="1" applyAlignment="1" applyProtection="1">
      <alignment horizontal="center" vertical="center" textRotation="90" wrapText="1"/>
      <protection locked="0"/>
    </xf>
    <xf numFmtId="0" fontId="57" fillId="0" borderId="4" xfId="0" applyFont="1" applyBorder="1" applyAlignment="1" applyProtection="1">
      <alignment horizontal="center" vertical="center" textRotation="90" wrapText="1"/>
      <protection locked="0"/>
    </xf>
    <xf numFmtId="0" fontId="64" fillId="0" borderId="51" xfId="0" applyFont="1" applyBorder="1" applyAlignment="1">
      <alignment horizontal="center" vertical="center" wrapText="1"/>
    </xf>
    <xf numFmtId="0" fontId="64" fillId="0" borderId="30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5" xfId="0" applyBorder="1" applyAlignment="1"/>
    <xf numFmtId="0" fontId="62" fillId="0" borderId="0" xfId="0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4" fillId="0" borderId="49" xfId="0" applyFont="1" applyBorder="1" applyAlignment="1">
      <alignment horizontal="center" vertical="center" wrapText="1"/>
    </xf>
    <xf numFmtId="0" fontId="64" fillId="0" borderId="29" xfId="0" applyFont="1" applyBorder="1" applyAlignment="1">
      <alignment horizontal="center" vertical="center" wrapText="1"/>
    </xf>
    <xf numFmtId="0" fontId="64" fillId="0" borderId="50" xfId="0" applyFont="1" applyBorder="1" applyAlignment="1">
      <alignment horizontal="center" vertical="center" wrapText="1"/>
    </xf>
    <xf numFmtId="0" fontId="64" fillId="0" borderId="11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</cellXfs>
  <cellStyles count="21">
    <cellStyle name="Обычный" xfId="0" builtinId="0"/>
    <cellStyle name="Обычный 100" xfId="9"/>
    <cellStyle name="Обычный 100 6 2" xfId="12"/>
    <cellStyle name="Обычный 104" xfId="5"/>
    <cellStyle name="Обычный 17 2" xfId="1"/>
    <cellStyle name="Обычный 17 2 11" xfId="20"/>
    <cellStyle name="Обычный 2 2" xfId="2"/>
    <cellStyle name="Обычный 2 27" xfId="6"/>
    <cellStyle name="Обычный 2 3" xfId="4"/>
    <cellStyle name="Обычный 22 2" xfId="18"/>
    <cellStyle name="Обычный 23" xfId="17"/>
    <cellStyle name="Обычный 3" xfId="7"/>
    <cellStyle name="Обычный 3 2 13" xfId="8"/>
    <cellStyle name="Обычный 4 2 5" xfId="14"/>
    <cellStyle name="Обычный 5 6 2 15" xfId="11"/>
    <cellStyle name="Обычный 93 2" xfId="10"/>
    <cellStyle name="Процентный" xfId="16" builtinId="5"/>
    <cellStyle name="Процентный 14 2 2" xfId="13"/>
    <cellStyle name="Процентный 2 2 2 2" xfId="15"/>
    <cellStyle name="Хороший" xfId="19" builtinId="26"/>
    <cellStyle name="ߢ܃ཹ耀礇_x000f_ߢ_x0003_쁣指" xfId="3"/>
  </cellStyles>
  <dxfs count="28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76200</xdr:rowOff>
    </xdr:from>
    <xdr:to>
      <xdr:col>2</xdr:col>
      <xdr:colOff>66675</xdr:colOff>
      <xdr:row>12</xdr:row>
      <xdr:rowOff>57150</xdr:rowOff>
    </xdr:to>
    <xdr:sp macro="[1]!Сегодня" textlink="">
      <xdr:nvSpPr>
        <xdr:cNvPr id="2" name="Скругленный прямоугольник 1"/>
        <xdr:cNvSpPr/>
      </xdr:nvSpPr>
      <xdr:spPr>
        <a:xfrm>
          <a:off x="104775" y="2571750"/>
          <a:ext cx="1905000" cy="36195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400" b="1">
              <a:solidFill>
                <a:sysClr val="windowText" lastClr="000000"/>
              </a:solidFill>
            </a:rPr>
            <a:t>сегодня</a:t>
          </a:r>
        </a:p>
      </xdr:txBody>
    </xdr:sp>
    <xdr:clientData/>
  </xdr:twoCellAnchor>
  <xdr:twoCellAnchor>
    <xdr:from>
      <xdr:col>0</xdr:col>
      <xdr:colOff>257175</xdr:colOff>
      <xdr:row>6</xdr:row>
      <xdr:rowOff>76200</xdr:rowOff>
    </xdr:from>
    <xdr:to>
      <xdr:col>2</xdr:col>
      <xdr:colOff>219075</xdr:colOff>
      <xdr:row>6</xdr:row>
      <xdr:rowOff>438150</xdr:rowOff>
    </xdr:to>
    <xdr:sp macro="[1]!Сегодня_2" textlink="">
      <xdr:nvSpPr>
        <xdr:cNvPr id="3" name="Скругленный прямоугольник 2"/>
        <xdr:cNvSpPr/>
      </xdr:nvSpPr>
      <xdr:spPr>
        <a:xfrm>
          <a:off x="257175" y="1257300"/>
          <a:ext cx="1905000" cy="361950"/>
        </a:xfrm>
        <a:prstGeom prst="roundRect">
          <a:avLst/>
        </a:prstGeom>
        <a:gradFill flip="none" rotWithShape="1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2700000" scaled="0"/>
          <a:tileRect/>
        </a:gra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400" b="1">
              <a:solidFill>
                <a:schemeClr val="tx2"/>
              </a:solidFill>
            </a:rPr>
            <a:t>сегодня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1;&#1072;&#1093;&#1072;&#1088;&#1077;&#1074;/Desktop/,&#1096;&#1090;&#1072;&#1090;/2023/&#1052;&#1072;&#1088;&#1090;/79%20&#1052;&#1057;&#1055;%2007.03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сутствующие"/>
      <sheetName val="Ш Т А Т "/>
      <sheetName val="нормальная строевая записка"/>
      <sheetName val="Строевка для 18 мсд"/>
      <sheetName val="Отрыв"/>
      <sheetName val="стр-ка сс"/>
      <sheetName val="Мех-вод"/>
      <sheetName val="Учет в столовой"/>
      <sheetName val="Ушли сс"/>
      <sheetName val="Водители"/>
      <sheetName val="НО"/>
      <sheetName val="118"/>
      <sheetName val="пн 1"/>
      <sheetName val="Укомпл."/>
      <sheetName val="отпуск"/>
      <sheetName val="Ушли кс"/>
      <sheetName val="Пришли сс"/>
      <sheetName val="Пришли кс"/>
      <sheetName val="Ведомость по ВУС"/>
      <sheetName val="Отрыв МП п"/>
      <sheetName val="79 МСП 07.03.2023"/>
    </sheetNames>
    <definedNames>
      <definedName name="Сегодня"/>
      <definedName name="Сегодня_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BQ4693"/>
  <sheetViews>
    <sheetView tabSelected="1" zoomScale="55" zoomScaleNormal="55" workbookViewId="0">
      <pane ySplit="1" topLeftCell="A2361" activePane="bottomLeft" state="frozen"/>
      <selection activeCell="S1" sqref="S1"/>
      <selection pane="bottomLeft" activeCell="AD2363" sqref="AD2363"/>
    </sheetView>
  </sheetViews>
  <sheetFormatPr defaultRowHeight="39" customHeight="1" x14ac:dyDescent="0.3"/>
  <cols>
    <col min="1" max="1" width="8.140625" style="5" customWidth="1"/>
    <col min="2" max="2" width="7.140625" style="5" customWidth="1"/>
    <col min="3" max="3" width="59" style="654" customWidth="1"/>
    <col min="4" max="4" width="9.42578125" style="654" customWidth="1"/>
    <col min="5" max="5" width="9.7109375" style="654" customWidth="1"/>
    <col min="6" max="6" width="9.140625" style="654" customWidth="1"/>
    <col min="7" max="7" width="14.7109375" style="655" customWidth="1"/>
    <col min="8" max="8" width="19.5703125" style="655" customWidth="1"/>
    <col min="9" max="10" width="9.140625" style="654" customWidth="1"/>
    <col min="11" max="11" width="34.7109375" style="654" customWidth="1"/>
    <col min="12" max="13" width="25" style="655" customWidth="1"/>
    <col min="14" max="14" width="9.140625" style="654" customWidth="1"/>
    <col min="15" max="15" width="20.28515625" style="983" customWidth="1"/>
    <col min="16" max="16" width="8.5703125" style="654" customWidth="1"/>
    <col min="17" max="17" width="10.85546875" style="654" customWidth="1"/>
    <col min="18" max="18" width="48.85546875" style="1182" customWidth="1"/>
    <col min="19" max="19" width="13.140625" style="654" customWidth="1"/>
    <col min="20" max="20" width="9.140625" style="654" customWidth="1"/>
    <col min="21" max="21" width="9" style="654" customWidth="1"/>
    <col min="22" max="22" width="28.7109375" style="654" customWidth="1"/>
    <col min="23" max="23" width="32.42578125" style="655" customWidth="1"/>
    <col min="24" max="24" width="39.5703125" style="655" customWidth="1"/>
    <col min="25" max="25" width="49" style="654" customWidth="1"/>
    <col min="26" max="26" width="13" style="654" customWidth="1"/>
    <col min="27" max="27" width="16.28515625" style="654" customWidth="1"/>
    <col min="28" max="28" width="25.140625" style="1299" customWidth="1"/>
    <col min="29" max="29" width="19.85546875" style="654" customWidth="1"/>
    <col min="30" max="30" width="40.140625" style="662" customWidth="1"/>
    <col min="31" max="31" width="16.7109375" style="654" customWidth="1"/>
    <col min="32" max="32" width="15.7109375" style="654" customWidth="1"/>
    <col min="33" max="34" width="13.85546875" style="654" customWidth="1"/>
    <col min="35" max="37" width="9.85546875" style="655" customWidth="1"/>
    <col min="38" max="38" width="16" style="206" customWidth="1"/>
    <col min="39" max="39" width="19" style="206" customWidth="1"/>
    <col min="40" max="40" width="19.85546875" style="203" customWidth="1"/>
    <col min="41" max="41" width="11.140625" style="5" customWidth="1"/>
    <col min="42" max="46" width="9.140625" style="5" customWidth="1"/>
    <col min="47" max="54" width="9.140625" customWidth="1"/>
  </cols>
  <sheetData>
    <row r="1" spans="1:46" s="827" customFormat="1" ht="75.75" customHeight="1" x14ac:dyDescent="0.25">
      <c r="A1" s="1152" t="s">
        <v>0</v>
      </c>
      <c r="B1" s="109" t="s">
        <v>1</v>
      </c>
      <c r="C1" s="209" t="s">
        <v>2</v>
      </c>
      <c r="D1" s="209" t="s">
        <v>3</v>
      </c>
      <c r="E1" s="210" t="s">
        <v>4</v>
      </c>
      <c r="F1" s="211" t="s">
        <v>5</v>
      </c>
      <c r="G1" s="212" t="s">
        <v>6</v>
      </c>
      <c r="H1" s="213" t="s">
        <v>7</v>
      </c>
      <c r="I1" s="213" t="s">
        <v>8</v>
      </c>
      <c r="J1" s="210" t="s">
        <v>9</v>
      </c>
      <c r="K1" s="214" t="s">
        <v>10</v>
      </c>
      <c r="L1" s="215" t="s">
        <v>11</v>
      </c>
      <c r="M1" s="215" t="s">
        <v>12</v>
      </c>
      <c r="N1" s="215" t="s">
        <v>13</v>
      </c>
      <c r="O1" s="216" t="s">
        <v>14</v>
      </c>
      <c r="P1" s="217" t="s">
        <v>15</v>
      </c>
      <c r="Q1" s="283" t="s">
        <v>16</v>
      </c>
      <c r="R1" s="419" t="s">
        <v>17</v>
      </c>
      <c r="S1" s="252" t="s">
        <v>18</v>
      </c>
      <c r="T1" s="220" t="s">
        <v>19</v>
      </c>
      <c r="U1" s="221" t="s">
        <v>20</v>
      </c>
      <c r="V1" s="215" t="s">
        <v>21</v>
      </c>
      <c r="W1" s="215" t="s">
        <v>5954</v>
      </c>
      <c r="X1" s="215" t="s">
        <v>22</v>
      </c>
      <c r="Y1" s="215" t="s">
        <v>23</v>
      </c>
      <c r="Z1" s="215" t="s">
        <v>24</v>
      </c>
      <c r="AA1" s="222" t="s">
        <v>25</v>
      </c>
      <c r="AB1" s="215" t="s">
        <v>26</v>
      </c>
      <c r="AC1" s="223" t="s">
        <v>27</v>
      </c>
      <c r="AD1" s="224" t="s">
        <v>28</v>
      </c>
      <c r="AE1" s="222" t="s">
        <v>29</v>
      </c>
      <c r="AF1" s="222" t="s">
        <v>30</v>
      </c>
      <c r="AG1" s="215" t="s">
        <v>31</v>
      </c>
      <c r="AH1" s="215" t="s">
        <v>32</v>
      </c>
      <c r="AI1" s="225" t="s">
        <v>33</v>
      </c>
      <c r="AJ1" s="224" t="s">
        <v>34</v>
      </c>
      <c r="AK1" s="226" t="s">
        <v>35</v>
      </c>
      <c r="AL1" s="112" t="s">
        <v>4603</v>
      </c>
      <c r="AM1" s="112" t="s">
        <v>36</v>
      </c>
      <c r="AN1" s="112" t="s">
        <v>37</v>
      </c>
      <c r="AO1" s="112" t="s">
        <v>38</v>
      </c>
      <c r="AP1" s="112" t="s">
        <v>39</v>
      </c>
      <c r="AQ1" s="112" t="s">
        <v>40</v>
      </c>
      <c r="AR1" s="112" t="s">
        <v>41</v>
      </c>
      <c r="AS1" s="112" t="s">
        <v>42</v>
      </c>
      <c r="AT1" s="1153" t="s">
        <v>43</v>
      </c>
    </row>
    <row r="2" spans="1:46" ht="39" customHeight="1" x14ac:dyDescent="0.25">
      <c r="A2" s="1468">
        <v>1</v>
      </c>
      <c r="B2" s="1147"/>
      <c r="C2" s="1012"/>
      <c r="D2" s="646"/>
      <c r="E2" s="646"/>
      <c r="F2" s="646"/>
      <c r="G2" s="433"/>
      <c r="H2" s="1148"/>
      <c r="I2" s="1148"/>
      <c r="J2" s="1149"/>
      <c r="K2" s="433"/>
      <c r="L2" s="1149"/>
      <c r="M2" s="1149"/>
      <c r="N2" s="1149"/>
      <c r="O2" s="1149"/>
      <c r="P2" s="974" t="s">
        <v>44</v>
      </c>
      <c r="Q2" s="646"/>
      <c r="R2" s="1012"/>
      <c r="S2" s="690"/>
      <c r="T2" s="690"/>
      <c r="U2" s="690"/>
      <c r="V2" s="690"/>
      <c r="W2" s="690"/>
      <c r="X2" s="690"/>
      <c r="Y2" s="690"/>
      <c r="Z2" s="691"/>
      <c r="AA2" s="692"/>
      <c r="AB2" s="693"/>
      <c r="AC2" s="694"/>
      <c r="AD2" s="693"/>
      <c r="AE2" s="695"/>
      <c r="AF2" s="691"/>
      <c r="AG2" s="646"/>
      <c r="AH2" s="696"/>
      <c r="AI2" s="697"/>
      <c r="AJ2" s="696"/>
      <c r="AK2" s="646"/>
      <c r="AL2" s="1150"/>
      <c r="AM2" s="1150"/>
      <c r="AN2" s="1150"/>
      <c r="AO2" s="1151"/>
      <c r="AP2" s="115"/>
      <c r="AQ2" s="115"/>
      <c r="AR2" s="115"/>
      <c r="AS2" s="115"/>
      <c r="AT2" s="116"/>
    </row>
    <row r="3" spans="1:46" ht="39" customHeight="1" x14ac:dyDescent="0.25">
      <c r="A3" s="1468">
        <v>2</v>
      </c>
      <c r="B3" s="117"/>
      <c r="C3" s="324"/>
      <c r="D3" s="664"/>
      <c r="E3" s="664"/>
      <c r="F3" s="664"/>
      <c r="G3" s="227"/>
      <c r="H3" s="228"/>
      <c r="I3" s="228"/>
      <c r="J3" s="229"/>
      <c r="K3" s="227"/>
      <c r="L3" s="229"/>
      <c r="M3" s="229"/>
      <c r="N3" s="229"/>
      <c r="O3" s="229"/>
      <c r="P3" s="230" t="s">
        <v>45</v>
      </c>
      <c r="Q3" s="664"/>
      <c r="R3" s="324"/>
      <c r="S3" s="232"/>
      <c r="T3" s="232"/>
      <c r="U3" s="232"/>
      <c r="V3" s="232"/>
      <c r="W3" s="232"/>
      <c r="X3" s="232"/>
      <c r="Y3" s="232"/>
      <c r="Z3" s="233"/>
      <c r="AA3" s="234"/>
      <c r="AB3" s="235"/>
      <c r="AC3" s="236"/>
      <c r="AD3" s="235"/>
      <c r="AE3" s="237"/>
      <c r="AF3" s="233"/>
      <c r="AG3" s="664"/>
      <c r="AH3" s="238"/>
      <c r="AI3" s="239"/>
      <c r="AJ3" s="238"/>
      <c r="AK3" s="664"/>
      <c r="AL3" s="113"/>
      <c r="AM3" s="118"/>
      <c r="AN3" s="113"/>
      <c r="AO3" s="114"/>
      <c r="AP3" s="115"/>
      <c r="AQ3" s="115"/>
      <c r="AR3" s="115"/>
      <c r="AS3" s="115"/>
      <c r="AT3" s="116"/>
    </row>
    <row r="4" spans="1:46" ht="39" customHeight="1" x14ac:dyDescent="0.25">
      <c r="A4" s="1468">
        <v>3</v>
      </c>
      <c r="B4" s="119">
        <v>23</v>
      </c>
      <c r="C4" s="240" t="s">
        <v>46</v>
      </c>
      <c r="D4" s="241"/>
      <c r="E4" s="242" t="s">
        <v>47</v>
      </c>
      <c r="F4" s="241"/>
      <c r="G4" s="243" t="s">
        <v>48</v>
      </c>
      <c r="H4" s="244" t="s">
        <v>49</v>
      </c>
      <c r="I4" s="244"/>
      <c r="J4" s="245">
        <v>200</v>
      </c>
      <c r="K4" s="197" t="s">
        <v>50</v>
      </c>
      <c r="L4" s="246" t="s">
        <v>51</v>
      </c>
      <c r="M4" s="246" t="s">
        <v>51</v>
      </c>
      <c r="N4" s="245"/>
      <c r="O4" s="216" t="s">
        <v>52</v>
      </c>
      <c r="P4" s="247"/>
      <c r="Q4" s="248" t="s">
        <v>49</v>
      </c>
      <c r="R4" s="259" t="s">
        <v>53</v>
      </c>
      <c r="S4" s="279">
        <v>29494</v>
      </c>
      <c r="T4" s="250"/>
      <c r="U4" s="251" t="s">
        <v>54</v>
      </c>
      <c r="V4" s="197" t="s">
        <v>1436</v>
      </c>
      <c r="W4" s="197" t="s">
        <v>56</v>
      </c>
      <c r="X4" s="197" t="s">
        <v>57</v>
      </c>
      <c r="Y4" s="197" t="s">
        <v>5036</v>
      </c>
      <c r="Z4" s="246">
        <v>44790</v>
      </c>
      <c r="AA4" s="252"/>
      <c r="AB4" s="245" t="s">
        <v>59</v>
      </c>
      <c r="AC4" s="223" t="s">
        <v>358</v>
      </c>
      <c r="AD4" s="245" t="s">
        <v>60</v>
      </c>
      <c r="AE4" s="246">
        <v>36008</v>
      </c>
      <c r="AF4" s="246">
        <v>45139</v>
      </c>
      <c r="AG4" s="241" t="s">
        <v>61</v>
      </c>
      <c r="AH4" s="253"/>
      <c r="AI4" s="254"/>
      <c r="AJ4" s="255" t="s">
        <v>62</v>
      </c>
      <c r="AK4" s="242">
        <v>1</v>
      </c>
      <c r="AL4" s="123" t="s">
        <v>63</v>
      </c>
      <c r="AM4" s="124" t="s">
        <v>63</v>
      </c>
      <c r="AN4" s="124"/>
      <c r="AO4" s="124">
        <v>155455</v>
      </c>
      <c r="AP4" s="115"/>
      <c r="AQ4" s="115"/>
      <c r="AR4" s="115"/>
      <c r="AS4" s="115"/>
      <c r="AT4" s="115"/>
    </row>
    <row r="5" spans="1:46" ht="39" customHeight="1" x14ac:dyDescent="0.25">
      <c r="A5" s="1468">
        <v>4</v>
      </c>
      <c r="B5" s="119">
        <v>20</v>
      </c>
      <c r="C5" s="240" t="s">
        <v>64</v>
      </c>
      <c r="D5" s="241"/>
      <c r="E5" s="242" t="s">
        <v>47</v>
      </c>
      <c r="F5" s="241"/>
      <c r="G5" s="243" t="s">
        <v>48</v>
      </c>
      <c r="H5" s="244" t="s">
        <v>65</v>
      </c>
      <c r="I5" s="244"/>
      <c r="J5" s="245">
        <v>202</v>
      </c>
      <c r="K5" s="197" t="s">
        <v>50</v>
      </c>
      <c r="L5" s="256" t="s">
        <v>2789</v>
      </c>
      <c r="M5" s="256" t="s">
        <v>2789</v>
      </c>
      <c r="N5" s="245"/>
      <c r="O5" s="216" t="s">
        <v>3261</v>
      </c>
      <c r="P5" s="247"/>
      <c r="Q5" s="248" t="s">
        <v>92</v>
      </c>
      <c r="R5" s="259" t="s">
        <v>3260</v>
      </c>
      <c r="S5" s="279">
        <v>32738</v>
      </c>
      <c r="T5" s="250"/>
      <c r="U5" s="197"/>
      <c r="V5" s="197"/>
      <c r="W5" s="197" t="s">
        <v>6060</v>
      </c>
      <c r="X5" s="197"/>
      <c r="Y5" s="197"/>
      <c r="Z5" s="246"/>
      <c r="AA5" s="252"/>
      <c r="AB5" s="281"/>
      <c r="AC5" s="281"/>
      <c r="AD5" s="281"/>
      <c r="AE5" s="252"/>
      <c r="AF5" s="252"/>
      <c r="AG5" s="282"/>
      <c r="AH5" s="282"/>
      <c r="AI5" s="283"/>
      <c r="AJ5" s="255" t="s">
        <v>62</v>
      </c>
      <c r="AK5" s="242">
        <v>1</v>
      </c>
      <c r="AL5" s="123" t="s">
        <v>63</v>
      </c>
      <c r="AM5" s="124" t="s">
        <v>63</v>
      </c>
      <c r="AN5" s="124"/>
      <c r="AO5" s="124">
        <v>21</v>
      </c>
      <c r="AP5" s="115"/>
      <c r="AQ5" s="115"/>
      <c r="AR5" s="115"/>
      <c r="AS5" s="115"/>
      <c r="AT5" s="115"/>
    </row>
    <row r="6" spans="1:46" ht="39" customHeight="1" x14ac:dyDescent="0.25">
      <c r="A6" s="1468">
        <v>5</v>
      </c>
      <c r="B6" s="119">
        <v>20</v>
      </c>
      <c r="C6" s="240" t="s">
        <v>67</v>
      </c>
      <c r="D6" s="241"/>
      <c r="E6" s="242" t="s">
        <v>47</v>
      </c>
      <c r="F6" s="241"/>
      <c r="G6" s="243" t="s">
        <v>68</v>
      </c>
      <c r="H6" s="244" t="s">
        <v>65</v>
      </c>
      <c r="I6" s="244"/>
      <c r="J6" s="245">
        <v>202</v>
      </c>
      <c r="K6" s="197" t="s">
        <v>50</v>
      </c>
      <c r="L6" s="246" t="s">
        <v>6167</v>
      </c>
      <c r="M6" s="246" t="s">
        <v>6167</v>
      </c>
      <c r="N6" s="245"/>
      <c r="O6" s="392" t="s">
        <v>3162</v>
      </c>
      <c r="P6" s="247" t="s">
        <v>1411</v>
      </c>
      <c r="Q6" s="248" t="s">
        <v>65</v>
      </c>
      <c r="R6" s="259" t="s">
        <v>69</v>
      </c>
      <c r="S6" s="279">
        <v>27030</v>
      </c>
      <c r="T6" s="197"/>
      <c r="U6" s="250" t="s">
        <v>54</v>
      </c>
      <c r="V6" s="268" t="s">
        <v>6193</v>
      </c>
      <c r="W6" s="197" t="s">
        <v>56</v>
      </c>
      <c r="X6" s="197" t="s">
        <v>57</v>
      </c>
      <c r="Y6" s="197" t="s">
        <v>4631</v>
      </c>
      <c r="Z6" s="246">
        <v>45325</v>
      </c>
      <c r="AA6" s="252"/>
      <c r="AB6" s="245"/>
      <c r="AC6" s="223"/>
      <c r="AD6" s="245"/>
      <c r="AE6" s="258"/>
      <c r="AF6" s="258"/>
      <c r="AG6" s="241" t="s">
        <v>61</v>
      </c>
      <c r="AH6" s="253"/>
      <c r="AI6" s="254"/>
      <c r="AJ6" s="255" t="s">
        <v>62</v>
      </c>
      <c r="AK6" s="242">
        <v>1</v>
      </c>
      <c r="AL6" s="123" t="s">
        <v>63</v>
      </c>
      <c r="AM6" s="123" t="s">
        <v>63</v>
      </c>
      <c r="AN6" s="124"/>
      <c r="AO6" s="124">
        <v>44976</v>
      </c>
      <c r="AP6" s="115"/>
      <c r="AQ6" s="115"/>
      <c r="AR6" s="115"/>
      <c r="AS6" s="115"/>
      <c r="AT6" s="115"/>
    </row>
    <row r="7" spans="1:46" ht="39" customHeight="1" x14ac:dyDescent="0.25">
      <c r="A7" s="1468">
        <v>6</v>
      </c>
      <c r="B7" s="119">
        <v>17</v>
      </c>
      <c r="C7" s="240" t="s">
        <v>2400</v>
      </c>
      <c r="D7" s="241"/>
      <c r="E7" s="242"/>
      <c r="F7" s="241"/>
      <c r="G7" s="243" t="s">
        <v>2068</v>
      </c>
      <c r="H7" s="244" t="s">
        <v>78</v>
      </c>
      <c r="I7" s="244"/>
      <c r="J7" s="245">
        <v>300</v>
      </c>
      <c r="K7" s="197"/>
      <c r="L7" s="246" t="s">
        <v>5754</v>
      </c>
      <c r="M7" s="246" t="s">
        <v>5754</v>
      </c>
      <c r="N7" s="245"/>
      <c r="O7" s="216" t="s">
        <v>5811</v>
      </c>
      <c r="P7" s="247" t="s">
        <v>1411</v>
      </c>
      <c r="Q7" s="242" t="s">
        <v>65</v>
      </c>
      <c r="R7" s="259" t="s">
        <v>5810</v>
      </c>
      <c r="S7" s="279">
        <v>27019</v>
      </c>
      <c r="T7" s="197"/>
      <c r="U7" s="1487" t="s">
        <v>54</v>
      </c>
      <c r="V7" s="197" t="s">
        <v>5909</v>
      </c>
      <c r="W7" s="197" t="s">
        <v>5912</v>
      </c>
      <c r="X7" s="197" t="s">
        <v>57</v>
      </c>
      <c r="Y7" s="981" t="s">
        <v>5911</v>
      </c>
      <c r="Z7" s="246">
        <v>45306</v>
      </c>
      <c r="AA7" s="246"/>
      <c r="AB7" s="245"/>
      <c r="AC7" s="223"/>
      <c r="AD7" s="245"/>
      <c r="AE7" s="258"/>
      <c r="AF7" s="258"/>
      <c r="AG7" s="241"/>
      <c r="AH7" s="253"/>
      <c r="AI7" s="254"/>
      <c r="AJ7" s="255" t="s">
        <v>62</v>
      </c>
      <c r="AK7" s="242">
        <v>1</v>
      </c>
      <c r="AL7" s="123" t="s">
        <v>63</v>
      </c>
      <c r="AM7" s="123" t="s">
        <v>63</v>
      </c>
      <c r="AN7" s="124"/>
      <c r="AO7" s="124"/>
      <c r="AP7" s="115"/>
      <c r="AQ7" s="115"/>
      <c r="AR7" s="115"/>
      <c r="AS7" s="115"/>
      <c r="AT7" s="115"/>
    </row>
    <row r="8" spans="1:46" ht="39" customHeight="1" x14ac:dyDescent="0.25">
      <c r="A8" s="1468">
        <v>7</v>
      </c>
      <c r="B8" s="119"/>
      <c r="C8" s="260" t="s">
        <v>2069</v>
      </c>
      <c r="D8" s="241"/>
      <c r="E8" s="242"/>
      <c r="F8" s="241"/>
      <c r="G8" s="261" t="s">
        <v>2070</v>
      </c>
      <c r="H8" s="262" t="s">
        <v>74</v>
      </c>
      <c r="I8" s="244"/>
      <c r="J8" s="245"/>
      <c r="K8" s="197"/>
      <c r="L8" s="246"/>
      <c r="M8" s="405"/>
      <c r="N8" s="264"/>
      <c r="O8" s="265"/>
      <c r="P8" s="266"/>
      <c r="Q8" s="980"/>
      <c r="R8" s="683" t="s">
        <v>66</v>
      </c>
      <c r="S8" s="279"/>
      <c r="T8" s="268"/>
      <c r="U8" s="268"/>
      <c r="V8" s="268"/>
      <c r="W8" s="197"/>
      <c r="X8" s="197"/>
      <c r="Y8" s="197"/>
      <c r="Z8" s="246"/>
      <c r="AA8" s="246"/>
      <c r="AB8" s="245"/>
      <c r="AC8" s="223"/>
      <c r="AD8" s="245"/>
      <c r="AE8" s="258"/>
      <c r="AF8" s="258"/>
      <c r="AG8" s="241"/>
      <c r="AH8" s="253"/>
      <c r="AI8" s="254"/>
      <c r="AJ8" s="255"/>
      <c r="AK8" s="241" t="s">
        <v>74</v>
      </c>
      <c r="AL8" s="122" t="s">
        <v>63</v>
      </c>
      <c r="AM8" s="122" t="s">
        <v>63</v>
      </c>
      <c r="AN8" s="124"/>
      <c r="AO8" s="124"/>
      <c r="AP8" s="115"/>
      <c r="AQ8" s="115"/>
      <c r="AR8" s="115"/>
      <c r="AS8" s="115"/>
      <c r="AT8" s="115"/>
    </row>
    <row r="9" spans="1:46" ht="39" customHeight="1" x14ac:dyDescent="0.25">
      <c r="A9" s="1468">
        <v>8</v>
      </c>
      <c r="B9" s="117"/>
      <c r="C9" s="260" t="s">
        <v>72</v>
      </c>
      <c r="D9" s="241"/>
      <c r="E9" s="241"/>
      <c r="F9" s="241"/>
      <c r="G9" s="261" t="s">
        <v>73</v>
      </c>
      <c r="H9" s="262" t="s">
        <v>74</v>
      </c>
      <c r="I9" s="262"/>
      <c r="J9" s="245"/>
      <c r="K9" s="261" t="s">
        <v>50</v>
      </c>
      <c r="L9" s="256"/>
      <c r="M9" s="405"/>
      <c r="N9" s="264"/>
      <c r="O9" s="265"/>
      <c r="P9" s="266"/>
      <c r="Q9" s="267" t="s">
        <v>74</v>
      </c>
      <c r="R9" s="1527" t="s">
        <v>6095</v>
      </c>
      <c r="S9" s="279">
        <v>35443</v>
      </c>
      <c r="T9" s="268"/>
      <c r="U9" s="197"/>
      <c r="V9" s="268" t="s">
        <v>5395</v>
      </c>
      <c r="W9" s="197" t="s">
        <v>2381</v>
      </c>
      <c r="X9" s="197" t="s">
        <v>5397</v>
      </c>
      <c r="Y9" s="197" t="s">
        <v>5396</v>
      </c>
      <c r="Z9" s="246">
        <v>45283</v>
      </c>
      <c r="AA9" s="246">
        <v>45837</v>
      </c>
      <c r="AB9" s="245"/>
      <c r="AC9" s="223"/>
      <c r="AD9" s="245"/>
      <c r="AE9" s="269">
        <v>44256</v>
      </c>
      <c r="AF9" s="258"/>
      <c r="AG9" s="241" t="s">
        <v>75</v>
      </c>
      <c r="AH9" s="253"/>
      <c r="AI9" s="254"/>
      <c r="AJ9" s="241" t="s">
        <v>74</v>
      </c>
      <c r="AK9" s="241" t="s">
        <v>74</v>
      </c>
      <c r="AL9" s="122" t="s">
        <v>63</v>
      </c>
      <c r="AM9" s="122" t="s">
        <v>63</v>
      </c>
      <c r="AN9" s="110"/>
      <c r="AO9" s="124">
        <v>79699</v>
      </c>
      <c r="AP9" s="115"/>
      <c r="AQ9" s="115"/>
      <c r="AR9" s="115"/>
      <c r="AS9" s="115"/>
      <c r="AT9" s="115"/>
    </row>
    <row r="10" spans="1:46" ht="39" customHeight="1" x14ac:dyDescent="0.25">
      <c r="A10" s="1468">
        <v>9</v>
      </c>
      <c r="B10" s="117"/>
      <c r="C10" s="260" t="s">
        <v>76</v>
      </c>
      <c r="D10" s="241"/>
      <c r="E10" s="241"/>
      <c r="F10" s="241"/>
      <c r="G10" s="261" t="s">
        <v>77</v>
      </c>
      <c r="H10" s="262" t="s">
        <v>74</v>
      </c>
      <c r="I10" s="262"/>
      <c r="J10" s="245"/>
      <c r="K10" s="197"/>
      <c r="L10" s="245"/>
      <c r="M10" s="245"/>
      <c r="N10" s="245"/>
      <c r="O10" s="216"/>
      <c r="P10" s="247"/>
      <c r="Q10" s="241"/>
      <c r="R10" s="683" t="s">
        <v>66</v>
      </c>
      <c r="S10" s="279"/>
      <c r="T10" s="197"/>
      <c r="U10" s="197"/>
      <c r="V10" s="197"/>
      <c r="W10" s="197"/>
      <c r="X10" s="197"/>
      <c r="Y10" s="197"/>
      <c r="Z10" s="246"/>
      <c r="AA10" s="246"/>
      <c r="AB10" s="245"/>
      <c r="AC10" s="223"/>
      <c r="AD10" s="245"/>
      <c r="AE10" s="246"/>
      <c r="AF10" s="246"/>
      <c r="AG10" s="241"/>
      <c r="AH10" s="253"/>
      <c r="AI10" s="254"/>
      <c r="AJ10" s="241"/>
      <c r="AK10" s="241" t="s">
        <v>74</v>
      </c>
      <c r="AL10" s="122" t="s">
        <v>63</v>
      </c>
      <c r="AM10" s="122" t="s">
        <v>63</v>
      </c>
      <c r="AN10" s="110"/>
      <c r="AO10" s="124">
        <v>0</v>
      </c>
      <c r="AP10" s="115"/>
      <c r="AQ10" s="115"/>
      <c r="AR10" s="115"/>
      <c r="AS10" s="115"/>
      <c r="AT10" s="115"/>
    </row>
    <row r="11" spans="1:46" ht="39" customHeight="1" x14ac:dyDescent="0.25">
      <c r="A11" s="1468">
        <v>10</v>
      </c>
      <c r="B11" s="125"/>
      <c r="C11" s="270"/>
      <c r="D11" s="270"/>
      <c r="E11" s="270"/>
      <c r="F11" s="270"/>
      <c r="G11" s="271"/>
      <c r="H11" s="271"/>
      <c r="I11" s="270"/>
      <c r="J11" s="270"/>
      <c r="K11" s="270"/>
      <c r="L11" s="271"/>
      <c r="M11" s="707"/>
      <c r="N11" s="272"/>
      <c r="O11" s="699"/>
      <c r="P11" s="273" t="s">
        <v>79</v>
      </c>
      <c r="Q11" s="272"/>
      <c r="R11" s="455"/>
      <c r="S11" s="279"/>
      <c r="T11" s="272"/>
      <c r="U11" s="272"/>
      <c r="V11" s="272"/>
      <c r="W11" s="271"/>
      <c r="X11" s="271"/>
      <c r="Y11" s="270"/>
      <c r="Z11" s="270"/>
      <c r="AA11" s="270"/>
      <c r="AB11" s="271"/>
      <c r="AC11" s="270"/>
      <c r="AD11" s="270"/>
      <c r="AE11" s="270"/>
      <c r="AF11" s="270"/>
      <c r="AG11" s="270"/>
      <c r="AH11" s="270"/>
      <c r="AI11" s="271"/>
      <c r="AJ11" s="271"/>
      <c r="AK11" s="271"/>
      <c r="AL11" s="198"/>
      <c r="AM11" s="198"/>
      <c r="AN11" s="198"/>
      <c r="AO11" s="126"/>
      <c r="AP11" s="115"/>
      <c r="AQ11" s="115"/>
      <c r="AR11" s="115"/>
      <c r="AS11" s="115"/>
      <c r="AT11" s="115"/>
    </row>
    <row r="12" spans="1:46" ht="39" customHeight="1" x14ac:dyDescent="0.25">
      <c r="A12" s="1468">
        <v>11</v>
      </c>
      <c r="B12" s="119">
        <v>16</v>
      </c>
      <c r="C12" s="240" t="s">
        <v>80</v>
      </c>
      <c r="D12" s="241"/>
      <c r="E12" s="241"/>
      <c r="F12" s="241"/>
      <c r="G12" s="243" t="s">
        <v>81</v>
      </c>
      <c r="H12" s="244" t="s">
        <v>78</v>
      </c>
      <c r="I12" s="262"/>
      <c r="J12" s="245">
        <v>300</v>
      </c>
      <c r="K12" s="197" t="s">
        <v>50</v>
      </c>
      <c r="L12" s="245" t="s">
        <v>3961</v>
      </c>
      <c r="M12" s="245" t="s">
        <v>3961</v>
      </c>
      <c r="N12" s="245"/>
      <c r="O12" s="392" t="s">
        <v>3163</v>
      </c>
      <c r="P12" s="247"/>
      <c r="Q12" s="248" t="s">
        <v>83</v>
      </c>
      <c r="R12" s="259" t="s">
        <v>2008</v>
      </c>
      <c r="S12" s="279">
        <v>35764</v>
      </c>
      <c r="T12" s="197"/>
      <c r="U12" s="197"/>
      <c r="V12" s="197"/>
      <c r="W12" s="197" t="s">
        <v>2779</v>
      </c>
      <c r="X12" s="197"/>
      <c r="Y12" s="949"/>
      <c r="Z12" s="246"/>
      <c r="AA12" s="246"/>
      <c r="AB12" s="245"/>
      <c r="AC12" s="223"/>
      <c r="AD12" s="245"/>
      <c r="AE12" s="246"/>
      <c r="AF12" s="246"/>
      <c r="AG12" s="241"/>
      <c r="AH12" s="253"/>
      <c r="AI12" s="254"/>
      <c r="AJ12" s="255" t="s">
        <v>62</v>
      </c>
      <c r="AK12" s="242">
        <v>1</v>
      </c>
      <c r="AL12" s="123" t="s">
        <v>63</v>
      </c>
      <c r="AM12" s="123" t="s">
        <v>63</v>
      </c>
      <c r="AN12" s="110"/>
      <c r="AO12" s="124"/>
      <c r="AP12" s="115"/>
      <c r="AQ12" s="115"/>
      <c r="AR12" s="115"/>
      <c r="AS12" s="115"/>
      <c r="AT12" s="115"/>
    </row>
    <row r="13" spans="1:46" ht="39" customHeight="1" x14ac:dyDescent="0.25">
      <c r="A13" s="1468">
        <v>12</v>
      </c>
      <c r="B13" s="119">
        <v>12</v>
      </c>
      <c r="C13" s="240" t="s">
        <v>82</v>
      </c>
      <c r="D13" s="241"/>
      <c r="E13" s="241"/>
      <c r="F13" s="241"/>
      <c r="G13" s="243" t="s">
        <v>81</v>
      </c>
      <c r="H13" s="244" t="s">
        <v>83</v>
      </c>
      <c r="I13" s="262"/>
      <c r="J13" s="245">
        <v>302</v>
      </c>
      <c r="K13" s="216" t="s">
        <v>158</v>
      </c>
      <c r="L13" s="281" t="s">
        <v>1163</v>
      </c>
      <c r="M13" s="281" t="s">
        <v>1163</v>
      </c>
      <c r="N13" s="245"/>
      <c r="O13" s="216" t="s">
        <v>1164</v>
      </c>
      <c r="P13" s="573"/>
      <c r="Q13" s="338" t="s">
        <v>119</v>
      </c>
      <c r="R13" s="259" t="s">
        <v>2008</v>
      </c>
      <c r="S13" s="279">
        <v>32762</v>
      </c>
      <c r="T13" s="197"/>
      <c r="U13" s="268"/>
      <c r="V13" s="250"/>
      <c r="W13" s="197" t="s">
        <v>2779</v>
      </c>
      <c r="X13" s="197"/>
      <c r="Y13" s="981"/>
      <c r="Z13" s="252"/>
      <c r="AA13" s="252"/>
      <c r="AB13" s="574"/>
      <c r="AC13" s="223" t="s">
        <v>946</v>
      </c>
      <c r="AD13" s="376"/>
      <c r="AE13" s="575"/>
      <c r="AF13" s="252">
        <v>44836</v>
      </c>
      <c r="AG13" s="241" t="s">
        <v>61</v>
      </c>
      <c r="AH13" s="283"/>
      <c r="AI13" s="386"/>
      <c r="AJ13" s="255" t="s">
        <v>62</v>
      </c>
      <c r="AK13" s="242">
        <v>1</v>
      </c>
      <c r="AL13" s="123" t="s">
        <v>63</v>
      </c>
      <c r="AM13" s="123" t="s">
        <v>63</v>
      </c>
      <c r="AN13" s="110"/>
      <c r="AO13" s="124"/>
      <c r="AP13" s="115"/>
      <c r="AQ13" s="115"/>
      <c r="AR13" s="115"/>
      <c r="AS13" s="115"/>
      <c r="AT13" s="115"/>
    </row>
    <row r="14" spans="1:46" ht="39" customHeight="1" x14ac:dyDescent="0.25">
      <c r="A14" s="1468">
        <v>13</v>
      </c>
      <c r="B14" s="117">
        <v>5</v>
      </c>
      <c r="C14" s="260" t="s">
        <v>82</v>
      </c>
      <c r="D14" s="241"/>
      <c r="E14" s="241"/>
      <c r="F14" s="241"/>
      <c r="G14" s="261" t="s">
        <v>84</v>
      </c>
      <c r="H14" s="262" t="s">
        <v>85</v>
      </c>
      <c r="I14" s="262"/>
      <c r="J14" s="245" t="s">
        <v>556</v>
      </c>
      <c r="K14" s="216"/>
      <c r="L14" s="289"/>
      <c r="M14" s="289" t="s">
        <v>6168</v>
      </c>
      <c r="N14" s="374"/>
      <c r="O14" s="392" t="s">
        <v>3164</v>
      </c>
      <c r="P14" s="374"/>
      <c r="Q14" s="344" t="s">
        <v>567</v>
      </c>
      <c r="R14" s="982" t="s">
        <v>1396</v>
      </c>
      <c r="S14" s="279">
        <v>37255</v>
      </c>
      <c r="T14" s="257"/>
      <c r="U14" s="268"/>
      <c r="V14" s="250"/>
      <c r="W14" s="306" t="s">
        <v>2779</v>
      </c>
      <c r="X14" s="197"/>
      <c r="Y14" s="250"/>
      <c r="Z14" s="306"/>
      <c r="AA14" s="374"/>
      <c r="AB14" s="257"/>
      <c r="AC14" s="223"/>
      <c r="AD14" s="257"/>
      <c r="AE14" s="289"/>
      <c r="AF14" s="289"/>
      <c r="AG14" s="385"/>
      <c r="AH14" s="389"/>
      <c r="AI14" s="254"/>
      <c r="AJ14" s="348" t="s">
        <v>560</v>
      </c>
      <c r="AK14" s="241">
        <v>4</v>
      </c>
      <c r="AL14" s="122" t="s">
        <v>63</v>
      </c>
      <c r="AM14" s="122" t="s">
        <v>63</v>
      </c>
      <c r="AN14" s="110"/>
      <c r="AO14" s="124"/>
      <c r="AP14" s="115"/>
      <c r="AQ14" s="115"/>
      <c r="AR14" s="115"/>
      <c r="AS14" s="115"/>
      <c r="AT14" s="115"/>
    </row>
    <row r="15" spans="1:46" ht="39" customHeight="1" x14ac:dyDescent="0.25">
      <c r="A15" s="1468">
        <v>14</v>
      </c>
      <c r="B15" s="117">
        <v>2</v>
      </c>
      <c r="C15" s="260" t="s">
        <v>86</v>
      </c>
      <c r="D15" s="241"/>
      <c r="E15" s="241"/>
      <c r="F15" s="241"/>
      <c r="G15" s="261" t="s">
        <v>2071</v>
      </c>
      <c r="H15" s="262" t="s">
        <v>87</v>
      </c>
      <c r="I15" s="262"/>
      <c r="J15" s="245" t="s">
        <v>561</v>
      </c>
      <c r="K15" s="216"/>
      <c r="L15" s="216"/>
      <c r="M15" s="216"/>
      <c r="N15" s="281"/>
      <c r="O15" s="392"/>
      <c r="P15" s="247"/>
      <c r="Q15" s="344"/>
      <c r="R15" s="683" t="s">
        <v>66</v>
      </c>
      <c r="S15" s="279"/>
      <c r="T15" s="250"/>
      <c r="U15" s="268"/>
      <c r="V15" s="252"/>
      <c r="W15" s="197"/>
      <c r="X15" s="197"/>
      <c r="Y15" s="197"/>
      <c r="Z15" s="246"/>
      <c r="AA15" s="250"/>
      <c r="AB15" s="299"/>
      <c r="AC15" s="223"/>
      <c r="AD15" s="299"/>
      <c r="AE15" s="246"/>
      <c r="AF15" s="289"/>
      <c r="AG15" s="299"/>
      <c r="AH15" s="299"/>
      <c r="AI15" s="296"/>
      <c r="AJ15" s="348"/>
      <c r="AK15" s="241">
        <v>4</v>
      </c>
      <c r="AL15" s="122" t="s">
        <v>63</v>
      </c>
      <c r="AM15" s="122" t="s">
        <v>63</v>
      </c>
      <c r="AN15" s="110"/>
      <c r="AO15" s="124"/>
      <c r="AP15" s="115"/>
      <c r="AQ15" s="115"/>
      <c r="AR15" s="115"/>
      <c r="AS15" s="115"/>
      <c r="AT15" s="115"/>
    </row>
    <row r="16" spans="1:46" ht="39" customHeight="1" x14ac:dyDescent="0.25">
      <c r="A16" s="1468">
        <v>15</v>
      </c>
      <c r="B16" s="117"/>
      <c r="C16" s="324"/>
      <c r="D16" s="664"/>
      <c r="E16" s="664"/>
      <c r="F16" s="664"/>
      <c r="G16" s="227"/>
      <c r="H16" s="228"/>
      <c r="I16" s="228"/>
      <c r="J16" s="229"/>
      <c r="K16" s="227"/>
      <c r="L16" s="229"/>
      <c r="M16" s="229"/>
      <c r="N16" s="229"/>
      <c r="O16" s="229"/>
      <c r="P16" s="230" t="s">
        <v>88</v>
      </c>
      <c r="Q16" s="664"/>
      <c r="R16" s="991"/>
      <c r="S16" s="279"/>
      <c r="T16" s="991"/>
      <c r="U16" s="991"/>
      <c r="V16" s="991"/>
      <c r="W16" s="232"/>
      <c r="X16" s="232"/>
      <c r="Y16" s="232"/>
      <c r="Z16" s="233"/>
      <c r="AA16" s="234"/>
      <c r="AB16" s="235"/>
      <c r="AC16" s="236"/>
      <c r="AD16" s="235"/>
      <c r="AE16" s="237"/>
      <c r="AF16" s="233"/>
      <c r="AG16" s="664"/>
      <c r="AH16" s="238"/>
      <c r="AI16" s="239"/>
      <c r="AJ16" s="238"/>
      <c r="AK16" s="664"/>
      <c r="AL16" s="113"/>
      <c r="AM16" s="118"/>
      <c r="AN16" s="113"/>
      <c r="AO16" s="114"/>
      <c r="AP16" s="115"/>
      <c r="AQ16" s="115"/>
      <c r="AR16" s="115"/>
      <c r="AS16" s="115"/>
      <c r="AT16" s="116"/>
    </row>
    <row r="17" spans="1:46" ht="39" customHeight="1" x14ac:dyDescent="0.25">
      <c r="A17" s="1468">
        <v>16</v>
      </c>
      <c r="B17" s="119">
        <v>20</v>
      </c>
      <c r="C17" s="240" t="s">
        <v>89</v>
      </c>
      <c r="D17" s="241"/>
      <c r="E17" s="242" t="s">
        <v>47</v>
      </c>
      <c r="F17" s="241"/>
      <c r="G17" s="243" t="s">
        <v>48</v>
      </c>
      <c r="H17" s="244" t="s">
        <v>65</v>
      </c>
      <c r="I17" s="244"/>
      <c r="J17" s="245">
        <v>202</v>
      </c>
      <c r="K17" s="197" t="s">
        <v>50</v>
      </c>
      <c r="L17" s="256" t="s">
        <v>3962</v>
      </c>
      <c r="M17" s="256" t="s">
        <v>3962</v>
      </c>
      <c r="N17" s="245"/>
      <c r="O17" s="392" t="s">
        <v>3166</v>
      </c>
      <c r="P17" s="247"/>
      <c r="Q17" s="248" t="s">
        <v>65</v>
      </c>
      <c r="R17" s="990" t="s">
        <v>2037</v>
      </c>
      <c r="S17" s="279">
        <v>31374</v>
      </c>
      <c r="T17" s="250"/>
      <c r="U17" s="251" t="s">
        <v>54</v>
      </c>
      <c r="V17" s="197" t="s">
        <v>3298</v>
      </c>
      <c r="W17" s="197" t="s">
        <v>56</v>
      </c>
      <c r="X17" s="197" t="s">
        <v>57</v>
      </c>
      <c r="Y17" s="197" t="s">
        <v>2609</v>
      </c>
      <c r="Z17" s="246">
        <v>45171</v>
      </c>
      <c r="AA17" s="252"/>
      <c r="AB17" s="281"/>
      <c r="AC17" s="281"/>
      <c r="AD17" s="281"/>
      <c r="AE17" s="252"/>
      <c r="AF17" s="252"/>
      <c r="AG17" s="282"/>
      <c r="AH17" s="282"/>
      <c r="AI17" s="283"/>
      <c r="AJ17" s="255" t="s">
        <v>62</v>
      </c>
      <c r="AK17" s="242">
        <v>1</v>
      </c>
      <c r="AL17" s="123" t="s">
        <v>63</v>
      </c>
      <c r="AM17" s="124" t="s">
        <v>63</v>
      </c>
      <c r="AN17" s="124"/>
      <c r="AO17" s="124">
        <v>44957</v>
      </c>
      <c r="AP17" s="115"/>
      <c r="AQ17" s="115"/>
      <c r="AR17" s="115"/>
      <c r="AS17" s="115"/>
      <c r="AT17" s="115"/>
    </row>
    <row r="18" spans="1:46" ht="39" customHeight="1" x14ac:dyDescent="0.25">
      <c r="A18" s="1468">
        <v>17</v>
      </c>
      <c r="B18" s="119" t="s">
        <v>104</v>
      </c>
      <c r="C18" s="240" t="s">
        <v>90</v>
      </c>
      <c r="D18" s="241"/>
      <c r="E18" s="242" t="s">
        <v>47</v>
      </c>
      <c r="F18" s="241"/>
      <c r="G18" s="243" t="s">
        <v>91</v>
      </c>
      <c r="H18" s="244" t="s">
        <v>92</v>
      </c>
      <c r="I18" s="244"/>
      <c r="J18" s="245">
        <v>204</v>
      </c>
      <c r="K18" s="197" t="s">
        <v>50</v>
      </c>
      <c r="L18" s="246"/>
      <c r="M18" s="246" t="s">
        <v>3963</v>
      </c>
      <c r="N18" s="245"/>
      <c r="O18" s="634" t="s">
        <v>3167</v>
      </c>
      <c r="P18" s="247"/>
      <c r="Q18" s="248" t="s">
        <v>92</v>
      </c>
      <c r="R18" s="259" t="s">
        <v>1528</v>
      </c>
      <c r="S18" s="279">
        <v>23626</v>
      </c>
      <c r="T18" s="250"/>
      <c r="U18" s="251" t="s">
        <v>54</v>
      </c>
      <c r="V18" s="250" t="s">
        <v>1810</v>
      </c>
      <c r="W18" s="197" t="s">
        <v>70</v>
      </c>
      <c r="X18" s="197" t="s">
        <v>71</v>
      </c>
      <c r="Y18" s="197" t="s">
        <v>1811</v>
      </c>
      <c r="Z18" s="252">
        <v>45121</v>
      </c>
      <c r="AA18" s="252"/>
      <c r="AB18" s="245"/>
      <c r="AC18" s="223"/>
      <c r="AD18" s="245"/>
      <c r="AE18" s="246"/>
      <c r="AF18" s="246"/>
      <c r="AG18" s="241"/>
      <c r="AH18" s="253"/>
      <c r="AI18" s="254"/>
      <c r="AJ18" s="255" t="s">
        <v>62</v>
      </c>
      <c r="AK18" s="242">
        <v>1</v>
      </c>
      <c r="AL18" s="123" t="s">
        <v>63</v>
      </c>
      <c r="AM18" s="124" t="s">
        <v>63</v>
      </c>
      <c r="AN18" s="124"/>
      <c r="AO18" s="124">
        <v>160110</v>
      </c>
      <c r="AP18" s="115"/>
      <c r="AQ18" s="115"/>
      <c r="AR18" s="115"/>
      <c r="AS18" s="115"/>
      <c r="AT18" s="115"/>
    </row>
    <row r="19" spans="1:46" ht="39" customHeight="1" x14ac:dyDescent="0.25">
      <c r="A19" s="1468">
        <v>18</v>
      </c>
      <c r="B19" s="119" t="s">
        <v>104</v>
      </c>
      <c r="C19" s="240" t="s">
        <v>97</v>
      </c>
      <c r="D19" s="241"/>
      <c r="E19" s="242" t="s">
        <v>47</v>
      </c>
      <c r="F19" s="241"/>
      <c r="G19" s="243" t="s">
        <v>91</v>
      </c>
      <c r="H19" s="244" t="s">
        <v>92</v>
      </c>
      <c r="I19" s="244"/>
      <c r="J19" s="245">
        <v>204</v>
      </c>
      <c r="K19" s="197" t="s">
        <v>50</v>
      </c>
      <c r="L19" s="256" t="s">
        <v>98</v>
      </c>
      <c r="M19" s="246" t="s">
        <v>98</v>
      </c>
      <c r="N19" s="245"/>
      <c r="O19" s="216" t="s">
        <v>99</v>
      </c>
      <c r="P19" s="247"/>
      <c r="Q19" s="248" t="s">
        <v>65</v>
      </c>
      <c r="R19" s="259" t="s">
        <v>100</v>
      </c>
      <c r="S19" s="279">
        <v>29138</v>
      </c>
      <c r="T19" s="250"/>
      <c r="U19" s="251" t="s">
        <v>54</v>
      </c>
      <c r="V19" s="197" t="s">
        <v>5909</v>
      </c>
      <c r="W19" s="197" t="s">
        <v>6191</v>
      </c>
      <c r="X19" s="197" t="s">
        <v>475</v>
      </c>
      <c r="Y19" s="981" t="s">
        <v>6190</v>
      </c>
      <c r="Z19" s="252">
        <v>45306</v>
      </c>
      <c r="AA19" s="252">
        <v>45335</v>
      </c>
      <c r="AB19" s="241"/>
      <c r="AC19" s="223" t="s">
        <v>358</v>
      </c>
      <c r="AD19" s="241"/>
      <c r="AE19" s="269"/>
      <c r="AF19" s="258"/>
      <c r="AG19" s="241" t="s">
        <v>61</v>
      </c>
      <c r="AH19" s="253"/>
      <c r="AI19" s="284"/>
      <c r="AJ19" s="255" t="s">
        <v>62</v>
      </c>
      <c r="AK19" s="242">
        <v>1</v>
      </c>
      <c r="AL19" s="123" t="s">
        <v>63</v>
      </c>
      <c r="AM19" s="124" t="s">
        <v>63</v>
      </c>
      <c r="AN19" s="124"/>
      <c r="AO19" s="124">
        <v>44995</v>
      </c>
      <c r="AP19" s="115"/>
      <c r="AQ19" s="115"/>
      <c r="AR19" s="115"/>
      <c r="AS19" s="115"/>
      <c r="AT19" s="115"/>
    </row>
    <row r="20" spans="1:46" ht="39" customHeight="1" x14ac:dyDescent="0.25">
      <c r="A20" s="1468">
        <v>19</v>
      </c>
      <c r="B20" s="119" t="s">
        <v>104</v>
      </c>
      <c r="C20" s="240" t="s">
        <v>102</v>
      </c>
      <c r="D20" s="241"/>
      <c r="E20" s="242" t="s">
        <v>47</v>
      </c>
      <c r="F20" s="241"/>
      <c r="G20" s="243" t="s">
        <v>103</v>
      </c>
      <c r="H20" s="244" t="s">
        <v>92</v>
      </c>
      <c r="I20" s="244"/>
      <c r="J20" s="245">
        <v>204</v>
      </c>
      <c r="K20" s="197" t="s">
        <v>50</v>
      </c>
      <c r="L20" s="246" t="s">
        <v>93</v>
      </c>
      <c r="M20" s="246" t="s">
        <v>93</v>
      </c>
      <c r="N20" s="245"/>
      <c r="O20" s="216" t="s">
        <v>3301</v>
      </c>
      <c r="P20" s="247"/>
      <c r="Q20" s="248" t="s">
        <v>92</v>
      </c>
      <c r="R20" s="259" t="s">
        <v>94</v>
      </c>
      <c r="S20" s="279">
        <v>31074</v>
      </c>
      <c r="T20" s="250"/>
      <c r="U20" s="251" t="s">
        <v>54</v>
      </c>
      <c r="V20" s="250" t="s">
        <v>5171</v>
      </c>
      <c r="W20" s="250" t="s">
        <v>5391</v>
      </c>
      <c r="X20" s="197" t="s">
        <v>1212</v>
      </c>
      <c r="Y20" s="250" t="s">
        <v>5392</v>
      </c>
      <c r="Z20" s="252">
        <v>45263</v>
      </c>
      <c r="AA20" s="252"/>
      <c r="AB20" s="245" t="s">
        <v>59</v>
      </c>
      <c r="AC20" s="223" t="s">
        <v>358</v>
      </c>
      <c r="AD20" s="245" t="s">
        <v>96</v>
      </c>
      <c r="AE20" s="246">
        <v>37469</v>
      </c>
      <c r="AF20" s="246">
        <v>46559</v>
      </c>
      <c r="AG20" s="241" t="s">
        <v>61</v>
      </c>
      <c r="AH20" s="253"/>
      <c r="AI20" s="254"/>
      <c r="AJ20" s="255" t="s">
        <v>62</v>
      </c>
      <c r="AK20" s="242">
        <v>1</v>
      </c>
      <c r="AL20" s="123" t="s">
        <v>63</v>
      </c>
      <c r="AM20" s="124" t="s">
        <v>63</v>
      </c>
      <c r="AN20" s="124"/>
      <c r="AO20" s="124">
        <v>5</v>
      </c>
      <c r="AP20" s="115"/>
      <c r="AQ20" s="115"/>
      <c r="AR20" s="115"/>
      <c r="AS20" s="115"/>
      <c r="AT20" s="115"/>
    </row>
    <row r="21" spans="1:46" ht="39" customHeight="1" x14ac:dyDescent="0.3">
      <c r="A21" s="1468">
        <v>20</v>
      </c>
      <c r="B21" s="119" t="s">
        <v>104</v>
      </c>
      <c r="C21" s="240" t="s">
        <v>105</v>
      </c>
      <c r="D21" s="241"/>
      <c r="E21" s="242" t="s">
        <v>47</v>
      </c>
      <c r="F21" s="241"/>
      <c r="G21" s="243" t="s">
        <v>106</v>
      </c>
      <c r="H21" s="244" t="s">
        <v>92</v>
      </c>
      <c r="I21" s="244"/>
      <c r="J21" s="245">
        <v>204</v>
      </c>
      <c r="K21" s="261" t="s">
        <v>50</v>
      </c>
      <c r="L21" s="269" t="s">
        <v>107</v>
      </c>
      <c r="M21" s="269" t="s">
        <v>107</v>
      </c>
      <c r="N21" s="245"/>
      <c r="O21" s="216" t="s">
        <v>108</v>
      </c>
      <c r="P21" s="247"/>
      <c r="Q21" s="248" t="s">
        <v>92</v>
      </c>
      <c r="R21" s="259" t="s">
        <v>109</v>
      </c>
      <c r="S21" s="279">
        <v>30132</v>
      </c>
      <c r="T21" s="250"/>
      <c r="U21" s="251" t="s">
        <v>54</v>
      </c>
      <c r="V21" s="250" t="s">
        <v>3525</v>
      </c>
      <c r="W21" s="197" t="s">
        <v>56</v>
      </c>
      <c r="X21" s="197" t="s">
        <v>57</v>
      </c>
      <c r="Y21" s="1126" t="s">
        <v>3524</v>
      </c>
      <c r="Z21" s="246">
        <v>45213</v>
      </c>
      <c r="AA21" s="246"/>
      <c r="AB21" s="245" t="s">
        <v>110</v>
      </c>
      <c r="AC21" s="223" t="s">
        <v>358</v>
      </c>
      <c r="AD21" s="245" t="s">
        <v>111</v>
      </c>
      <c r="AE21" s="269">
        <v>38078</v>
      </c>
      <c r="AF21" s="246">
        <v>44905</v>
      </c>
      <c r="AG21" s="241" t="s">
        <v>61</v>
      </c>
      <c r="AH21" s="253"/>
      <c r="AI21" s="254"/>
      <c r="AJ21" s="255" t="s">
        <v>62</v>
      </c>
      <c r="AK21" s="242">
        <v>1</v>
      </c>
      <c r="AL21" s="123" t="s">
        <v>63</v>
      </c>
      <c r="AM21" s="124" t="s">
        <v>63</v>
      </c>
      <c r="AN21" s="124"/>
      <c r="AO21" s="124">
        <v>113116</v>
      </c>
      <c r="AP21" s="115"/>
      <c r="AQ21" s="115"/>
      <c r="AR21" s="115"/>
      <c r="AS21" s="115"/>
      <c r="AT21" s="115"/>
    </row>
    <row r="22" spans="1:46" ht="39" customHeight="1" x14ac:dyDescent="0.25">
      <c r="A22" s="1468">
        <v>21</v>
      </c>
      <c r="B22" s="119" t="s">
        <v>112</v>
      </c>
      <c r="C22" s="240" t="s">
        <v>113</v>
      </c>
      <c r="D22" s="241"/>
      <c r="E22" s="242" t="s">
        <v>47</v>
      </c>
      <c r="F22" s="241"/>
      <c r="G22" s="243" t="s">
        <v>114</v>
      </c>
      <c r="H22" s="244" t="s">
        <v>78</v>
      </c>
      <c r="I22" s="285"/>
      <c r="J22" s="245">
        <v>300</v>
      </c>
      <c r="K22" s="197" t="s">
        <v>50</v>
      </c>
      <c r="L22" s="269" t="s">
        <v>1854</v>
      </c>
      <c r="M22" s="269" t="s">
        <v>1854</v>
      </c>
      <c r="N22" s="245"/>
      <c r="O22" s="216" t="s">
        <v>1853</v>
      </c>
      <c r="P22" s="247"/>
      <c r="Q22" s="248" t="s">
        <v>78</v>
      </c>
      <c r="R22" s="259" t="s">
        <v>1852</v>
      </c>
      <c r="S22" s="279">
        <v>31213</v>
      </c>
      <c r="T22" s="250"/>
      <c r="U22" s="251" t="s">
        <v>54</v>
      </c>
      <c r="V22" s="250" t="s">
        <v>5806</v>
      </c>
      <c r="W22" s="197" t="s">
        <v>70</v>
      </c>
      <c r="X22" s="197" t="s">
        <v>71</v>
      </c>
      <c r="Y22" s="250" t="s">
        <v>5812</v>
      </c>
      <c r="Z22" s="252">
        <v>45290</v>
      </c>
      <c r="AA22" s="252"/>
      <c r="AB22" s="245"/>
      <c r="AC22" s="223"/>
      <c r="AD22" s="245"/>
      <c r="AE22" s="269"/>
      <c r="AF22" s="246"/>
      <c r="AG22" s="241"/>
      <c r="AH22" s="253"/>
      <c r="AI22" s="254"/>
      <c r="AJ22" s="255" t="s">
        <v>62</v>
      </c>
      <c r="AK22" s="242">
        <v>1</v>
      </c>
      <c r="AL22" s="123" t="s">
        <v>63</v>
      </c>
      <c r="AM22" s="124" t="s">
        <v>63</v>
      </c>
      <c r="AN22" s="124"/>
      <c r="AO22" s="124">
        <v>161147</v>
      </c>
      <c r="AP22" s="115"/>
      <c r="AQ22" s="115"/>
      <c r="AR22" s="115"/>
      <c r="AS22" s="115"/>
      <c r="AT22" s="115"/>
    </row>
    <row r="23" spans="1:46" ht="39" customHeight="1" x14ac:dyDescent="0.25">
      <c r="A23" s="1468">
        <v>22</v>
      </c>
      <c r="B23" s="119" t="s">
        <v>112</v>
      </c>
      <c r="C23" s="240" t="s">
        <v>117</v>
      </c>
      <c r="D23" s="241"/>
      <c r="E23" s="242" t="s">
        <v>47</v>
      </c>
      <c r="F23" s="241"/>
      <c r="G23" s="243" t="s">
        <v>118</v>
      </c>
      <c r="H23" s="244" t="s">
        <v>78</v>
      </c>
      <c r="I23" s="244"/>
      <c r="J23" s="245">
        <v>300</v>
      </c>
      <c r="K23" s="197" t="s">
        <v>50</v>
      </c>
      <c r="L23" s="286"/>
      <c r="M23" s="269"/>
      <c r="N23" s="245"/>
      <c r="O23" s="634" t="s">
        <v>3168</v>
      </c>
      <c r="P23" s="287"/>
      <c r="Q23" s="248" t="s">
        <v>119</v>
      </c>
      <c r="R23" s="259" t="s">
        <v>937</v>
      </c>
      <c r="S23" s="279">
        <v>36244</v>
      </c>
      <c r="T23" s="250"/>
      <c r="U23" s="251" t="s">
        <v>54</v>
      </c>
      <c r="V23" s="250" t="s">
        <v>1508</v>
      </c>
      <c r="W23" s="197" t="s">
        <v>56</v>
      </c>
      <c r="X23" s="197" t="s">
        <v>57</v>
      </c>
      <c r="Y23" s="250" t="s">
        <v>1471</v>
      </c>
      <c r="Z23" s="252">
        <v>45117</v>
      </c>
      <c r="AA23" s="250"/>
      <c r="AB23" s="241"/>
      <c r="AC23" s="223"/>
      <c r="AD23" s="241"/>
      <c r="AE23" s="269"/>
      <c r="AF23" s="258"/>
      <c r="AG23" s="241"/>
      <c r="AH23" s="253"/>
      <c r="AI23" s="254"/>
      <c r="AJ23" s="255" t="s">
        <v>62</v>
      </c>
      <c r="AK23" s="242">
        <v>1</v>
      </c>
      <c r="AL23" s="123" t="s">
        <v>63</v>
      </c>
      <c r="AM23" s="123" t="s">
        <v>63</v>
      </c>
      <c r="AN23" s="124"/>
      <c r="AO23" s="124">
        <v>1</v>
      </c>
      <c r="AP23" s="115"/>
      <c r="AQ23" s="115"/>
      <c r="AR23" s="115"/>
      <c r="AS23" s="115"/>
      <c r="AT23" s="115"/>
    </row>
    <row r="24" spans="1:46" ht="39" customHeight="1" x14ac:dyDescent="0.25">
      <c r="A24" s="1468">
        <v>23</v>
      </c>
      <c r="B24" s="119" t="s">
        <v>120</v>
      </c>
      <c r="C24" s="240" t="s">
        <v>121</v>
      </c>
      <c r="D24" s="241"/>
      <c r="E24" s="242" t="s">
        <v>47</v>
      </c>
      <c r="F24" s="241"/>
      <c r="G24" s="243" t="s">
        <v>122</v>
      </c>
      <c r="H24" s="244" t="s">
        <v>83</v>
      </c>
      <c r="I24" s="244"/>
      <c r="J24" s="245">
        <v>302</v>
      </c>
      <c r="K24" s="288" t="s">
        <v>50</v>
      </c>
      <c r="L24" s="256" t="s">
        <v>123</v>
      </c>
      <c r="M24" s="281" t="s">
        <v>124</v>
      </c>
      <c r="N24" s="245"/>
      <c r="O24" s="216" t="s">
        <v>125</v>
      </c>
      <c r="P24" s="287"/>
      <c r="Q24" s="248" t="s">
        <v>83</v>
      </c>
      <c r="R24" s="259" t="s">
        <v>126</v>
      </c>
      <c r="S24" s="279">
        <v>33062</v>
      </c>
      <c r="T24" s="250"/>
      <c r="U24" s="250"/>
      <c r="V24" s="250"/>
      <c r="W24" s="197"/>
      <c r="X24" s="197"/>
      <c r="Y24" s="197"/>
      <c r="Z24" s="252"/>
      <c r="AA24" s="246"/>
      <c r="AB24" s="241" t="s">
        <v>127</v>
      </c>
      <c r="AC24" s="223" t="s">
        <v>358</v>
      </c>
      <c r="AD24" s="241" t="s">
        <v>128</v>
      </c>
      <c r="AE24" s="258">
        <v>41095</v>
      </c>
      <c r="AF24" s="258">
        <v>45443</v>
      </c>
      <c r="AG24" s="241" t="s">
        <v>61</v>
      </c>
      <c r="AH24" s="253"/>
      <c r="AI24" s="254"/>
      <c r="AJ24" s="255" t="s">
        <v>62</v>
      </c>
      <c r="AK24" s="242">
        <v>1</v>
      </c>
      <c r="AL24" s="123" t="s">
        <v>63</v>
      </c>
      <c r="AM24" s="123" t="s">
        <v>63</v>
      </c>
      <c r="AN24" s="124"/>
      <c r="AO24" s="124">
        <v>119601</v>
      </c>
      <c r="AP24" s="115"/>
      <c r="AQ24" s="115"/>
      <c r="AR24" s="115"/>
      <c r="AS24" s="115"/>
      <c r="AT24" s="115"/>
    </row>
    <row r="25" spans="1:46" ht="39" customHeight="1" x14ac:dyDescent="0.25">
      <c r="A25" s="1468">
        <v>24</v>
      </c>
      <c r="B25" s="128" t="s">
        <v>129</v>
      </c>
      <c r="C25" s="290" t="s">
        <v>130</v>
      </c>
      <c r="D25" s="291"/>
      <c r="E25" s="291" t="s">
        <v>47</v>
      </c>
      <c r="F25" s="291"/>
      <c r="G25" s="292" t="s">
        <v>131</v>
      </c>
      <c r="H25" s="293" t="s">
        <v>132</v>
      </c>
      <c r="I25" s="293"/>
      <c r="J25" s="256">
        <v>403</v>
      </c>
      <c r="K25" s="261"/>
      <c r="L25" s="256"/>
      <c r="M25" s="256"/>
      <c r="N25" s="256"/>
      <c r="O25" s="216"/>
      <c r="P25" s="294"/>
      <c r="Q25" s="295"/>
      <c r="R25" s="683" t="s">
        <v>66</v>
      </c>
      <c r="S25" s="279"/>
      <c r="T25" s="250"/>
      <c r="U25" s="268"/>
      <c r="V25" s="197"/>
      <c r="W25" s="197"/>
      <c r="X25" s="197"/>
      <c r="Y25" s="197"/>
      <c r="Z25" s="246"/>
      <c r="AA25" s="246"/>
      <c r="AB25" s="245"/>
      <c r="AC25" s="223"/>
      <c r="AD25" s="296"/>
      <c r="AE25" s="246"/>
      <c r="AF25" s="246"/>
      <c r="AG25" s="241"/>
      <c r="AH25" s="253"/>
      <c r="AI25" s="297"/>
      <c r="AJ25" s="298"/>
      <c r="AK25" s="291">
        <v>3</v>
      </c>
      <c r="AL25" s="130" t="s">
        <v>63</v>
      </c>
      <c r="AM25" s="130" t="s">
        <v>63</v>
      </c>
      <c r="AN25" s="130"/>
      <c r="AO25" s="130">
        <v>3</v>
      </c>
      <c r="AP25" s="115"/>
      <c r="AQ25" s="115"/>
      <c r="AR25" s="115"/>
      <c r="AS25" s="115"/>
      <c r="AT25" s="115"/>
    </row>
    <row r="26" spans="1:46" ht="39" customHeight="1" x14ac:dyDescent="0.25">
      <c r="A26" s="1468">
        <v>25</v>
      </c>
      <c r="B26" s="117">
        <v>3</v>
      </c>
      <c r="C26" s="260" t="s">
        <v>133</v>
      </c>
      <c r="D26" s="241" t="s">
        <v>134</v>
      </c>
      <c r="E26" s="241"/>
      <c r="F26" s="241"/>
      <c r="G26" s="261" t="s">
        <v>135</v>
      </c>
      <c r="H26" s="262" t="s">
        <v>85</v>
      </c>
      <c r="I26" s="262"/>
      <c r="J26" s="245" t="s">
        <v>556</v>
      </c>
      <c r="K26" s="288" t="s">
        <v>50</v>
      </c>
      <c r="L26" s="299" t="s">
        <v>4003</v>
      </c>
      <c r="M26" s="299" t="s">
        <v>4003</v>
      </c>
      <c r="N26" s="281" t="s">
        <v>4217</v>
      </c>
      <c r="O26" s="1356" t="s">
        <v>4002</v>
      </c>
      <c r="P26" s="300"/>
      <c r="Q26" s="380" t="s">
        <v>85</v>
      </c>
      <c r="R26" s="302" t="s">
        <v>4001</v>
      </c>
      <c r="S26" s="279">
        <v>35761</v>
      </c>
      <c r="T26" s="289"/>
      <c r="U26" s="268"/>
      <c r="V26" s="299"/>
      <c r="W26" s="299" t="s">
        <v>137</v>
      </c>
      <c r="X26" s="299"/>
      <c r="Y26" s="299"/>
      <c r="Z26" s="299"/>
      <c r="AA26" s="289"/>
      <c r="AB26" s="288" t="s">
        <v>4322</v>
      </c>
      <c r="AC26" s="223" t="s">
        <v>4220</v>
      </c>
      <c r="AD26" s="299" t="s">
        <v>467</v>
      </c>
      <c r="AE26" s="252">
        <v>45118</v>
      </c>
      <c r="AF26" s="252">
        <v>45483</v>
      </c>
      <c r="AG26" s="299"/>
      <c r="AH26" s="299"/>
      <c r="AI26" s="254" t="s">
        <v>1351</v>
      </c>
      <c r="AJ26" s="303" t="s">
        <v>136</v>
      </c>
      <c r="AK26" s="241">
        <v>4</v>
      </c>
      <c r="AL26" s="122" t="s">
        <v>63</v>
      </c>
      <c r="AM26" s="122" t="s">
        <v>63</v>
      </c>
      <c r="AN26" s="2"/>
      <c r="AO26" s="2"/>
      <c r="AP26" s="115"/>
      <c r="AQ26" s="115"/>
      <c r="AR26" s="115"/>
      <c r="AS26" s="115"/>
      <c r="AT26" s="115"/>
    </row>
    <row r="27" spans="1:46" ht="39" customHeight="1" x14ac:dyDescent="0.25">
      <c r="A27" s="1468">
        <v>26</v>
      </c>
      <c r="B27" s="117">
        <v>2</v>
      </c>
      <c r="C27" s="260" t="s">
        <v>137</v>
      </c>
      <c r="D27" s="241" t="s">
        <v>134</v>
      </c>
      <c r="E27" s="241"/>
      <c r="F27" s="241"/>
      <c r="G27" s="261" t="s">
        <v>138</v>
      </c>
      <c r="H27" s="262" t="s">
        <v>87</v>
      </c>
      <c r="I27" s="262"/>
      <c r="J27" s="245" t="s">
        <v>561</v>
      </c>
      <c r="K27" s="288" t="s">
        <v>50</v>
      </c>
      <c r="L27" s="299" t="s">
        <v>4003</v>
      </c>
      <c r="M27" s="299" t="s">
        <v>4003</v>
      </c>
      <c r="N27" s="281" t="s">
        <v>4217</v>
      </c>
      <c r="O27" s="392" t="s">
        <v>4000</v>
      </c>
      <c r="P27" s="304"/>
      <c r="Q27" s="380" t="s">
        <v>85</v>
      </c>
      <c r="R27" s="302" t="s">
        <v>3999</v>
      </c>
      <c r="S27" s="279">
        <v>36316</v>
      </c>
      <c r="T27" s="289"/>
      <c r="U27" s="197"/>
      <c r="V27" s="299"/>
      <c r="W27" s="299"/>
      <c r="X27" s="299"/>
      <c r="Y27" s="1461"/>
      <c r="Z27" s="289"/>
      <c r="AA27" s="289"/>
      <c r="AB27" s="288" t="s">
        <v>4321</v>
      </c>
      <c r="AC27" s="223" t="s">
        <v>946</v>
      </c>
      <c r="AD27" s="299" t="s">
        <v>467</v>
      </c>
      <c r="AE27" s="252">
        <v>45114</v>
      </c>
      <c r="AF27" s="252">
        <v>45479</v>
      </c>
      <c r="AG27" s="299"/>
      <c r="AH27" s="299"/>
      <c r="AI27" s="254" t="s">
        <v>1351</v>
      </c>
      <c r="AJ27" s="303" t="s">
        <v>136</v>
      </c>
      <c r="AK27" s="241">
        <v>4</v>
      </c>
      <c r="AL27" s="122" t="s">
        <v>63</v>
      </c>
      <c r="AM27" s="122" t="s">
        <v>63</v>
      </c>
      <c r="AN27" s="2"/>
      <c r="AO27" s="2"/>
      <c r="AP27" s="115"/>
      <c r="AQ27" s="115"/>
      <c r="AR27" s="115"/>
      <c r="AS27" s="115"/>
      <c r="AT27" s="115"/>
    </row>
    <row r="28" spans="1:46" ht="39" customHeight="1" x14ac:dyDescent="0.25">
      <c r="A28" s="1468">
        <v>27</v>
      </c>
      <c r="B28" s="117">
        <v>2</v>
      </c>
      <c r="C28" s="260" t="s">
        <v>139</v>
      </c>
      <c r="D28" s="241"/>
      <c r="E28" s="241"/>
      <c r="F28" s="241"/>
      <c r="G28" s="261" t="s">
        <v>140</v>
      </c>
      <c r="H28" s="262" t="s">
        <v>87</v>
      </c>
      <c r="I28" s="262"/>
      <c r="J28" s="245" t="s">
        <v>561</v>
      </c>
      <c r="K28" s="288"/>
      <c r="L28" s="299"/>
      <c r="M28" s="299"/>
      <c r="N28" s="281"/>
      <c r="O28" s="392"/>
      <c r="P28" s="300"/>
      <c r="Q28" s="380"/>
      <c r="R28" s="302" t="s">
        <v>66</v>
      </c>
      <c r="S28" s="279"/>
      <c r="T28" s="289"/>
      <c r="U28" s="250"/>
      <c r="V28" s="299"/>
      <c r="W28" s="299"/>
      <c r="X28" s="299"/>
      <c r="Y28" s="299"/>
      <c r="Z28" s="299"/>
      <c r="AA28" s="289"/>
      <c r="AB28" s="288"/>
      <c r="AC28" s="223"/>
      <c r="AD28" s="299"/>
      <c r="AE28" s="252"/>
      <c r="AF28" s="252"/>
      <c r="AG28" s="299"/>
      <c r="AH28" s="299"/>
      <c r="AI28" s="254"/>
      <c r="AJ28" s="303"/>
      <c r="AK28" s="241">
        <v>4</v>
      </c>
      <c r="AL28" s="122" t="s">
        <v>63</v>
      </c>
      <c r="AM28" s="122" t="s">
        <v>63</v>
      </c>
      <c r="AN28" s="110"/>
      <c r="AO28" s="110">
        <v>6</v>
      </c>
      <c r="AP28" s="115"/>
      <c r="AQ28" s="115"/>
      <c r="AR28" s="115"/>
      <c r="AS28" s="115"/>
      <c r="AT28" s="115"/>
    </row>
    <row r="29" spans="1:46" ht="39" customHeight="1" x14ac:dyDescent="0.25">
      <c r="A29" s="1468">
        <v>28</v>
      </c>
      <c r="B29" s="117"/>
      <c r="C29" s="260" t="s">
        <v>142</v>
      </c>
      <c r="D29" s="241"/>
      <c r="E29" s="241"/>
      <c r="F29" s="241"/>
      <c r="G29" s="261" t="s">
        <v>143</v>
      </c>
      <c r="H29" s="262" t="s">
        <v>74</v>
      </c>
      <c r="I29" s="262"/>
      <c r="J29" s="256"/>
      <c r="K29" s="216" t="s">
        <v>144</v>
      </c>
      <c r="L29" s="197"/>
      <c r="M29" s="197" t="s">
        <v>145</v>
      </c>
      <c r="N29" s="256"/>
      <c r="O29" s="216"/>
      <c r="P29" s="287"/>
      <c r="Q29" s="663" t="s">
        <v>74</v>
      </c>
      <c r="R29" s="992" t="s">
        <v>5070</v>
      </c>
      <c r="S29" s="279">
        <v>32834</v>
      </c>
      <c r="T29" s="197"/>
      <c r="U29" s="250"/>
      <c r="V29" s="197"/>
      <c r="W29" s="197"/>
      <c r="X29" s="197"/>
      <c r="Y29" s="308"/>
      <c r="Z29" s="246"/>
      <c r="AA29" s="246"/>
      <c r="AB29" s="241"/>
      <c r="AC29" s="223" t="s">
        <v>1345</v>
      </c>
      <c r="AD29" s="241"/>
      <c r="AE29" s="246"/>
      <c r="AF29" s="246"/>
      <c r="AG29" s="241" t="s">
        <v>75</v>
      </c>
      <c r="AH29" s="253"/>
      <c r="AI29" s="254"/>
      <c r="AJ29" s="253" t="s">
        <v>146</v>
      </c>
      <c r="AK29" s="241" t="s">
        <v>74</v>
      </c>
      <c r="AL29" s="122" t="s">
        <v>63</v>
      </c>
      <c r="AM29" s="122" t="s">
        <v>63</v>
      </c>
      <c r="AN29" s="110"/>
      <c r="AO29" s="110"/>
      <c r="AP29" s="115"/>
      <c r="AQ29" s="115"/>
      <c r="AR29" s="115"/>
      <c r="AS29" s="115"/>
      <c r="AT29" s="115"/>
    </row>
    <row r="30" spans="1:46" ht="39" customHeight="1" x14ac:dyDescent="0.25">
      <c r="A30" s="1468">
        <v>29</v>
      </c>
      <c r="B30" s="117"/>
      <c r="C30" s="260" t="s">
        <v>142</v>
      </c>
      <c r="D30" s="241"/>
      <c r="E30" s="241"/>
      <c r="F30" s="241"/>
      <c r="G30" s="261" t="s">
        <v>143</v>
      </c>
      <c r="H30" s="262" t="s">
        <v>74</v>
      </c>
      <c r="I30" s="262"/>
      <c r="J30" s="256"/>
      <c r="K30" s="216"/>
      <c r="L30" s="256"/>
      <c r="M30" s="256" t="s">
        <v>147</v>
      </c>
      <c r="N30" s="256"/>
      <c r="O30" s="216"/>
      <c r="P30" s="287"/>
      <c r="Q30" s="663" t="s">
        <v>74</v>
      </c>
      <c r="R30" s="954" t="s">
        <v>148</v>
      </c>
      <c r="S30" s="279">
        <v>32136</v>
      </c>
      <c r="T30" s="197"/>
      <c r="U30" s="250"/>
      <c r="V30" s="197"/>
      <c r="W30" s="197"/>
      <c r="X30" s="197"/>
      <c r="Y30" s="197"/>
      <c r="Z30" s="246"/>
      <c r="AA30" s="246"/>
      <c r="AB30" s="241"/>
      <c r="AC30" s="223" t="s">
        <v>1345</v>
      </c>
      <c r="AD30" s="241"/>
      <c r="AE30" s="269"/>
      <c r="AF30" s="258"/>
      <c r="AG30" s="241" t="s">
        <v>75</v>
      </c>
      <c r="AH30" s="253"/>
      <c r="AI30" s="254"/>
      <c r="AJ30" s="253" t="s">
        <v>146</v>
      </c>
      <c r="AK30" s="241" t="s">
        <v>74</v>
      </c>
      <c r="AL30" s="122" t="s">
        <v>63</v>
      </c>
      <c r="AM30" s="122" t="s">
        <v>63</v>
      </c>
      <c r="AN30" s="110"/>
      <c r="AO30" s="110"/>
      <c r="AP30" s="115"/>
      <c r="AQ30" s="115"/>
      <c r="AR30" s="115"/>
      <c r="AS30" s="115"/>
      <c r="AT30" s="115"/>
    </row>
    <row r="31" spans="1:46" ht="39" customHeight="1" x14ac:dyDescent="0.25">
      <c r="A31" s="1468">
        <v>30</v>
      </c>
      <c r="B31" s="117"/>
      <c r="C31" s="324"/>
      <c r="D31" s="664"/>
      <c r="E31" s="664"/>
      <c r="F31" s="664"/>
      <c r="G31" s="227"/>
      <c r="H31" s="228"/>
      <c r="I31" s="228"/>
      <c r="J31" s="229"/>
      <c r="K31" s="227"/>
      <c r="L31" s="229"/>
      <c r="M31" s="229"/>
      <c r="N31" s="229"/>
      <c r="O31" s="309"/>
      <c r="P31" s="230" t="s">
        <v>149</v>
      </c>
      <c r="Q31" s="664"/>
      <c r="R31" s="324"/>
      <c r="S31" s="279"/>
      <c r="T31" s="232"/>
      <c r="U31" s="232"/>
      <c r="V31" s="232"/>
      <c r="W31" s="232"/>
      <c r="X31" s="232"/>
      <c r="Y31" s="232"/>
      <c r="Z31" s="233"/>
      <c r="AA31" s="234"/>
      <c r="AB31" s="235"/>
      <c r="AC31" s="236"/>
      <c r="AD31" s="235"/>
      <c r="AE31" s="237"/>
      <c r="AF31" s="233"/>
      <c r="AG31" s="664"/>
      <c r="AH31" s="238"/>
      <c r="AI31" s="239"/>
      <c r="AJ31" s="238"/>
      <c r="AK31" s="664"/>
      <c r="AL31" s="113"/>
      <c r="AM31" s="118"/>
      <c r="AN31" s="113"/>
      <c r="AO31" s="114"/>
      <c r="AP31" s="115"/>
      <c r="AQ31" s="115"/>
      <c r="AR31" s="115"/>
      <c r="AS31" s="115"/>
      <c r="AT31" s="116"/>
    </row>
    <row r="32" spans="1:46" ht="39" customHeight="1" x14ac:dyDescent="0.25">
      <c r="A32" s="1468">
        <v>31</v>
      </c>
      <c r="B32" s="131" t="s">
        <v>150</v>
      </c>
      <c r="C32" s="311" t="s">
        <v>151</v>
      </c>
      <c r="D32" s="241"/>
      <c r="E32" s="312" t="s">
        <v>47</v>
      </c>
      <c r="F32" s="241"/>
      <c r="G32" s="313" t="s">
        <v>152</v>
      </c>
      <c r="H32" s="314" t="s">
        <v>153</v>
      </c>
      <c r="I32" s="314"/>
      <c r="J32" s="256">
        <v>400</v>
      </c>
      <c r="K32" s="227"/>
      <c r="L32" s="256" t="s">
        <v>154</v>
      </c>
      <c r="M32" s="256" t="s">
        <v>154</v>
      </c>
      <c r="N32" s="256"/>
      <c r="O32" s="216" t="s">
        <v>155</v>
      </c>
      <c r="P32" s="287"/>
      <c r="Q32" s="315" t="s">
        <v>153</v>
      </c>
      <c r="R32" s="1140" t="s">
        <v>156</v>
      </c>
      <c r="S32" s="279">
        <v>29347</v>
      </c>
      <c r="T32" s="250"/>
      <c r="U32" s="251" t="s">
        <v>54</v>
      </c>
      <c r="V32" s="983" t="s">
        <v>5830</v>
      </c>
      <c r="W32" s="197" t="s">
        <v>56</v>
      </c>
      <c r="X32" s="197" t="s">
        <v>57</v>
      </c>
      <c r="Y32" s="1461" t="s">
        <v>5850</v>
      </c>
      <c r="Z32" s="252">
        <v>45299</v>
      </c>
      <c r="AA32" s="252"/>
      <c r="AB32" s="241"/>
      <c r="AC32" s="223" t="s">
        <v>358</v>
      </c>
      <c r="AD32" s="241" t="s">
        <v>157</v>
      </c>
      <c r="AE32" s="269"/>
      <c r="AF32" s="258">
        <v>45607</v>
      </c>
      <c r="AG32" s="241" t="s">
        <v>61</v>
      </c>
      <c r="AH32" s="241"/>
      <c r="AI32" s="254"/>
      <c r="AJ32" s="317" t="s">
        <v>47</v>
      </c>
      <c r="AK32" s="312">
        <v>2</v>
      </c>
      <c r="AL32" s="132" t="s">
        <v>63</v>
      </c>
      <c r="AM32" s="132" t="s">
        <v>63</v>
      </c>
      <c r="AN32" s="133"/>
      <c r="AO32" s="133">
        <v>74956</v>
      </c>
      <c r="AP32" s="115"/>
      <c r="AQ32" s="115"/>
      <c r="AR32" s="115"/>
      <c r="AS32" s="115"/>
      <c r="AT32" s="115"/>
    </row>
    <row r="33" spans="1:46" ht="39" customHeight="1" x14ac:dyDescent="0.25">
      <c r="A33" s="1468">
        <v>32</v>
      </c>
      <c r="B33" s="117"/>
      <c r="C33" s="260" t="s">
        <v>142</v>
      </c>
      <c r="D33" s="241"/>
      <c r="E33" s="241"/>
      <c r="F33" s="241"/>
      <c r="G33" s="261" t="s">
        <v>143</v>
      </c>
      <c r="H33" s="262" t="s">
        <v>74</v>
      </c>
      <c r="I33" s="262"/>
      <c r="J33" s="256"/>
      <c r="K33" s="216"/>
      <c r="L33" s="256"/>
      <c r="M33" s="256" t="s">
        <v>5403</v>
      </c>
      <c r="N33" s="256"/>
      <c r="O33" s="216"/>
      <c r="P33" s="287"/>
      <c r="Q33" s="663" t="s">
        <v>74</v>
      </c>
      <c r="R33" s="683" t="s">
        <v>5402</v>
      </c>
      <c r="S33" s="279"/>
      <c r="T33" s="197"/>
      <c r="U33" s="250"/>
      <c r="V33" s="197"/>
      <c r="W33" s="197"/>
      <c r="X33" s="197"/>
      <c r="Y33" s="197"/>
      <c r="Z33" s="246"/>
      <c r="AA33" s="246"/>
      <c r="AB33" s="241"/>
      <c r="AC33" s="223"/>
      <c r="AD33" s="241"/>
      <c r="AE33" s="246"/>
      <c r="AF33" s="246"/>
      <c r="AG33" s="241" t="s">
        <v>75</v>
      </c>
      <c r="AH33" s="253"/>
      <c r="AI33" s="254"/>
      <c r="AJ33" s="253" t="s">
        <v>146</v>
      </c>
      <c r="AK33" s="241" t="s">
        <v>74</v>
      </c>
      <c r="AL33" s="122" t="s">
        <v>63</v>
      </c>
      <c r="AM33" s="122" t="s">
        <v>63</v>
      </c>
      <c r="AN33" s="110"/>
      <c r="AO33" s="110"/>
      <c r="AP33" s="115"/>
      <c r="AQ33" s="115"/>
      <c r="AR33" s="115"/>
      <c r="AS33" s="115"/>
      <c r="AT33" s="115"/>
    </row>
    <row r="34" spans="1:46" ht="39" customHeight="1" x14ac:dyDescent="0.25">
      <c r="A34" s="1468">
        <v>33</v>
      </c>
      <c r="B34" s="117"/>
      <c r="C34" s="324"/>
      <c r="D34" s="664"/>
      <c r="E34" s="664"/>
      <c r="F34" s="664"/>
      <c r="G34" s="227"/>
      <c r="H34" s="228"/>
      <c r="I34" s="228"/>
      <c r="J34" s="229"/>
      <c r="K34" s="227"/>
      <c r="L34" s="229"/>
      <c r="M34" s="229"/>
      <c r="N34" s="229"/>
      <c r="O34" s="309"/>
      <c r="P34" s="230" t="s">
        <v>161</v>
      </c>
      <c r="Q34" s="664"/>
      <c r="R34" s="232"/>
      <c r="S34" s="279"/>
      <c r="T34" s="232"/>
      <c r="U34" s="232"/>
      <c r="V34" s="232"/>
      <c r="W34" s="232"/>
      <c r="X34" s="232"/>
      <c r="Y34" s="232"/>
      <c r="Z34" s="233"/>
      <c r="AA34" s="234"/>
      <c r="AB34" s="235"/>
      <c r="AC34" s="236"/>
      <c r="AD34" s="235"/>
      <c r="AE34" s="237"/>
      <c r="AF34" s="233"/>
      <c r="AG34" s="664"/>
      <c r="AH34" s="238"/>
      <c r="AI34" s="239"/>
      <c r="AJ34" s="238"/>
      <c r="AK34" s="664"/>
      <c r="AL34" s="113"/>
      <c r="AM34" s="118"/>
      <c r="AN34" s="113"/>
      <c r="AO34" s="114"/>
      <c r="AP34" s="115"/>
      <c r="AQ34" s="115"/>
      <c r="AR34" s="115"/>
      <c r="AS34" s="115"/>
      <c r="AT34" s="116"/>
    </row>
    <row r="35" spans="1:46" ht="39" customHeight="1" x14ac:dyDescent="0.25">
      <c r="A35" s="1468">
        <v>34</v>
      </c>
      <c r="B35" s="119" t="s">
        <v>162</v>
      </c>
      <c r="C35" s="240" t="s">
        <v>163</v>
      </c>
      <c r="D35" s="241"/>
      <c r="E35" s="242" t="s">
        <v>47</v>
      </c>
      <c r="F35" s="241"/>
      <c r="G35" s="243" t="s">
        <v>164</v>
      </c>
      <c r="H35" s="244" t="s">
        <v>92</v>
      </c>
      <c r="I35" s="244"/>
      <c r="J35" s="245">
        <v>204</v>
      </c>
      <c r="K35" s="197" t="s">
        <v>50</v>
      </c>
      <c r="L35" s="269" t="s">
        <v>1903</v>
      </c>
      <c r="M35" s="269" t="s">
        <v>1903</v>
      </c>
      <c r="N35" s="256"/>
      <c r="O35" s="951" t="s">
        <v>3320</v>
      </c>
      <c r="P35" s="287" t="s">
        <v>1828</v>
      </c>
      <c r="Q35" s="248" t="s">
        <v>92</v>
      </c>
      <c r="R35" s="259" t="s">
        <v>1905</v>
      </c>
      <c r="S35" s="279">
        <v>28519</v>
      </c>
      <c r="T35" s="197"/>
      <c r="U35" s="251" t="s">
        <v>54</v>
      </c>
      <c r="V35" s="197" t="s">
        <v>5058</v>
      </c>
      <c r="W35" s="197" t="s">
        <v>56</v>
      </c>
      <c r="X35" s="197" t="s">
        <v>57</v>
      </c>
      <c r="Y35" s="250" t="s">
        <v>5134</v>
      </c>
      <c r="Z35" s="246">
        <v>45256</v>
      </c>
      <c r="AA35" s="246"/>
      <c r="AB35" s="241"/>
      <c r="AC35" s="223"/>
      <c r="AD35" s="241"/>
      <c r="AE35" s="269"/>
      <c r="AF35" s="258"/>
      <c r="AG35" s="241"/>
      <c r="AH35" s="253"/>
      <c r="AI35" s="254"/>
      <c r="AJ35" s="255" t="s">
        <v>62</v>
      </c>
      <c r="AK35" s="242">
        <v>1</v>
      </c>
      <c r="AL35" s="123" t="s">
        <v>63</v>
      </c>
      <c r="AM35" s="123" t="s">
        <v>63</v>
      </c>
      <c r="AN35" s="124"/>
      <c r="AO35" s="124">
        <v>45047</v>
      </c>
      <c r="AP35" s="115"/>
      <c r="AQ35" s="115"/>
      <c r="AR35" s="115"/>
      <c r="AS35" s="115"/>
      <c r="AT35" s="115"/>
    </row>
    <row r="36" spans="1:46" ht="39" customHeight="1" x14ac:dyDescent="0.25">
      <c r="A36" s="1468">
        <v>35</v>
      </c>
      <c r="B36" s="119" t="s">
        <v>162</v>
      </c>
      <c r="C36" s="240" t="s">
        <v>165</v>
      </c>
      <c r="D36" s="241"/>
      <c r="E36" s="242" t="s">
        <v>47</v>
      </c>
      <c r="F36" s="241"/>
      <c r="G36" s="243" t="s">
        <v>166</v>
      </c>
      <c r="H36" s="244" t="s">
        <v>92</v>
      </c>
      <c r="I36" s="244"/>
      <c r="J36" s="245">
        <v>204</v>
      </c>
      <c r="K36" s="216" t="s">
        <v>50</v>
      </c>
      <c r="L36" s="269" t="s">
        <v>167</v>
      </c>
      <c r="M36" s="269" t="s">
        <v>167</v>
      </c>
      <c r="N36" s="256"/>
      <c r="O36" s="216" t="s">
        <v>168</v>
      </c>
      <c r="P36" s="287"/>
      <c r="Q36" s="248" t="s">
        <v>92</v>
      </c>
      <c r="R36" s="1164" t="s">
        <v>169</v>
      </c>
      <c r="S36" s="279">
        <v>32212</v>
      </c>
      <c r="T36" s="250"/>
      <c r="U36" s="251" t="s">
        <v>54</v>
      </c>
      <c r="V36" s="299" t="s">
        <v>3959</v>
      </c>
      <c r="W36" s="197" t="s">
        <v>56</v>
      </c>
      <c r="X36" s="197" t="s">
        <v>57</v>
      </c>
      <c r="Y36" s="250" t="s">
        <v>3958</v>
      </c>
      <c r="Z36" s="289">
        <v>45226</v>
      </c>
      <c r="AA36" s="246"/>
      <c r="AB36" s="241" t="s">
        <v>170</v>
      </c>
      <c r="AC36" s="223" t="s">
        <v>358</v>
      </c>
      <c r="AD36" s="241" t="s">
        <v>171</v>
      </c>
      <c r="AE36" s="269">
        <v>38565</v>
      </c>
      <c r="AF36" s="258">
        <v>44736</v>
      </c>
      <c r="AG36" s="241" t="s">
        <v>61</v>
      </c>
      <c r="AH36" s="253"/>
      <c r="AI36" s="254"/>
      <c r="AJ36" s="255" t="s">
        <v>62</v>
      </c>
      <c r="AK36" s="242">
        <v>1</v>
      </c>
      <c r="AL36" s="123" t="s">
        <v>63</v>
      </c>
      <c r="AM36" s="123" t="s">
        <v>63</v>
      </c>
      <c r="AN36" s="124"/>
      <c r="AO36" s="124">
        <v>160297</v>
      </c>
      <c r="AP36" s="115"/>
      <c r="AQ36" s="115"/>
      <c r="AR36" s="115"/>
      <c r="AS36" s="115"/>
      <c r="AT36" s="115"/>
    </row>
    <row r="37" spans="1:46" ht="39" customHeight="1" x14ac:dyDescent="0.25">
      <c r="A37" s="1468">
        <v>36</v>
      </c>
      <c r="B37" s="119" t="s">
        <v>172</v>
      </c>
      <c r="C37" s="240" t="s">
        <v>173</v>
      </c>
      <c r="D37" s="241"/>
      <c r="E37" s="242" t="s">
        <v>47</v>
      </c>
      <c r="F37" s="241"/>
      <c r="G37" s="243" t="s">
        <v>174</v>
      </c>
      <c r="H37" s="244" t="s">
        <v>78</v>
      </c>
      <c r="I37" s="244"/>
      <c r="J37" s="245">
        <v>300</v>
      </c>
      <c r="K37" s="216" t="s">
        <v>50</v>
      </c>
      <c r="L37" s="269" t="s">
        <v>175</v>
      </c>
      <c r="M37" s="269" t="s">
        <v>175</v>
      </c>
      <c r="N37" s="256"/>
      <c r="O37" s="216" t="s">
        <v>176</v>
      </c>
      <c r="P37" s="287"/>
      <c r="Q37" s="248" t="s">
        <v>78</v>
      </c>
      <c r="R37" s="1164" t="s">
        <v>177</v>
      </c>
      <c r="S37" s="279">
        <v>28601</v>
      </c>
      <c r="T37" s="250"/>
      <c r="U37" s="251" t="s">
        <v>54</v>
      </c>
      <c r="V37" s="250" t="s">
        <v>3299</v>
      </c>
      <c r="W37" s="197" t="s">
        <v>56</v>
      </c>
      <c r="X37" s="197" t="s">
        <v>57</v>
      </c>
      <c r="Y37" s="250" t="s">
        <v>1471</v>
      </c>
      <c r="Z37" s="246">
        <v>45109</v>
      </c>
      <c r="AA37" s="258"/>
      <c r="AB37" s="241"/>
      <c r="AC37" s="223" t="s">
        <v>358</v>
      </c>
      <c r="AD37" s="241"/>
      <c r="AE37" s="269"/>
      <c r="AF37" s="258"/>
      <c r="AG37" s="241" t="s">
        <v>61</v>
      </c>
      <c r="AH37" s="253"/>
      <c r="AI37" s="254"/>
      <c r="AJ37" s="255" t="s">
        <v>62</v>
      </c>
      <c r="AK37" s="242">
        <v>1</v>
      </c>
      <c r="AL37" s="123" t="s">
        <v>63</v>
      </c>
      <c r="AM37" s="123" t="s">
        <v>63</v>
      </c>
      <c r="AN37" s="124"/>
      <c r="AO37" s="124">
        <v>90132</v>
      </c>
      <c r="AP37" s="115"/>
      <c r="AQ37" s="115"/>
      <c r="AR37" s="115"/>
      <c r="AS37" s="115"/>
      <c r="AT37" s="115"/>
    </row>
    <row r="38" spans="1:46" ht="39" customHeight="1" x14ac:dyDescent="0.25">
      <c r="A38" s="1468">
        <v>37</v>
      </c>
      <c r="B38" s="119" t="s">
        <v>172</v>
      </c>
      <c r="C38" s="240" t="s">
        <v>179</v>
      </c>
      <c r="D38" s="241"/>
      <c r="E38" s="242" t="s">
        <v>47</v>
      </c>
      <c r="F38" s="241"/>
      <c r="G38" s="243" t="s">
        <v>180</v>
      </c>
      <c r="H38" s="244" t="s">
        <v>78</v>
      </c>
      <c r="I38" s="244"/>
      <c r="J38" s="245">
        <v>300</v>
      </c>
      <c r="K38" s="197" t="s">
        <v>50</v>
      </c>
      <c r="L38" s="626" t="s">
        <v>1826</v>
      </c>
      <c r="M38" s="626" t="s">
        <v>1826</v>
      </c>
      <c r="N38" s="640"/>
      <c r="O38" s="626" t="s">
        <v>1837</v>
      </c>
      <c r="P38" s="1545" t="s">
        <v>1828</v>
      </c>
      <c r="Q38" s="1143" t="s">
        <v>83</v>
      </c>
      <c r="R38" s="1000" t="s">
        <v>1836</v>
      </c>
      <c r="S38" s="279">
        <v>26414</v>
      </c>
      <c r="T38" s="640"/>
      <c r="U38" s="250"/>
      <c r="V38" s="626"/>
      <c r="W38" s="1144" t="s">
        <v>6063</v>
      </c>
      <c r="X38" s="836"/>
      <c r="Y38" s="836"/>
      <c r="Z38" s="815"/>
      <c r="AA38" s="252"/>
      <c r="AB38" s="1291"/>
      <c r="AC38" s="640"/>
      <c r="AD38" s="660"/>
      <c r="AE38" s="494"/>
      <c r="AF38" s="494"/>
      <c r="AG38" s="640"/>
      <c r="AH38" s="640"/>
      <c r="AI38" s="626"/>
      <c r="AJ38" s="755" t="s">
        <v>62</v>
      </c>
      <c r="AK38" s="242">
        <v>1</v>
      </c>
      <c r="AL38" s="123" t="s">
        <v>63</v>
      </c>
      <c r="AM38" s="123" t="s">
        <v>63</v>
      </c>
      <c r="AN38" s="124"/>
      <c r="AO38" s="124">
        <v>77305</v>
      </c>
      <c r="AP38" s="115"/>
      <c r="AQ38" s="115"/>
      <c r="AR38" s="115"/>
      <c r="AS38" s="115"/>
      <c r="AT38" s="115"/>
    </row>
    <row r="39" spans="1:46" ht="43.5" customHeight="1" x14ac:dyDescent="0.25">
      <c r="A39" s="1468">
        <v>38</v>
      </c>
      <c r="B39" s="119" t="s">
        <v>172</v>
      </c>
      <c r="C39" s="240" t="s">
        <v>186</v>
      </c>
      <c r="D39" s="241"/>
      <c r="E39" s="242" t="s">
        <v>47</v>
      </c>
      <c r="F39" s="241"/>
      <c r="G39" s="243" t="s">
        <v>187</v>
      </c>
      <c r="H39" s="319" t="s">
        <v>188</v>
      </c>
      <c r="I39" s="319"/>
      <c r="J39" s="256">
        <v>330</v>
      </c>
      <c r="K39" s="216" t="s">
        <v>50</v>
      </c>
      <c r="L39" s="281" t="s">
        <v>1348</v>
      </c>
      <c r="M39" s="281" t="s">
        <v>1348</v>
      </c>
      <c r="N39" s="281"/>
      <c r="O39" s="216" t="s">
        <v>216</v>
      </c>
      <c r="P39" s="320"/>
      <c r="Q39" s="321" t="s">
        <v>847</v>
      </c>
      <c r="R39" s="1164" t="s">
        <v>938</v>
      </c>
      <c r="S39" s="279">
        <v>35621</v>
      </c>
      <c r="T39" s="250"/>
      <c r="U39" s="250"/>
      <c r="V39" s="197"/>
      <c r="W39" s="250"/>
      <c r="X39" s="197"/>
      <c r="Y39" s="949"/>
      <c r="Z39" s="246"/>
      <c r="AA39" s="246"/>
      <c r="AB39" s="245"/>
      <c r="AC39" s="223"/>
      <c r="AD39" s="245"/>
      <c r="AE39" s="258">
        <v>44075</v>
      </c>
      <c r="AF39" s="258">
        <v>45169</v>
      </c>
      <c r="AG39" s="241" t="s">
        <v>61</v>
      </c>
      <c r="AH39" s="283"/>
      <c r="AI39" s="322"/>
      <c r="AJ39" s="255" t="s">
        <v>62</v>
      </c>
      <c r="AK39" s="242">
        <v>1</v>
      </c>
      <c r="AL39" s="123" t="s">
        <v>63</v>
      </c>
      <c r="AM39" s="123" t="s">
        <v>63</v>
      </c>
      <c r="AN39" s="124"/>
      <c r="AO39" s="124">
        <v>1</v>
      </c>
      <c r="AP39" s="115"/>
      <c r="AQ39" s="115"/>
      <c r="AR39" s="115"/>
      <c r="AS39" s="115"/>
      <c r="AT39" s="115"/>
    </row>
    <row r="40" spans="1:46" ht="39" customHeight="1" x14ac:dyDescent="0.25">
      <c r="A40" s="1468">
        <v>39</v>
      </c>
      <c r="B40" s="117"/>
      <c r="C40" s="324"/>
      <c r="D40" s="664"/>
      <c r="E40" s="664"/>
      <c r="F40" s="664"/>
      <c r="G40" s="227"/>
      <c r="H40" s="228"/>
      <c r="I40" s="228"/>
      <c r="J40" s="229"/>
      <c r="K40" s="227"/>
      <c r="L40" s="229"/>
      <c r="M40" s="229"/>
      <c r="N40" s="229"/>
      <c r="O40" s="309"/>
      <c r="P40" s="230" t="s">
        <v>189</v>
      </c>
      <c r="Q40" s="664"/>
      <c r="R40" s="324"/>
      <c r="S40" s="279"/>
      <c r="T40" s="232"/>
      <c r="U40" s="232"/>
      <c r="V40" s="232"/>
      <c r="W40" s="232"/>
      <c r="X40" s="232"/>
      <c r="Y40" s="232"/>
      <c r="Z40" s="233"/>
      <c r="AA40" s="234"/>
      <c r="AB40" s="235"/>
      <c r="AC40" s="236"/>
      <c r="AD40" s="235"/>
      <c r="AE40" s="237"/>
      <c r="AF40" s="233"/>
      <c r="AG40" s="664"/>
      <c r="AH40" s="238"/>
      <c r="AI40" s="239"/>
      <c r="AJ40" s="238"/>
      <c r="AK40" s="664"/>
      <c r="AL40" s="134"/>
      <c r="AM40" s="134"/>
      <c r="AN40" s="113"/>
      <c r="AO40" s="114"/>
      <c r="AP40" s="115"/>
      <c r="AQ40" s="115"/>
      <c r="AR40" s="115"/>
      <c r="AS40" s="115"/>
      <c r="AT40" s="116"/>
    </row>
    <row r="41" spans="1:46" ht="39" customHeight="1" x14ac:dyDescent="0.25">
      <c r="A41" s="1468">
        <v>40</v>
      </c>
      <c r="B41" s="119">
        <v>20</v>
      </c>
      <c r="C41" s="240" t="s">
        <v>190</v>
      </c>
      <c r="D41" s="241"/>
      <c r="E41" s="242" t="s">
        <v>47</v>
      </c>
      <c r="F41" s="241"/>
      <c r="G41" s="243" t="s">
        <v>191</v>
      </c>
      <c r="H41" s="244" t="s">
        <v>65</v>
      </c>
      <c r="I41" s="244"/>
      <c r="J41" s="245">
        <v>202</v>
      </c>
      <c r="K41" s="197" t="s">
        <v>50</v>
      </c>
      <c r="L41" s="269" t="s">
        <v>2564</v>
      </c>
      <c r="M41" s="269" t="s">
        <v>2564</v>
      </c>
      <c r="N41" s="256"/>
      <c r="O41" s="634" t="s">
        <v>3350</v>
      </c>
      <c r="P41" s="287"/>
      <c r="Q41" s="248" t="s">
        <v>92</v>
      </c>
      <c r="R41" s="1164" t="s">
        <v>2780</v>
      </c>
      <c r="S41" s="279">
        <v>32721</v>
      </c>
      <c r="T41" s="197"/>
      <c r="U41" s="251" t="s">
        <v>54</v>
      </c>
      <c r="V41" s="197" t="s">
        <v>3299</v>
      </c>
      <c r="W41" s="250" t="s">
        <v>95</v>
      </c>
      <c r="X41" s="197" t="s">
        <v>57</v>
      </c>
      <c r="Y41" s="197" t="s">
        <v>3524</v>
      </c>
      <c r="Z41" s="246">
        <v>45109</v>
      </c>
      <c r="AA41" s="246"/>
      <c r="AB41" s="241"/>
      <c r="AC41" s="223"/>
      <c r="AD41" s="241"/>
      <c r="AE41" s="269"/>
      <c r="AF41" s="258"/>
      <c r="AG41" s="241"/>
      <c r="AH41" s="253"/>
      <c r="AI41" s="254"/>
      <c r="AJ41" s="255" t="s">
        <v>62</v>
      </c>
      <c r="AK41" s="242">
        <v>1</v>
      </c>
      <c r="AL41" s="123" t="s">
        <v>63</v>
      </c>
      <c r="AM41" s="123" t="s">
        <v>63</v>
      </c>
      <c r="AN41" s="124"/>
      <c r="AO41" s="124">
        <v>44946</v>
      </c>
      <c r="AP41" s="115"/>
      <c r="AQ41" s="115"/>
      <c r="AR41" s="115"/>
      <c r="AS41" s="115"/>
      <c r="AT41" s="115"/>
    </row>
    <row r="42" spans="1:46" ht="39" customHeight="1" x14ac:dyDescent="0.25">
      <c r="A42" s="1468">
        <v>41</v>
      </c>
      <c r="B42" s="131" t="s">
        <v>150</v>
      </c>
      <c r="C42" s="311" t="s">
        <v>192</v>
      </c>
      <c r="D42" s="241"/>
      <c r="E42" s="312" t="s">
        <v>47</v>
      </c>
      <c r="F42" s="241"/>
      <c r="G42" s="313" t="s">
        <v>193</v>
      </c>
      <c r="H42" s="323" t="s">
        <v>153</v>
      </c>
      <c r="I42" s="323">
        <v>394</v>
      </c>
      <c r="J42" s="256">
        <v>400</v>
      </c>
      <c r="K42" s="216"/>
      <c r="L42" s="281"/>
      <c r="M42" s="281" t="s">
        <v>3964</v>
      </c>
      <c r="N42" s="245"/>
      <c r="O42" s="216" t="s">
        <v>3302</v>
      </c>
      <c r="P42" s="372"/>
      <c r="Q42" s="353" t="s">
        <v>153</v>
      </c>
      <c r="R42" s="1140" t="s">
        <v>1233</v>
      </c>
      <c r="S42" s="279">
        <v>31909</v>
      </c>
      <c r="T42" s="250"/>
      <c r="U42" s="250"/>
      <c r="V42" s="197"/>
      <c r="W42" s="250" t="s">
        <v>5757</v>
      </c>
      <c r="X42" s="401"/>
      <c r="Y42" s="401"/>
      <c r="Z42" s="401"/>
      <c r="AA42" s="246"/>
      <c r="AB42" s="281"/>
      <c r="AC42" s="223"/>
      <c r="AD42" s="281"/>
      <c r="AE42" s="258"/>
      <c r="AF42" s="258"/>
      <c r="AG42" s="385" t="s">
        <v>61</v>
      </c>
      <c r="AH42" s="283"/>
      <c r="AI42" s="296"/>
      <c r="AJ42" s="317" t="s">
        <v>47</v>
      </c>
      <c r="AK42" s="312">
        <v>2</v>
      </c>
      <c r="AL42" s="132" t="s">
        <v>63</v>
      </c>
      <c r="AM42" s="132" t="s">
        <v>63</v>
      </c>
      <c r="AN42" s="133"/>
      <c r="AO42" s="133">
        <v>120771</v>
      </c>
      <c r="AP42" s="115"/>
      <c r="AQ42" s="115"/>
      <c r="AR42" s="115"/>
      <c r="AS42" s="115"/>
      <c r="AT42" s="115"/>
    </row>
    <row r="43" spans="1:46" ht="39" customHeight="1" x14ac:dyDescent="0.25">
      <c r="A43" s="1468">
        <v>42</v>
      </c>
      <c r="B43" s="117"/>
      <c r="C43" s="324"/>
      <c r="D43" s="664"/>
      <c r="E43" s="664"/>
      <c r="F43" s="664"/>
      <c r="G43" s="227"/>
      <c r="H43" s="228"/>
      <c r="I43" s="228"/>
      <c r="J43" s="229"/>
      <c r="K43" s="227"/>
      <c r="L43" s="229"/>
      <c r="M43" s="229"/>
      <c r="N43" s="229"/>
      <c r="O43" s="309"/>
      <c r="P43" s="230" t="s">
        <v>930</v>
      </c>
      <c r="Q43" s="664"/>
      <c r="R43" s="232"/>
      <c r="S43" s="279"/>
      <c r="T43" s="232"/>
      <c r="U43" s="232"/>
      <c r="V43" s="232"/>
      <c r="W43" s="232"/>
      <c r="X43" s="232"/>
      <c r="Y43" s="232"/>
      <c r="Z43" s="233"/>
      <c r="AA43" s="234"/>
      <c r="AB43" s="235"/>
      <c r="AC43" s="236"/>
      <c r="AD43" s="235"/>
      <c r="AE43" s="237"/>
      <c r="AF43" s="233"/>
      <c r="AG43" s="664"/>
      <c r="AH43" s="238"/>
      <c r="AI43" s="239"/>
      <c r="AJ43" s="238"/>
      <c r="AK43" s="664"/>
      <c r="AL43" s="134"/>
      <c r="AM43" s="134"/>
      <c r="AN43" s="113"/>
      <c r="AO43" s="114"/>
      <c r="AP43" s="115"/>
      <c r="AQ43" s="115"/>
      <c r="AR43" s="115"/>
      <c r="AS43" s="115"/>
      <c r="AT43" s="116"/>
    </row>
    <row r="44" spans="1:46" ht="39" customHeight="1" x14ac:dyDescent="0.25">
      <c r="A44" s="1468">
        <v>43</v>
      </c>
      <c r="B44" s="119">
        <v>16</v>
      </c>
      <c r="C44" s="240" t="s">
        <v>197</v>
      </c>
      <c r="D44" s="241"/>
      <c r="E44" s="242" t="s">
        <v>47</v>
      </c>
      <c r="F44" s="241"/>
      <c r="G44" s="243" t="s">
        <v>198</v>
      </c>
      <c r="H44" s="244" t="s">
        <v>78</v>
      </c>
      <c r="I44" s="244"/>
      <c r="J44" s="245">
        <v>300</v>
      </c>
      <c r="K44" s="197" t="s">
        <v>50</v>
      </c>
      <c r="L44" s="256" t="s">
        <v>3965</v>
      </c>
      <c r="M44" s="256" t="s">
        <v>3965</v>
      </c>
      <c r="N44" s="245"/>
      <c r="O44" s="634" t="s">
        <v>3169</v>
      </c>
      <c r="P44" s="287"/>
      <c r="Q44" s="248" t="s">
        <v>92</v>
      </c>
      <c r="R44" s="259" t="s">
        <v>939</v>
      </c>
      <c r="S44" s="279">
        <v>28200</v>
      </c>
      <c r="T44" s="250"/>
      <c r="U44" s="251" t="s">
        <v>54</v>
      </c>
      <c r="V44" s="197" t="s">
        <v>3299</v>
      </c>
      <c r="W44" s="197" t="s">
        <v>56</v>
      </c>
      <c r="X44" s="197" t="s">
        <v>57</v>
      </c>
      <c r="Y44" s="250" t="s">
        <v>1471</v>
      </c>
      <c r="Z44" s="246">
        <v>45109</v>
      </c>
      <c r="AA44" s="197"/>
      <c r="AB44" s="241"/>
      <c r="AC44" s="223"/>
      <c r="AD44" s="241"/>
      <c r="AE44" s="258"/>
      <c r="AF44" s="258"/>
      <c r="AG44" s="241"/>
      <c r="AH44" s="253"/>
      <c r="AI44" s="254"/>
      <c r="AJ44" s="255" t="s">
        <v>62</v>
      </c>
      <c r="AK44" s="242">
        <v>1</v>
      </c>
      <c r="AL44" s="123" t="s">
        <v>63</v>
      </c>
      <c r="AM44" s="123" t="s">
        <v>63</v>
      </c>
      <c r="AN44" s="124"/>
      <c r="AO44" s="124">
        <v>169470</v>
      </c>
      <c r="AP44" s="135"/>
      <c r="AQ44" s="135"/>
      <c r="AR44" s="115"/>
      <c r="AS44" s="115"/>
      <c r="AT44" s="115"/>
    </row>
    <row r="45" spans="1:46" ht="39" customHeight="1" x14ac:dyDescent="0.25">
      <c r="A45" s="1468">
        <v>44</v>
      </c>
      <c r="B45" s="117"/>
      <c r="C45" s="260" t="s">
        <v>142</v>
      </c>
      <c r="D45" s="241"/>
      <c r="E45" s="241"/>
      <c r="F45" s="241"/>
      <c r="G45" s="261" t="s">
        <v>143</v>
      </c>
      <c r="H45" s="262" t="s">
        <v>74</v>
      </c>
      <c r="I45" s="261"/>
      <c r="J45" s="256"/>
      <c r="K45" s="216"/>
      <c r="L45" s="256"/>
      <c r="M45" s="256" t="s">
        <v>199</v>
      </c>
      <c r="N45" s="256"/>
      <c r="O45" s="216"/>
      <c r="P45" s="287"/>
      <c r="Q45" s="663" t="s">
        <v>74</v>
      </c>
      <c r="R45" s="993" t="s">
        <v>200</v>
      </c>
      <c r="S45" s="279">
        <v>25255</v>
      </c>
      <c r="T45" s="197"/>
      <c r="U45" s="250"/>
      <c r="V45" s="197"/>
      <c r="W45" s="197"/>
      <c r="X45" s="197"/>
      <c r="Y45" s="197"/>
      <c r="Z45" s="246"/>
      <c r="AA45" s="246"/>
      <c r="AB45" s="241"/>
      <c r="AC45" s="223" t="s">
        <v>1345</v>
      </c>
      <c r="AD45" s="241"/>
      <c r="AE45" s="269">
        <v>44277</v>
      </c>
      <c r="AF45" s="258"/>
      <c r="AG45" s="241" t="s">
        <v>75</v>
      </c>
      <c r="AH45" s="253"/>
      <c r="AI45" s="254"/>
      <c r="AJ45" s="253" t="s">
        <v>146</v>
      </c>
      <c r="AK45" s="241" t="s">
        <v>74</v>
      </c>
      <c r="AL45" s="123" t="s">
        <v>63</v>
      </c>
      <c r="AM45" s="123" t="s">
        <v>63</v>
      </c>
      <c r="AN45" s="110"/>
      <c r="AO45" s="110"/>
      <c r="AP45" s="135"/>
      <c r="AQ45" s="135"/>
      <c r="AR45" s="115"/>
      <c r="AS45" s="115"/>
      <c r="AT45" s="115"/>
    </row>
    <row r="46" spans="1:46" ht="39" customHeight="1" x14ac:dyDescent="0.25">
      <c r="A46" s="1468">
        <v>45</v>
      </c>
      <c r="B46" s="117"/>
      <c r="C46" s="324"/>
      <c r="D46" s="664"/>
      <c r="E46" s="664"/>
      <c r="F46" s="664"/>
      <c r="G46" s="227"/>
      <c r="H46" s="228"/>
      <c r="I46" s="228"/>
      <c r="J46" s="229"/>
      <c r="K46" s="227"/>
      <c r="L46" s="229"/>
      <c r="M46" s="229"/>
      <c r="N46" s="229"/>
      <c r="O46" s="309"/>
      <c r="P46" s="230" t="s">
        <v>201</v>
      </c>
      <c r="Q46" s="664"/>
      <c r="R46" s="232"/>
      <c r="S46" s="279"/>
      <c r="T46" s="232"/>
      <c r="U46" s="232"/>
      <c r="V46" s="232"/>
      <c r="W46" s="232"/>
      <c r="X46" s="232"/>
      <c r="Y46" s="232"/>
      <c r="Z46" s="233"/>
      <c r="AA46" s="234"/>
      <c r="AB46" s="235"/>
      <c r="AC46" s="236"/>
      <c r="AD46" s="235"/>
      <c r="AE46" s="237"/>
      <c r="AF46" s="233"/>
      <c r="AG46" s="664"/>
      <c r="AH46" s="238"/>
      <c r="AI46" s="239"/>
      <c r="AJ46" s="238"/>
      <c r="AK46" s="664"/>
      <c r="AL46" s="134"/>
      <c r="AM46" s="134"/>
      <c r="AN46" s="113"/>
      <c r="AO46" s="114"/>
      <c r="AP46" s="115"/>
      <c r="AQ46" s="115"/>
      <c r="AR46" s="115"/>
      <c r="AS46" s="115"/>
      <c r="AT46" s="116"/>
    </row>
    <row r="47" spans="1:46" ht="39" customHeight="1" x14ac:dyDescent="0.25">
      <c r="A47" s="1468">
        <v>46</v>
      </c>
      <c r="B47" s="119">
        <v>16</v>
      </c>
      <c r="C47" s="240" t="s">
        <v>202</v>
      </c>
      <c r="D47" s="241"/>
      <c r="E47" s="242" t="s">
        <v>47</v>
      </c>
      <c r="F47" s="241"/>
      <c r="G47" s="243" t="s">
        <v>203</v>
      </c>
      <c r="H47" s="319" t="s">
        <v>78</v>
      </c>
      <c r="I47" s="319"/>
      <c r="J47" s="245">
        <v>300</v>
      </c>
      <c r="K47" s="216" t="s">
        <v>50</v>
      </c>
      <c r="L47" s="269" t="s">
        <v>204</v>
      </c>
      <c r="M47" s="269" t="s">
        <v>204</v>
      </c>
      <c r="N47" s="256"/>
      <c r="O47" s="216" t="s">
        <v>205</v>
      </c>
      <c r="P47" s="287"/>
      <c r="Q47" s="248" t="s">
        <v>78</v>
      </c>
      <c r="R47" s="259" t="s">
        <v>206</v>
      </c>
      <c r="S47" s="279">
        <v>34789</v>
      </c>
      <c r="T47" s="250"/>
      <c r="U47" s="251" t="s">
        <v>54</v>
      </c>
      <c r="V47" s="197" t="s">
        <v>207</v>
      </c>
      <c r="W47" s="197" t="s">
        <v>56</v>
      </c>
      <c r="X47" s="197" t="s">
        <v>57</v>
      </c>
      <c r="Y47" s="197" t="s">
        <v>58</v>
      </c>
      <c r="Z47" s="246">
        <v>44844</v>
      </c>
      <c r="AA47" s="252"/>
      <c r="AB47" s="245" t="s">
        <v>208</v>
      </c>
      <c r="AC47" s="223" t="s">
        <v>209</v>
      </c>
      <c r="AD47" s="245" t="s">
        <v>210</v>
      </c>
      <c r="AE47" s="269">
        <v>41509</v>
      </c>
      <c r="AF47" s="246">
        <v>45099</v>
      </c>
      <c r="AG47" s="241" t="s">
        <v>61</v>
      </c>
      <c r="AH47" s="253"/>
      <c r="AI47" s="254"/>
      <c r="AJ47" s="255" t="s">
        <v>62</v>
      </c>
      <c r="AK47" s="242">
        <v>1</v>
      </c>
      <c r="AL47" s="123" t="s">
        <v>63</v>
      </c>
      <c r="AM47" s="123" t="s">
        <v>63</v>
      </c>
      <c r="AN47" s="124"/>
      <c r="AO47" s="124">
        <v>166258</v>
      </c>
      <c r="AP47" s="135"/>
      <c r="AQ47" s="135"/>
      <c r="AR47" s="115"/>
      <c r="AS47" s="115"/>
      <c r="AT47" s="115"/>
    </row>
    <row r="48" spans="1:46" ht="39" customHeight="1" x14ac:dyDescent="0.25">
      <c r="A48" s="1468">
        <v>47</v>
      </c>
      <c r="B48" s="117"/>
      <c r="C48" s="260" t="s">
        <v>142</v>
      </c>
      <c r="D48" s="241"/>
      <c r="E48" s="241"/>
      <c r="F48" s="241"/>
      <c r="G48" s="261" t="s">
        <v>143</v>
      </c>
      <c r="H48" s="262" t="s">
        <v>74</v>
      </c>
      <c r="I48" s="262"/>
      <c r="J48" s="256"/>
      <c r="K48" s="216"/>
      <c r="L48" s="256"/>
      <c r="M48" s="256"/>
      <c r="N48" s="256"/>
      <c r="O48" s="216"/>
      <c r="P48" s="247"/>
      <c r="Q48" s="663"/>
      <c r="R48" s="994" t="s">
        <v>66</v>
      </c>
      <c r="S48" s="279"/>
      <c r="T48" s="197"/>
      <c r="U48" s="250"/>
      <c r="V48" s="197"/>
      <c r="W48" s="197"/>
      <c r="X48" s="197"/>
      <c r="Y48" s="197"/>
      <c r="Z48" s="246"/>
      <c r="AA48" s="246"/>
      <c r="AB48" s="245"/>
      <c r="AC48" s="223"/>
      <c r="AD48" s="245"/>
      <c r="AE48" s="246"/>
      <c r="AF48" s="246"/>
      <c r="AG48" s="241"/>
      <c r="AH48" s="253"/>
      <c r="AI48" s="254"/>
      <c r="AJ48" s="253"/>
      <c r="AK48" s="241" t="s">
        <v>74</v>
      </c>
      <c r="AL48" s="123" t="s">
        <v>63</v>
      </c>
      <c r="AM48" s="123" t="s">
        <v>63</v>
      </c>
      <c r="AN48" s="110"/>
      <c r="AO48" s="110"/>
      <c r="AP48" s="135"/>
      <c r="AQ48" s="135"/>
      <c r="AR48" s="115"/>
      <c r="AS48" s="115"/>
      <c r="AT48" s="115"/>
    </row>
    <row r="49" spans="1:47" ht="39" customHeight="1" x14ac:dyDescent="0.25">
      <c r="A49" s="1468">
        <v>48</v>
      </c>
      <c r="B49" s="117"/>
      <c r="C49" s="324"/>
      <c r="D49" s="664"/>
      <c r="E49" s="664"/>
      <c r="F49" s="664"/>
      <c r="G49" s="227"/>
      <c r="H49" s="228"/>
      <c r="I49" s="228"/>
      <c r="J49" s="229"/>
      <c r="K49" s="227"/>
      <c r="L49" s="229"/>
      <c r="M49" s="229"/>
      <c r="N49" s="229"/>
      <c r="O49" s="216"/>
      <c r="P49" s="230" t="s">
        <v>211</v>
      </c>
      <c r="Q49" s="664"/>
      <c r="R49" s="197"/>
      <c r="S49" s="279"/>
      <c r="T49" s="232"/>
      <c r="U49" s="250"/>
      <c r="V49" s="232"/>
      <c r="W49" s="232"/>
      <c r="X49" s="232"/>
      <c r="Y49" s="232"/>
      <c r="Z49" s="233"/>
      <c r="AA49" s="234"/>
      <c r="AB49" s="235"/>
      <c r="AC49" s="236"/>
      <c r="AD49" s="235"/>
      <c r="AE49" s="237"/>
      <c r="AF49" s="233"/>
      <c r="AG49" s="664"/>
      <c r="AH49" s="238"/>
      <c r="AI49" s="239"/>
      <c r="AJ49" s="238"/>
      <c r="AK49" s="241"/>
      <c r="AL49" s="123"/>
      <c r="AM49" s="123"/>
      <c r="AN49" s="113"/>
      <c r="AO49" s="114"/>
      <c r="AP49" s="115"/>
      <c r="AQ49" s="115"/>
      <c r="AR49" s="115"/>
      <c r="AS49" s="115"/>
      <c r="AT49" s="116"/>
    </row>
    <row r="50" spans="1:47" ht="39" customHeight="1" x14ac:dyDescent="0.25">
      <c r="A50" s="1468">
        <v>49</v>
      </c>
      <c r="B50" s="119">
        <v>16</v>
      </c>
      <c r="C50" s="240" t="s">
        <v>212</v>
      </c>
      <c r="D50" s="241"/>
      <c r="E50" s="242" t="s">
        <v>47</v>
      </c>
      <c r="F50" s="241"/>
      <c r="G50" s="243" t="s">
        <v>213</v>
      </c>
      <c r="H50" s="244" t="s">
        <v>78</v>
      </c>
      <c r="I50" s="244"/>
      <c r="J50" s="245">
        <v>300</v>
      </c>
      <c r="K50" s="197" t="s">
        <v>50</v>
      </c>
      <c r="L50" s="281" t="s">
        <v>3966</v>
      </c>
      <c r="M50" s="281" t="s">
        <v>3966</v>
      </c>
      <c r="N50" s="281"/>
      <c r="O50" s="634" t="s">
        <v>3170</v>
      </c>
      <c r="P50" s="325"/>
      <c r="Q50" s="326" t="s">
        <v>119</v>
      </c>
      <c r="R50" s="1164" t="s">
        <v>940</v>
      </c>
      <c r="S50" s="279">
        <v>36873</v>
      </c>
      <c r="T50" s="252"/>
      <c r="U50" s="251" t="s">
        <v>54</v>
      </c>
      <c r="V50" s="197" t="s">
        <v>3299</v>
      </c>
      <c r="W50" s="197" t="s">
        <v>56</v>
      </c>
      <c r="X50" s="197" t="s">
        <v>57</v>
      </c>
      <c r="Y50" s="250" t="s">
        <v>1471</v>
      </c>
      <c r="Z50" s="246">
        <v>45109</v>
      </c>
      <c r="AA50" s="327"/>
      <c r="AB50" s="282"/>
      <c r="AC50" s="223"/>
      <c r="AD50" s="282"/>
      <c r="AE50" s="252"/>
      <c r="AF50" s="252"/>
      <c r="AG50" s="282"/>
      <c r="AH50" s="283"/>
      <c r="AI50" s="328"/>
      <c r="AJ50" s="255" t="s">
        <v>62</v>
      </c>
      <c r="AK50" s="242">
        <v>1</v>
      </c>
      <c r="AL50" s="123" t="s">
        <v>63</v>
      </c>
      <c r="AM50" s="123" t="s">
        <v>63</v>
      </c>
      <c r="AN50" s="124"/>
      <c r="AO50" s="124">
        <v>36461</v>
      </c>
      <c r="AP50" s="135"/>
      <c r="AQ50" s="135"/>
      <c r="AR50" s="115"/>
      <c r="AS50" s="115"/>
      <c r="AT50" s="115"/>
    </row>
    <row r="51" spans="1:47" ht="39" customHeight="1" x14ac:dyDescent="0.25">
      <c r="A51" s="1468">
        <v>50</v>
      </c>
      <c r="B51" s="117"/>
      <c r="C51" s="260" t="s">
        <v>142</v>
      </c>
      <c r="D51" s="241"/>
      <c r="E51" s="241"/>
      <c r="F51" s="241"/>
      <c r="G51" s="261" t="s">
        <v>143</v>
      </c>
      <c r="H51" s="262" t="s">
        <v>74</v>
      </c>
      <c r="I51" s="262"/>
      <c r="J51" s="245"/>
      <c r="K51" s="216"/>
      <c r="L51" s="245"/>
      <c r="M51" s="245" t="s">
        <v>220</v>
      </c>
      <c r="N51" s="245"/>
      <c r="O51" s="216"/>
      <c r="P51" s="247"/>
      <c r="Q51" s="241" t="s">
        <v>74</v>
      </c>
      <c r="R51" s="683" t="s">
        <v>221</v>
      </c>
      <c r="S51" s="279">
        <v>25993</v>
      </c>
      <c r="T51" s="197"/>
      <c r="U51" s="250"/>
      <c r="V51" s="197"/>
      <c r="W51" s="197"/>
      <c r="X51" s="197"/>
      <c r="Y51" s="197"/>
      <c r="Z51" s="246"/>
      <c r="AA51" s="246"/>
      <c r="AB51" s="245"/>
      <c r="AC51" s="223" t="s">
        <v>1345</v>
      </c>
      <c r="AD51" s="245"/>
      <c r="AE51" s="269"/>
      <c r="AF51" s="246"/>
      <c r="AG51" s="241" t="s">
        <v>75</v>
      </c>
      <c r="AH51" s="253"/>
      <c r="AI51" s="254"/>
      <c r="AJ51" s="253" t="s">
        <v>146</v>
      </c>
      <c r="AK51" s="241" t="s">
        <v>74</v>
      </c>
      <c r="AL51" s="123" t="s">
        <v>63</v>
      </c>
      <c r="AM51" s="123" t="s">
        <v>63</v>
      </c>
      <c r="AN51" s="110"/>
      <c r="AO51" s="110"/>
      <c r="AP51" s="135"/>
      <c r="AQ51" s="135"/>
      <c r="AR51" s="115"/>
      <c r="AS51" s="115"/>
      <c r="AT51" s="115"/>
    </row>
    <row r="52" spans="1:47" ht="39" customHeight="1" x14ac:dyDescent="0.25">
      <c r="A52" s="1468">
        <v>51</v>
      </c>
      <c r="B52" s="117"/>
      <c r="C52" s="324"/>
      <c r="D52" s="664"/>
      <c r="E52" s="664"/>
      <c r="F52" s="664"/>
      <c r="G52" s="227"/>
      <c r="H52" s="228"/>
      <c r="I52" s="228"/>
      <c r="J52" s="229"/>
      <c r="K52" s="227"/>
      <c r="L52" s="329"/>
      <c r="M52" s="329"/>
      <c r="N52" s="329"/>
      <c r="O52" s="330"/>
      <c r="P52" s="273" t="s">
        <v>222</v>
      </c>
      <c r="Q52" s="331"/>
      <c r="R52" s="334"/>
      <c r="S52" s="279"/>
      <c r="T52" s="334"/>
      <c r="U52" s="232"/>
      <c r="V52" s="334"/>
      <c r="W52" s="232"/>
      <c r="X52" s="232"/>
      <c r="Y52" s="232"/>
      <c r="Z52" s="233"/>
      <c r="AA52" s="234"/>
      <c r="AB52" s="235"/>
      <c r="AC52" s="236"/>
      <c r="AD52" s="235"/>
      <c r="AE52" s="237"/>
      <c r="AF52" s="233"/>
      <c r="AG52" s="664"/>
      <c r="AH52" s="238"/>
      <c r="AI52" s="239"/>
      <c r="AJ52" s="238"/>
      <c r="AK52" s="241"/>
      <c r="AL52" s="123"/>
      <c r="AM52" s="123"/>
      <c r="AN52" s="113"/>
      <c r="AO52" s="114"/>
      <c r="AP52" s="115"/>
      <c r="AQ52" s="115"/>
      <c r="AR52" s="115"/>
      <c r="AS52" s="115"/>
      <c r="AT52" s="116"/>
    </row>
    <row r="53" spans="1:47" ht="39" customHeight="1" x14ac:dyDescent="0.25">
      <c r="A53" s="1468">
        <v>52</v>
      </c>
      <c r="B53" s="119">
        <v>20</v>
      </c>
      <c r="C53" s="240" t="s">
        <v>223</v>
      </c>
      <c r="D53" s="241"/>
      <c r="E53" s="242" t="s">
        <v>47</v>
      </c>
      <c r="F53" s="241"/>
      <c r="G53" s="243" t="s">
        <v>224</v>
      </c>
      <c r="H53" s="244" t="s">
        <v>65</v>
      </c>
      <c r="I53" s="244"/>
      <c r="J53" s="245">
        <v>202</v>
      </c>
      <c r="K53" s="216" t="s">
        <v>50</v>
      </c>
      <c r="L53" s="269" t="s">
        <v>225</v>
      </c>
      <c r="M53" s="269" t="s">
        <v>225</v>
      </c>
      <c r="N53" s="245"/>
      <c r="O53" s="216" t="s">
        <v>226</v>
      </c>
      <c r="P53" s="247"/>
      <c r="Q53" s="242" t="s">
        <v>92</v>
      </c>
      <c r="R53" s="259" t="s">
        <v>227</v>
      </c>
      <c r="S53" s="279">
        <v>31903</v>
      </c>
      <c r="T53" s="250"/>
      <c r="U53" s="251" t="s">
        <v>54</v>
      </c>
      <c r="V53" s="197" t="s">
        <v>1465</v>
      </c>
      <c r="W53" s="197" t="s">
        <v>56</v>
      </c>
      <c r="X53" s="197" t="s">
        <v>57</v>
      </c>
      <c r="Y53" s="197" t="s">
        <v>58</v>
      </c>
      <c r="Z53" s="246">
        <v>44846</v>
      </c>
      <c r="AA53" s="246"/>
      <c r="AB53" s="245" t="s">
        <v>228</v>
      </c>
      <c r="AC53" s="223" t="s">
        <v>358</v>
      </c>
      <c r="AD53" s="245" t="s">
        <v>229</v>
      </c>
      <c r="AE53" s="269">
        <v>38565</v>
      </c>
      <c r="AF53" s="246">
        <v>45133</v>
      </c>
      <c r="AG53" s="241" t="s">
        <v>61</v>
      </c>
      <c r="AH53" s="253"/>
      <c r="AI53" s="254"/>
      <c r="AJ53" s="255" t="s">
        <v>62</v>
      </c>
      <c r="AK53" s="242">
        <v>1</v>
      </c>
      <c r="AL53" s="123" t="s">
        <v>63</v>
      </c>
      <c r="AM53" s="123" t="s">
        <v>63</v>
      </c>
      <c r="AN53" s="124"/>
      <c r="AO53" s="124">
        <v>160468</v>
      </c>
      <c r="AP53" s="115"/>
      <c r="AQ53" s="115"/>
      <c r="AR53" s="115"/>
      <c r="AS53" s="115"/>
      <c r="AT53" s="115"/>
    </row>
    <row r="54" spans="1:47" ht="39" customHeight="1" x14ac:dyDescent="0.25">
      <c r="A54" s="1468">
        <v>53</v>
      </c>
      <c r="B54" s="117"/>
      <c r="C54" s="260" t="s">
        <v>6145</v>
      </c>
      <c r="D54" s="241"/>
      <c r="E54" s="241"/>
      <c r="F54" s="241"/>
      <c r="G54" s="261" t="s">
        <v>230</v>
      </c>
      <c r="H54" s="335" t="s">
        <v>74</v>
      </c>
      <c r="I54" s="335"/>
      <c r="J54" s="256"/>
      <c r="K54" s="216"/>
      <c r="L54" s="245"/>
      <c r="M54" s="245" t="s">
        <v>3576</v>
      </c>
      <c r="N54" s="245"/>
      <c r="O54" s="216"/>
      <c r="P54" s="247"/>
      <c r="Q54" s="663" t="s">
        <v>74</v>
      </c>
      <c r="R54" s="993" t="s">
        <v>232</v>
      </c>
      <c r="S54" s="279">
        <v>34182</v>
      </c>
      <c r="T54" s="197"/>
      <c r="U54" s="250"/>
      <c r="V54" s="197"/>
      <c r="W54" s="197"/>
      <c r="X54" s="197"/>
      <c r="Y54" s="197"/>
      <c r="Z54" s="246"/>
      <c r="AA54" s="246"/>
      <c r="AB54" s="245"/>
      <c r="AC54" s="223" t="s">
        <v>1345</v>
      </c>
      <c r="AD54" s="245"/>
      <c r="AE54" s="246">
        <v>44228</v>
      </c>
      <c r="AF54" s="246"/>
      <c r="AG54" s="241" t="s">
        <v>75</v>
      </c>
      <c r="AH54" s="253"/>
      <c r="AI54" s="254"/>
      <c r="AJ54" s="253" t="s">
        <v>146</v>
      </c>
      <c r="AK54" s="241" t="s">
        <v>74</v>
      </c>
      <c r="AL54" s="123" t="s">
        <v>63</v>
      </c>
      <c r="AM54" s="123" t="s">
        <v>63</v>
      </c>
      <c r="AN54" s="110"/>
      <c r="AO54" s="110"/>
      <c r="AP54" s="115"/>
      <c r="AQ54" s="115"/>
      <c r="AR54" s="115"/>
      <c r="AS54" s="115"/>
      <c r="AT54" s="115"/>
    </row>
    <row r="55" spans="1:47" ht="39" customHeight="1" x14ac:dyDescent="0.25">
      <c r="A55" s="1468">
        <v>54</v>
      </c>
      <c r="B55" s="117"/>
      <c r="C55" s="260" t="s">
        <v>142</v>
      </c>
      <c r="D55" s="241"/>
      <c r="E55" s="241"/>
      <c r="F55" s="241"/>
      <c r="G55" s="261" t="s">
        <v>143</v>
      </c>
      <c r="H55" s="262" t="s">
        <v>74</v>
      </c>
      <c r="I55" s="262"/>
      <c r="J55" s="245"/>
      <c r="K55" s="216"/>
      <c r="L55" s="245"/>
      <c r="M55" s="245"/>
      <c r="N55" s="245"/>
      <c r="O55" s="216"/>
      <c r="P55" s="247"/>
      <c r="Q55" s="663"/>
      <c r="R55" s="993" t="s">
        <v>66</v>
      </c>
      <c r="S55" s="279"/>
      <c r="T55" s="197"/>
      <c r="U55" s="250"/>
      <c r="V55" s="197"/>
      <c r="W55" s="197"/>
      <c r="X55" s="197"/>
      <c r="Y55" s="197"/>
      <c r="Z55" s="246"/>
      <c r="AA55" s="246"/>
      <c r="AB55" s="245"/>
      <c r="AC55" s="223"/>
      <c r="AD55" s="245"/>
      <c r="AE55" s="246"/>
      <c r="AF55" s="246"/>
      <c r="AG55" s="241"/>
      <c r="AH55" s="253"/>
      <c r="AI55" s="254"/>
      <c r="AJ55" s="253"/>
      <c r="AK55" s="241" t="s">
        <v>74</v>
      </c>
      <c r="AL55" s="123" t="s">
        <v>63</v>
      </c>
      <c r="AM55" s="123" t="s">
        <v>63</v>
      </c>
      <c r="AN55" s="110"/>
      <c r="AO55" s="110"/>
      <c r="AP55" s="115"/>
      <c r="AQ55" s="115"/>
      <c r="AR55" s="115"/>
      <c r="AS55" s="115"/>
      <c r="AT55" s="115"/>
    </row>
    <row r="56" spans="1:47" ht="39" customHeight="1" x14ac:dyDescent="0.25">
      <c r="A56" s="1468">
        <v>55</v>
      </c>
      <c r="B56" s="117"/>
      <c r="C56" s="324"/>
      <c r="D56" s="664"/>
      <c r="E56" s="664"/>
      <c r="F56" s="664"/>
      <c r="G56" s="227"/>
      <c r="H56" s="228"/>
      <c r="I56" s="228"/>
      <c r="J56" s="229"/>
      <c r="K56" s="227"/>
      <c r="L56" s="229"/>
      <c r="M56" s="229"/>
      <c r="N56" s="229"/>
      <c r="O56" s="216"/>
      <c r="P56" s="230" t="s">
        <v>233</v>
      </c>
      <c r="Q56" s="664"/>
      <c r="R56" s="197"/>
      <c r="S56" s="279"/>
      <c r="T56" s="232"/>
      <c r="U56" s="250"/>
      <c r="V56" s="232"/>
      <c r="W56" s="232"/>
      <c r="X56" s="232"/>
      <c r="Y56" s="232"/>
      <c r="Z56" s="233"/>
      <c r="AA56" s="234"/>
      <c r="AB56" s="235"/>
      <c r="AC56" s="236"/>
      <c r="AD56" s="235"/>
      <c r="AE56" s="237"/>
      <c r="AF56" s="233"/>
      <c r="AG56" s="664"/>
      <c r="AH56" s="238"/>
      <c r="AI56" s="239"/>
      <c r="AJ56" s="238"/>
      <c r="AK56" s="241"/>
      <c r="AL56" s="123"/>
      <c r="AM56" s="123"/>
      <c r="AN56" s="113"/>
      <c r="AO56" s="114"/>
      <c r="AP56" s="115"/>
      <c r="AQ56" s="115"/>
      <c r="AR56" s="115"/>
      <c r="AS56" s="115"/>
      <c r="AT56" s="116"/>
    </row>
    <row r="57" spans="1:47" ht="39" customHeight="1" x14ac:dyDescent="0.25">
      <c r="A57" s="1468">
        <v>56</v>
      </c>
      <c r="B57" s="119">
        <v>16</v>
      </c>
      <c r="C57" s="240" t="s">
        <v>234</v>
      </c>
      <c r="D57" s="241"/>
      <c r="E57" s="242" t="s">
        <v>47</v>
      </c>
      <c r="F57" s="241"/>
      <c r="G57" s="243" t="s">
        <v>235</v>
      </c>
      <c r="H57" s="319" t="s">
        <v>78</v>
      </c>
      <c r="I57" s="319"/>
      <c r="J57" s="245">
        <v>300</v>
      </c>
      <c r="K57" s="216" t="s">
        <v>50</v>
      </c>
      <c r="L57" s="269" t="s">
        <v>236</v>
      </c>
      <c r="M57" s="269" t="s">
        <v>236</v>
      </c>
      <c r="N57" s="245"/>
      <c r="O57" s="216" t="s">
        <v>237</v>
      </c>
      <c r="P57" s="287"/>
      <c r="Q57" s="248" t="s">
        <v>78</v>
      </c>
      <c r="R57" s="259" t="s">
        <v>238</v>
      </c>
      <c r="S57" s="279">
        <v>33345</v>
      </c>
      <c r="T57" s="250"/>
      <c r="U57" s="251" t="s">
        <v>54</v>
      </c>
      <c r="V57" s="197" t="s">
        <v>239</v>
      </c>
      <c r="W57" s="197" t="s">
        <v>56</v>
      </c>
      <c r="X57" s="197" t="s">
        <v>57</v>
      </c>
      <c r="Y57" s="197" t="s">
        <v>58</v>
      </c>
      <c r="Z57" s="246">
        <v>44854</v>
      </c>
      <c r="AA57" s="252"/>
      <c r="AB57" s="245" t="s">
        <v>240</v>
      </c>
      <c r="AC57" s="223" t="s">
        <v>358</v>
      </c>
      <c r="AD57" s="245" t="s">
        <v>241</v>
      </c>
      <c r="AE57" s="269">
        <v>39448</v>
      </c>
      <c r="AF57" s="246">
        <v>44734</v>
      </c>
      <c r="AG57" s="241" t="s">
        <v>61</v>
      </c>
      <c r="AH57" s="253"/>
      <c r="AI57" s="254"/>
      <c r="AJ57" s="255" t="s">
        <v>62</v>
      </c>
      <c r="AK57" s="242">
        <v>1</v>
      </c>
      <c r="AL57" s="123" t="s">
        <v>63</v>
      </c>
      <c r="AM57" s="123" t="s">
        <v>63</v>
      </c>
      <c r="AN57" s="124"/>
      <c r="AO57" s="124">
        <v>162398</v>
      </c>
      <c r="AP57" s="115"/>
      <c r="AQ57" s="115"/>
      <c r="AR57" s="115"/>
      <c r="AS57" s="115"/>
      <c r="AT57" s="115"/>
    </row>
    <row r="58" spans="1:47" ht="39" customHeight="1" x14ac:dyDescent="0.25">
      <c r="A58" s="1468">
        <v>57</v>
      </c>
      <c r="B58" s="117"/>
      <c r="C58" s="260" t="s">
        <v>142</v>
      </c>
      <c r="D58" s="241"/>
      <c r="E58" s="241"/>
      <c r="F58" s="241"/>
      <c r="G58" s="261" t="s">
        <v>143</v>
      </c>
      <c r="H58" s="262" t="s">
        <v>74</v>
      </c>
      <c r="I58" s="262"/>
      <c r="J58" s="256"/>
      <c r="K58" s="216"/>
      <c r="L58" s="256"/>
      <c r="M58" s="256" t="s">
        <v>242</v>
      </c>
      <c r="N58" s="256"/>
      <c r="O58" s="216"/>
      <c r="P58" s="247"/>
      <c r="Q58" s="663" t="s">
        <v>74</v>
      </c>
      <c r="R58" s="683" t="s">
        <v>1343</v>
      </c>
      <c r="S58" s="279">
        <v>25343</v>
      </c>
      <c r="T58" s="197"/>
      <c r="U58" s="250"/>
      <c r="V58" s="197" t="s">
        <v>5067</v>
      </c>
      <c r="W58" s="197" t="s">
        <v>2381</v>
      </c>
      <c r="X58" s="197" t="s">
        <v>5072</v>
      </c>
      <c r="Y58" s="197" t="s">
        <v>5071</v>
      </c>
      <c r="Z58" s="246">
        <v>45275</v>
      </c>
      <c r="AA58" s="246">
        <v>45289</v>
      </c>
      <c r="AB58" s="245"/>
      <c r="AC58" s="223" t="s">
        <v>1345</v>
      </c>
      <c r="AD58" s="245"/>
      <c r="AE58" s="246"/>
      <c r="AF58" s="246"/>
      <c r="AG58" s="241" t="s">
        <v>75</v>
      </c>
      <c r="AH58" s="253"/>
      <c r="AI58" s="254"/>
      <c r="AJ58" s="253" t="s">
        <v>146</v>
      </c>
      <c r="AK58" s="241" t="s">
        <v>74</v>
      </c>
      <c r="AL58" s="123" t="s">
        <v>63</v>
      </c>
      <c r="AM58" s="123" t="s">
        <v>63</v>
      </c>
      <c r="AN58" s="110"/>
      <c r="AO58" s="110"/>
      <c r="AP58" s="115"/>
      <c r="AQ58" s="115"/>
      <c r="AR58" s="115"/>
      <c r="AS58" s="115"/>
      <c r="AT58" s="115"/>
    </row>
    <row r="59" spans="1:47" ht="39" customHeight="1" x14ac:dyDescent="0.25">
      <c r="A59" s="1468">
        <v>58</v>
      </c>
      <c r="B59" s="117"/>
      <c r="C59" s="324"/>
      <c r="D59" s="664"/>
      <c r="E59" s="664"/>
      <c r="F59" s="664"/>
      <c r="G59" s="227"/>
      <c r="H59" s="228"/>
      <c r="I59" s="228"/>
      <c r="J59" s="229"/>
      <c r="K59" s="227"/>
      <c r="L59" s="229"/>
      <c r="M59" s="229"/>
      <c r="N59" s="232"/>
      <c r="O59" s="232"/>
      <c r="P59" s="230" t="s">
        <v>243</v>
      </c>
      <c r="Q59" s="664"/>
      <c r="R59" s="197"/>
      <c r="S59" s="279"/>
      <c r="T59" s="232"/>
      <c r="U59" s="250"/>
      <c r="V59" s="232"/>
      <c r="W59" s="232"/>
      <c r="X59" s="232"/>
      <c r="Y59" s="232"/>
      <c r="Z59" s="233"/>
      <c r="AA59" s="234"/>
      <c r="AB59" s="235"/>
      <c r="AC59" s="236"/>
      <c r="AD59" s="235"/>
      <c r="AE59" s="237"/>
      <c r="AF59" s="233"/>
      <c r="AG59" s="664"/>
      <c r="AH59" s="238"/>
      <c r="AI59" s="239"/>
      <c r="AJ59" s="238"/>
      <c r="AK59" s="241"/>
      <c r="AL59" s="123"/>
      <c r="AM59" s="123"/>
      <c r="AN59" s="113"/>
      <c r="AO59" s="114"/>
      <c r="AP59" s="115"/>
      <c r="AQ59" s="115"/>
      <c r="AR59" s="115"/>
      <c r="AS59" s="115"/>
      <c r="AT59" s="116"/>
    </row>
    <row r="60" spans="1:47" ht="39" customHeight="1" x14ac:dyDescent="0.25">
      <c r="A60" s="1468">
        <v>59</v>
      </c>
      <c r="B60" s="119">
        <v>16</v>
      </c>
      <c r="C60" s="240" t="s">
        <v>244</v>
      </c>
      <c r="D60" s="241"/>
      <c r="E60" s="242" t="s">
        <v>47</v>
      </c>
      <c r="F60" s="241"/>
      <c r="G60" s="243" t="s">
        <v>245</v>
      </c>
      <c r="H60" s="244" t="s">
        <v>78</v>
      </c>
      <c r="I60" s="244"/>
      <c r="J60" s="245">
        <v>300</v>
      </c>
      <c r="K60" s="216"/>
      <c r="L60" s="269"/>
      <c r="M60" s="269"/>
      <c r="N60" s="245"/>
      <c r="O60" s="216"/>
      <c r="P60" s="247"/>
      <c r="Q60" s="248"/>
      <c r="R60" s="259" t="s">
        <v>66</v>
      </c>
      <c r="S60" s="279"/>
      <c r="T60" s="250"/>
      <c r="U60" s="197"/>
      <c r="V60" s="197"/>
      <c r="W60" s="197"/>
      <c r="X60" s="197"/>
      <c r="Y60" s="197"/>
      <c r="Z60" s="246"/>
      <c r="AA60" s="252"/>
      <c r="AB60" s="245"/>
      <c r="AC60" s="223"/>
      <c r="AD60" s="245"/>
      <c r="AE60" s="269"/>
      <c r="AF60" s="246"/>
      <c r="AG60" s="241"/>
      <c r="AH60" s="253"/>
      <c r="AI60" s="254"/>
      <c r="AJ60" s="255"/>
      <c r="AK60" s="242">
        <v>1</v>
      </c>
      <c r="AL60" s="123" t="s">
        <v>63</v>
      </c>
      <c r="AM60" s="123" t="s">
        <v>63</v>
      </c>
      <c r="AN60" s="124"/>
      <c r="AO60" s="124">
        <v>167648</v>
      </c>
      <c r="AP60" s="115"/>
      <c r="AQ60" s="115"/>
      <c r="AR60" s="115"/>
      <c r="AS60" s="115"/>
      <c r="AT60" s="115"/>
    </row>
    <row r="61" spans="1:47" ht="39" customHeight="1" x14ac:dyDescent="0.25">
      <c r="A61" s="1468">
        <v>60</v>
      </c>
      <c r="B61" s="117"/>
      <c r="C61" s="260" t="s">
        <v>142</v>
      </c>
      <c r="D61" s="241"/>
      <c r="E61" s="241"/>
      <c r="F61" s="241"/>
      <c r="G61" s="261" t="s">
        <v>143</v>
      </c>
      <c r="H61" s="262" t="s">
        <v>74</v>
      </c>
      <c r="I61" s="262"/>
      <c r="J61" s="336"/>
      <c r="K61" s="216"/>
      <c r="L61" s="256"/>
      <c r="M61" s="256" t="s">
        <v>231</v>
      </c>
      <c r="N61" s="336"/>
      <c r="O61" s="216"/>
      <c r="P61" s="287"/>
      <c r="Q61" s="663" t="s">
        <v>74</v>
      </c>
      <c r="R61" s="993" t="s">
        <v>246</v>
      </c>
      <c r="S61" s="279">
        <v>22246</v>
      </c>
      <c r="T61" s="197"/>
      <c r="U61" s="250"/>
      <c r="V61" s="197"/>
      <c r="W61" s="197"/>
      <c r="X61" s="197"/>
      <c r="Y61" s="197"/>
      <c r="Z61" s="246"/>
      <c r="AA61" s="197"/>
      <c r="AB61" s="241"/>
      <c r="AC61" s="223" t="s">
        <v>1345</v>
      </c>
      <c r="AD61" s="241"/>
      <c r="AE61" s="269">
        <v>44242</v>
      </c>
      <c r="AF61" s="246"/>
      <c r="AG61" s="241" t="s">
        <v>75</v>
      </c>
      <c r="AH61" s="241"/>
      <c r="AI61" s="284"/>
      <c r="AJ61" s="241" t="s">
        <v>146</v>
      </c>
      <c r="AK61" s="241" t="s">
        <v>74</v>
      </c>
      <c r="AL61" s="123" t="s">
        <v>63</v>
      </c>
      <c r="AM61" s="123" t="s">
        <v>63</v>
      </c>
      <c r="AN61" s="110"/>
      <c r="AO61" s="110"/>
      <c r="AP61" s="115"/>
      <c r="AQ61" s="115"/>
      <c r="AR61" s="115"/>
      <c r="AS61" s="115"/>
      <c r="AT61" s="115"/>
    </row>
    <row r="62" spans="1:47" ht="39" customHeight="1" x14ac:dyDescent="0.25">
      <c r="A62" s="1468">
        <v>61</v>
      </c>
      <c r="B62" s="117"/>
      <c r="C62" s="324"/>
      <c r="D62" s="664"/>
      <c r="E62" s="664"/>
      <c r="F62" s="664"/>
      <c r="G62" s="227"/>
      <c r="H62" s="228"/>
      <c r="I62" s="228"/>
      <c r="J62" s="229"/>
      <c r="K62" s="227"/>
      <c r="L62" s="229"/>
      <c r="M62" s="229"/>
      <c r="N62" s="232"/>
      <c r="O62" s="232"/>
      <c r="P62" s="230" t="s">
        <v>247</v>
      </c>
      <c r="Q62" s="232"/>
      <c r="R62" s="232"/>
      <c r="S62" s="279"/>
      <c r="T62" s="232"/>
      <c r="U62" s="250"/>
      <c r="V62" s="232"/>
      <c r="W62" s="232"/>
      <c r="X62" s="232"/>
      <c r="Y62" s="232"/>
      <c r="Z62" s="233"/>
      <c r="AA62" s="234"/>
      <c r="AB62" s="235"/>
      <c r="AC62" s="236"/>
      <c r="AD62" s="235"/>
      <c r="AE62" s="237"/>
      <c r="AF62" s="233"/>
      <c r="AG62" s="664"/>
      <c r="AH62" s="238"/>
      <c r="AI62" s="239"/>
      <c r="AJ62" s="238"/>
      <c r="AK62" s="241"/>
      <c r="AL62" s="123"/>
      <c r="AM62" s="123"/>
      <c r="AN62" s="113"/>
      <c r="AO62" s="114"/>
      <c r="AP62" s="115"/>
      <c r="AQ62" s="115"/>
      <c r="AR62" s="115"/>
      <c r="AS62" s="115"/>
      <c r="AT62" s="116"/>
    </row>
    <row r="63" spans="1:47" ht="39" customHeight="1" x14ac:dyDescent="0.25">
      <c r="A63" s="1468">
        <v>62</v>
      </c>
      <c r="B63" s="119">
        <v>16</v>
      </c>
      <c r="C63" s="240" t="s">
        <v>248</v>
      </c>
      <c r="D63" s="241"/>
      <c r="E63" s="242" t="s">
        <v>47</v>
      </c>
      <c r="F63" s="241"/>
      <c r="G63" s="243" t="s">
        <v>249</v>
      </c>
      <c r="H63" s="244" t="s">
        <v>78</v>
      </c>
      <c r="I63" s="244"/>
      <c r="J63" s="245">
        <v>300</v>
      </c>
      <c r="K63" s="216" t="s">
        <v>50</v>
      </c>
      <c r="L63" s="281" t="s">
        <v>214</v>
      </c>
      <c r="M63" s="281" t="s">
        <v>215</v>
      </c>
      <c r="N63" s="281"/>
      <c r="O63" s="216" t="s">
        <v>3322</v>
      </c>
      <c r="P63" s="325"/>
      <c r="Q63" s="326" t="s">
        <v>119</v>
      </c>
      <c r="R63" s="1164" t="s">
        <v>217</v>
      </c>
      <c r="S63" s="279">
        <v>36444</v>
      </c>
      <c r="T63" s="252"/>
      <c r="U63" s="251" t="s">
        <v>54</v>
      </c>
      <c r="V63" s="197" t="s">
        <v>2328</v>
      </c>
      <c r="W63" s="197" t="s">
        <v>56</v>
      </c>
      <c r="X63" s="197" t="s">
        <v>57</v>
      </c>
      <c r="Y63" s="250" t="s">
        <v>1471</v>
      </c>
      <c r="Z63" s="246">
        <v>45104</v>
      </c>
      <c r="AA63" s="327"/>
      <c r="AB63" s="282" t="s">
        <v>218</v>
      </c>
      <c r="AC63" s="223" t="s">
        <v>358</v>
      </c>
      <c r="AD63" s="282" t="s">
        <v>219</v>
      </c>
      <c r="AE63" s="252"/>
      <c r="AF63" s="252"/>
      <c r="AG63" s="282" t="s">
        <v>61</v>
      </c>
      <c r="AH63" s="283"/>
      <c r="AI63" s="328"/>
      <c r="AJ63" s="255" t="s">
        <v>62</v>
      </c>
      <c r="AK63" s="242">
        <v>1</v>
      </c>
      <c r="AL63" s="123" t="s">
        <v>63</v>
      </c>
      <c r="AM63" s="123" t="s">
        <v>63</v>
      </c>
      <c r="AN63" s="124"/>
      <c r="AO63" s="124">
        <v>167121</v>
      </c>
      <c r="AP63" s="115"/>
      <c r="AQ63" s="115"/>
      <c r="AR63" s="115"/>
      <c r="AS63" s="115"/>
      <c r="AT63" s="115"/>
      <c r="AU63" s="115" t="s">
        <v>2618</v>
      </c>
    </row>
    <row r="64" spans="1:47" ht="39" customHeight="1" x14ac:dyDescent="0.25">
      <c r="A64" s="1468">
        <v>63</v>
      </c>
      <c r="B64" s="117"/>
      <c r="C64" s="260" t="s">
        <v>142</v>
      </c>
      <c r="D64" s="241"/>
      <c r="E64" s="241"/>
      <c r="F64" s="241"/>
      <c r="G64" s="261" t="s">
        <v>143</v>
      </c>
      <c r="H64" s="262" t="s">
        <v>74</v>
      </c>
      <c r="I64" s="262"/>
      <c r="J64" s="256"/>
      <c r="K64" s="216"/>
      <c r="L64" s="256"/>
      <c r="M64" s="256" t="s">
        <v>250</v>
      </c>
      <c r="N64" s="256"/>
      <c r="O64" s="216"/>
      <c r="P64" s="247"/>
      <c r="Q64" s="663" t="s">
        <v>74</v>
      </c>
      <c r="R64" s="683" t="s">
        <v>251</v>
      </c>
      <c r="S64" s="279">
        <v>30075</v>
      </c>
      <c r="T64" s="197"/>
      <c r="U64" s="250"/>
      <c r="V64" s="197"/>
      <c r="W64" s="197"/>
      <c r="X64" s="197"/>
      <c r="Y64" s="197"/>
      <c r="Z64" s="246"/>
      <c r="AA64" s="246"/>
      <c r="AB64" s="245"/>
      <c r="AC64" s="223" t="s">
        <v>1345</v>
      </c>
      <c r="AD64" s="245"/>
      <c r="AE64" s="269">
        <v>44274</v>
      </c>
      <c r="AF64" s="258"/>
      <c r="AG64" s="241" t="s">
        <v>75</v>
      </c>
      <c r="AH64" s="253"/>
      <c r="AI64" s="254"/>
      <c r="AJ64" s="253" t="s">
        <v>146</v>
      </c>
      <c r="AK64" s="241" t="s">
        <v>74</v>
      </c>
      <c r="AL64" s="123" t="s">
        <v>63</v>
      </c>
      <c r="AM64" s="123" t="s">
        <v>63</v>
      </c>
      <c r="AN64" s="110"/>
      <c r="AO64" s="110"/>
      <c r="AP64" s="115"/>
      <c r="AQ64" s="115"/>
      <c r="AR64" s="115"/>
      <c r="AS64" s="115"/>
      <c r="AT64" s="115"/>
    </row>
    <row r="65" spans="1:46" ht="39" customHeight="1" x14ac:dyDescent="0.25">
      <c r="A65" s="1468">
        <v>64</v>
      </c>
      <c r="B65" s="117"/>
      <c r="C65" s="324"/>
      <c r="D65" s="664"/>
      <c r="E65" s="664"/>
      <c r="F65" s="664"/>
      <c r="G65" s="227"/>
      <c r="H65" s="228"/>
      <c r="I65" s="228"/>
      <c r="J65" s="229"/>
      <c r="K65" s="227"/>
      <c r="L65" s="229"/>
      <c r="M65" s="232"/>
      <c r="N65" s="232"/>
      <c r="O65" s="232"/>
      <c r="P65" s="230" t="s">
        <v>5938</v>
      </c>
      <c r="Q65" s="663"/>
      <c r="R65" s="232"/>
      <c r="S65" s="279"/>
      <c r="T65" s="232"/>
      <c r="U65" s="232"/>
      <c r="V65" s="232"/>
      <c r="W65" s="232"/>
      <c r="X65" s="232"/>
      <c r="Y65" s="232"/>
      <c r="Z65" s="233"/>
      <c r="AA65" s="234"/>
      <c r="AB65" s="235"/>
      <c r="AC65" s="236"/>
      <c r="AD65" s="235"/>
      <c r="AE65" s="237"/>
      <c r="AF65" s="233"/>
      <c r="AG65" s="664"/>
      <c r="AH65" s="238"/>
      <c r="AI65" s="239"/>
      <c r="AJ65" s="238"/>
      <c r="AK65" s="241"/>
      <c r="AL65" s="123"/>
      <c r="AM65" s="123"/>
      <c r="AN65" s="113"/>
      <c r="AO65" s="114"/>
      <c r="AP65" s="115"/>
      <c r="AQ65" s="115"/>
      <c r="AR65" s="115"/>
      <c r="AS65" s="115"/>
      <c r="AT65" s="116"/>
    </row>
    <row r="66" spans="1:46" ht="50.25" customHeight="1" x14ac:dyDescent="0.25">
      <c r="A66" s="1468">
        <v>65</v>
      </c>
      <c r="B66" s="119">
        <v>14</v>
      </c>
      <c r="C66" s="240" t="s">
        <v>252</v>
      </c>
      <c r="D66" s="241"/>
      <c r="E66" s="242" t="s">
        <v>47</v>
      </c>
      <c r="F66" s="241"/>
      <c r="G66" s="243" t="s">
        <v>253</v>
      </c>
      <c r="H66" s="319" t="s">
        <v>78</v>
      </c>
      <c r="I66" s="319"/>
      <c r="J66" s="245">
        <v>300</v>
      </c>
      <c r="K66" s="216" t="s">
        <v>254</v>
      </c>
      <c r="L66" s="256" t="s">
        <v>255</v>
      </c>
      <c r="M66" s="256" t="s">
        <v>256</v>
      </c>
      <c r="N66" s="245"/>
      <c r="O66" s="216" t="s">
        <v>257</v>
      </c>
      <c r="P66" s="287"/>
      <c r="Q66" s="248" t="s">
        <v>83</v>
      </c>
      <c r="R66" s="259" t="s">
        <v>258</v>
      </c>
      <c r="S66" s="279">
        <v>33894</v>
      </c>
      <c r="T66" s="197"/>
      <c r="U66" s="197"/>
      <c r="V66" s="197"/>
      <c r="W66" s="250"/>
      <c r="X66" s="197"/>
      <c r="Y66" s="981"/>
      <c r="Z66" s="246"/>
      <c r="AA66" s="252"/>
      <c r="AB66" s="245"/>
      <c r="AC66" s="223" t="s">
        <v>358</v>
      </c>
      <c r="AD66" s="245" t="s">
        <v>259</v>
      </c>
      <c r="AE66" s="258">
        <v>42583</v>
      </c>
      <c r="AF66" s="258">
        <v>46192</v>
      </c>
      <c r="AG66" s="241" t="s">
        <v>61</v>
      </c>
      <c r="AH66" s="253"/>
      <c r="AI66" s="254"/>
      <c r="AJ66" s="255" t="s">
        <v>62</v>
      </c>
      <c r="AK66" s="242">
        <v>1</v>
      </c>
      <c r="AL66" s="123" t="s">
        <v>63</v>
      </c>
      <c r="AM66" s="123" t="s">
        <v>63</v>
      </c>
      <c r="AN66" s="124"/>
      <c r="AO66" s="124">
        <v>122684</v>
      </c>
      <c r="AP66" s="115"/>
      <c r="AQ66" s="115"/>
      <c r="AR66" s="115"/>
      <c r="AS66" s="115"/>
      <c r="AT66" s="115"/>
    </row>
    <row r="67" spans="1:46" ht="39" customHeight="1" x14ac:dyDescent="0.25">
      <c r="A67" s="1468">
        <v>66</v>
      </c>
      <c r="B67" s="117"/>
      <c r="C67" s="260" t="s">
        <v>260</v>
      </c>
      <c r="D67" s="241"/>
      <c r="E67" s="241"/>
      <c r="F67" s="241"/>
      <c r="G67" s="261" t="s">
        <v>261</v>
      </c>
      <c r="H67" s="262" t="s">
        <v>74</v>
      </c>
      <c r="I67" s="262"/>
      <c r="J67" s="245"/>
      <c r="K67" s="216"/>
      <c r="L67" s="245"/>
      <c r="M67" s="197" t="s">
        <v>262</v>
      </c>
      <c r="N67" s="245"/>
      <c r="O67" s="216"/>
      <c r="P67" s="247"/>
      <c r="Q67" s="663" t="s">
        <v>74</v>
      </c>
      <c r="R67" s="683" t="s">
        <v>263</v>
      </c>
      <c r="S67" s="279">
        <v>29377</v>
      </c>
      <c r="T67" s="197"/>
      <c r="U67" s="250"/>
      <c r="V67" s="197" t="s">
        <v>6163</v>
      </c>
      <c r="W67" s="197" t="s">
        <v>2381</v>
      </c>
      <c r="X67" s="197" t="s">
        <v>6176</v>
      </c>
      <c r="Y67" s="949" t="s">
        <v>6177</v>
      </c>
      <c r="Z67" s="246">
        <v>45329</v>
      </c>
      <c r="AA67" s="337" t="s">
        <v>6178</v>
      </c>
      <c r="AB67" s="245"/>
      <c r="AC67" s="223" t="s">
        <v>1345</v>
      </c>
      <c r="AD67" s="245"/>
      <c r="AE67" s="246"/>
      <c r="AF67" s="246"/>
      <c r="AG67" s="241" t="s">
        <v>75</v>
      </c>
      <c r="AH67" s="253"/>
      <c r="AI67" s="254"/>
      <c r="AJ67" s="253" t="s">
        <v>146</v>
      </c>
      <c r="AK67" s="241" t="s">
        <v>74</v>
      </c>
      <c r="AL67" s="123" t="s">
        <v>63</v>
      </c>
      <c r="AM67" s="123" t="s">
        <v>63</v>
      </c>
      <c r="AN67" s="110"/>
      <c r="AO67" s="110"/>
      <c r="AP67" s="115"/>
      <c r="AQ67" s="115"/>
      <c r="AR67" s="115"/>
      <c r="AS67" s="115"/>
      <c r="AT67" s="115"/>
    </row>
    <row r="68" spans="1:46" ht="39" customHeight="1" x14ac:dyDescent="0.25">
      <c r="A68" s="1468">
        <v>67</v>
      </c>
      <c r="B68" s="117"/>
      <c r="C68" s="260" t="s">
        <v>260</v>
      </c>
      <c r="D68" s="241"/>
      <c r="E68" s="241"/>
      <c r="F68" s="241"/>
      <c r="G68" s="261" t="s">
        <v>261</v>
      </c>
      <c r="H68" s="262" t="s">
        <v>74</v>
      </c>
      <c r="I68" s="262"/>
      <c r="J68" s="256"/>
      <c r="K68" s="216"/>
      <c r="L68" s="256"/>
      <c r="M68" s="197"/>
      <c r="N68" s="256"/>
      <c r="O68" s="216"/>
      <c r="P68" s="247"/>
      <c r="Q68" s="663"/>
      <c r="R68" s="994" t="s">
        <v>66</v>
      </c>
      <c r="S68" s="279"/>
      <c r="T68" s="197"/>
      <c r="U68" s="414"/>
      <c r="V68" s="197"/>
      <c r="W68" s="197"/>
      <c r="X68" s="197"/>
      <c r="Y68" s="197"/>
      <c r="Z68" s="246"/>
      <c r="AA68" s="337"/>
      <c r="AB68" s="245"/>
      <c r="AC68" s="223"/>
      <c r="AD68" s="245"/>
      <c r="AE68" s="269"/>
      <c r="AF68" s="246"/>
      <c r="AG68" s="241"/>
      <c r="AH68" s="253"/>
      <c r="AI68" s="254"/>
      <c r="AJ68" s="253"/>
      <c r="AK68" s="241" t="s">
        <v>74</v>
      </c>
      <c r="AL68" s="123" t="s">
        <v>63</v>
      </c>
      <c r="AM68" s="123" t="s">
        <v>63</v>
      </c>
      <c r="AN68" s="110"/>
      <c r="AO68" s="110"/>
      <c r="AP68" s="115"/>
      <c r="AQ68" s="115"/>
      <c r="AR68" s="115"/>
      <c r="AS68" s="115"/>
      <c r="AT68" s="115"/>
    </row>
    <row r="69" spans="1:46" ht="39" customHeight="1" x14ac:dyDescent="0.25">
      <c r="A69" s="1468">
        <v>68</v>
      </c>
      <c r="B69" s="117"/>
      <c r="C69" s="324"/>
      <c r="D69" s="664"/>
      <c r="E69" s="664"/>
      <c r="F69" s="664"/>
      <c r="G69" s="227"/>
      <c r="H69" s="228"/>
      <c r="I69" s="228"/>
      <c r="J69" s="229"/>
      <c r="K69" s="227"/>
      <c r="L69" s="229"/>
      <c r="M69" s="229"/>
      <c r="N69" s="229"/>
      <c r="O69" s="229"/>
      <c r="P69" s="230" t="s">
        <v>264</v>
      </c>
      <c r="Q69" s="229"/>
      <c r="R69" s="324"/>
      <c r="S69" s="279"/>
      <c r="T69" s="229"/>
      <c r="U69" s="318"/>
      <c r="V69" s="232"/>
      <c r="W69" s="232"/>
      <c r="X69" s="232"/>
      <c r="Y69" s="232"/>
      <c r="Z69" s="233"/>
      <c r="AA69" s="234"/>
      <c r="AB69" s="235"/>
      <c r="AC69" s="236"/>
      <c r="AD69" s="235"/>
      <c r="AE69" s="237"/>
      <c r="AF69" s="233"/>
      <c r="AG69" s="664"/>
      <c r="AH69" s="238"/>
      <c r="AI69" s="239"/>
      <c r="AJ69" s="238"/>
      <c r="AK69" s="241"/>
      <c r="AL69" s="123"/>
      <c r="AM69" s="123"/>
      <c r="AN69" s="113"/>
      <c r="AO69" s="114"/>
      <c r="AP69" s="115"/>
      <c r="AQ69" s="115"/>
      <c r="AR69" s="115"/>
      <c r="AS69" s="115"/>
      <c r="AT69" s="116"/>
    </row>
    <row r="70" spans="1:46" ht="39" customHeight="1" x14ac:dyDescent="0.25">
      <c r="A70" s="1468">
        <v>69</v>
      </c>
      <c r="B70" s="117"/>
      <c r="C70" s="324"/>
      <c r="D70" s="664"/>
      <c r="E70" s="664"/>
      <c r="F70" s="664"/>
      <c r="G70" s="227"/>
      <c r="H70" s="228"/>
      <c r="I70" s="228"/>
      <c r="J70" s="229"/>
      <c r="K70" s="227"/>
      <c r="L70" s="229"/>
      <c r="M70" s="229"/>
      <c r="N70" s="229"/>
      <c r="O70" s="229"/>
      <c r="P70" s="230" t="s">
        <v>45</v>
      </c>
      <c r="Q70" s="229"/>
      <c r="R70" s="455"/>
      <c r="S70" s="279"/>
      <c r="T70" s="229"/>
      <c r="U70" s="318"/>
      <c r="V70" s="232"/>
      <c r="W70" s="232"/>
      <c r="X70" s="232"/>
      <c r="Y70" s="232"/>
      <c r="Z70" s="233"/>
      <c r="AA70" s="234"/>
      <c r="AB70" s="235"/>
      <c r="AC70" s="236"/>
      <c r="AD70" s="235"/>
      <c r="AE70" s="237"/>
      <c r="AF70" s="233"/>
      <c r="AG70" s="664"/>
      <c r="AH70" s="238"/>
      <c r="AI70" s="239"/>
      <c r="AJ70" s="238"/>
      <c r="AK70" s="241"/>
      <c r="AL70" s="123"/>
      <c r="AM70" s="123"/>
      <c r="AN70" s="113"/>
      <c r="AO70" s="114"/>
      <c r="AP70" s="115"/>
      <c r="AQ70" s="115"/>
      <c r="AR70" s="115"/>
      <c r="AS70" s="115"/>
      <c r="AT70" s="116"/>
    </row>
    <row r="71" spans="1:46" ht="39" customHeight="1" x14ac:dyDescent="0.25">
      <c r="A71" s="1468">
        <v>70</v>
      </c>
      <c r="B71" s="117"/>
      <c r="C71" s="324"/>
      <c r="D71" s="664"/>
      <c r="E71" s="664"/>
      <c r="F71" s="664"/>
      <c r="G71" s="227"/>
      <c r="H71" s="228"/>
      <c r="I71" s="228"/>
      <c r="J71" s="229"/>
      <c r="K71" s="227"/>
      <c r="L71" s="229"/>
      <c r="M71" s="229"/>
      <c r="N71" s="229"/>
      <c r="O71" s="229"/>
      <c r="P71" s="230" t="s">
        <v>44</v>
      </c>
      <c r="Q71" s="229"/>
      <c r="R71" s="324"/>
      <c r="S71" s="279"/>
      <c r="T71" s="229"/>
      <c r="U71" s="318"/>
      <c r="V71" s="232"/>
      <c r="W71" s="232"/>
      <c r="X71" s="232"/>
      <c r="Y71" s="232"/>
      <c r="Z71" s="233"/>
      <c r="AA71" s="234"/>
      <c r="AB71" s="235"/>
      <c r="AC71" s="236"/>
      <c r="AD71" s="235"/>
      <c r="AE71" s="237"/>
      <c r="AF71" s="233"/>
      <c r="AG71" s="664"/>
      <c r="AH71" s="238"/>
      <c r="AI71" s="239"/>
      <c r="AJ71" s="238"/>
      <c r="AK71" s="241"/>
      <c r="AL71" s="123"/>
      <c r="AM71" s="123"/>
      <c r="AN71" s="113"/>
      <c r="AO71" s="114"/>
      <c r="AP71" s="115"/>
      <c r="AQ71" s="115"/>
      <c r="AR71" s="115"/>
      <c r="AS71" s="115"/>
      <c r="AT71" s="116"/>
    </row>
    <row r="72" spans="1:46" ht="39" customHeight="1" x14ac:dyDescent="0.25">
      <c r="A72" s="1468">
        <v>71</v>
      </c>
      <c r="B72" s="119">
        <v>18</v>
      </c>
      <c r="C72" s="240" t="s">
        <v>265</v>
      </c>
      <c r="D72" s="282"/>
      <c r="E72" s="338" t="s">
        <v>47</v>
      </c>
      <c r="F72" s="282"/>
      <c r="G72" s="339" t="s">
        <v>91</v>
      </c>
      <c r="H72" s="340" t="s">
        <v>65</v>
      </c>
      <c r="I72" s="340"/>
      <c r="J72" s="245">
        <v>202</v>
      </c>
      <c r="K72" s="216" t="s">
        <v>50</v>
      </c>
      <c r="L72" s="269" t="s">
        <v>181</v>
      </c>
      <c r="M72" s="269" t="s">
        <v>182</v>
      </c>
      <c r="N72" s="256"/>
      <c r="O72" s="216" t="s">
        <v>183</v>
      </c>
      <c r="P72" s="287"/>
      <c r="Q72" s="687" t="s">
        <v>65</v>
      </c>
      <c r="R72" s="1164" t="s">
        <v>184</v>
      </c>
      <c r="S72" s="279">
        <v>31842</v>
      </c>
      <c r="T72" s="250"/>
      <c r="U72" s="251" t="s">
        <v>54</v>
      </c>
      <c r="V72" s="197" t="s">
        <v>5171</v>
      </c>
      <c r="W72" s="197" t="s">
        <v>56</v>
      </c>
      <c r="X72" s="197" t="s">
        <v>57</v>
      </c>
      <c r="Y72" s="197" t="s">
        <v>4631</v>
      </c>
      <c r="Z72" s="246">
        <v>45263</v>
      </c>
      <c r="AA72" s="246"/>
      <c r="AB72" s="241"/>
      <c r="AC72" s="223" t="s">
        <v>358</v>
      </c>
      <c r="AD72" s="241" t="s">
        <v>185</v>
      </c>
      <c r="AE72" s="269"/>
      <c r="AF72" s="258">
        <v>45462</v>
      </c>
      <c r="AG72" s="241" t="s">
        <v>61</v>
      </c>
      <c r="AH72" s="253"/>
      <c r="AI72" s="254"/>
      <c r="AJ72" s="255" t="s">
        <v>62</v>
      </c>
      <c r="AK72" s="242">
        <v>1</v>
      </c>
      <c r="AL72" s="123" t="s">
        <v>266</v>
      </c>
      <c r="AM72" s="123" t="s">
        <v>267</v>
      </c>
      <c r="AN72" s="124"/>
      <c r="AO72" s="124"/>
      <c r="AP72" s="115"/>
      <c r="AQ72" s="115"/>
      <c r="AR72" s="115"/>
      <c r="AS72" s="115"/>
      <c r="AT72" s="115"/>
    </row>
    <row r="73" spans="1:46" ht="39" customHeight="1" x14ac:dyDescent="0.25">
      <c r="A73" s="1468">
        <v>72</v>
      </c>
      <c r="B73" s="119">
        <v>16</v>
      </c>
      <c r="C73" s="341" t="s">
        <v>268</v>
      </c>
      <c r="D73" s="282"/>
      <c r="E73" s="338" t="s">
        <v>47</v>
      </c>
      <c r="F73" s="282"/>
      <c r="G73" s="339" t="s">
        <v>269</v>
      </c>
      <c r="H73" s="340" t="s">
        <v>92</v>
      </c>
      <c r="I73" s="340"/>
      <c r="J73" s="245">
        <v>204</v>
      </c>
      <c r="K73" s="197" t="s">
        <v>50</v>
      </c>
      <c r="L73" s="441"/>
      <c r="M73" s="441"/>
      <c r="N73" s="276"/>
      <c r="O73" s="1476" t="s">
        <v>3198</v>
      </c>
      <c r="P73" s="278"/>
      <c r="Q73" s="442" t="s">
        <v>83</v>
      </c>
      <c r="R73" s="259" t="s">
        <v>1061</v>
      </c>
      <c r="S73" s="279">
        <v>34592</v>
      </c>
      <c r="T73" s="443"/>
      <c r="U73" s="251" t="s">
        <v>54</v>
      </c>
      <c r="V73" s="280" t="s">
        <v>1062</v>
      </c>
      <c r="W73" s="197" t="s">
        <v>56</v>
      </c>
      <c r="X73" s="197" t="s">
        <v>57</v>
      </c>
      <c r="Y73" s="197" t="s">
        <v>1063</v>
      </c>
      <c r="Z73" s="246">
        <v>44897</v>
      </c>
      <c r="AA73" s="246"/>
      <c r="AB73" s="281"/>
      <c r="AC73" s="223"/>
      <c r="AD73" s="281"/>
      <c r="AE73" s="252"/>
      <c r="AF73" s="252"/>
      <c r="AG73" s="282"/>
      <c r="AH73" s="283"/>
      <c r="AI73" s="296"/>
      <c r="AJ73" s="444" t="s">
        <v>62</v>
      </c>
      <c r="AK73" s="242">
        <v>1</v>
      </c>
      <c r="AL73" s="123" t="s">
        <v>266</v>
      </c>
      <c r="AM73" s="123" t="s">
        <v>267</v>
      </c>
      <c r="AN73" s="124"/>
      <c r="AO73" s="124"/>
      <c r="AP73" s="115"/>
      <c r="AQ73" s="115"/>
      <c r="AR73" s="115"/>
      <c r="AS73" s="115"/>
      <c r="AT73" s="115"/>
    </row>
    <row r="74" spans="1:46" ht="39" customHeight="1" x14ac:dyDescent="0.3">
      <c r="A74" s="1468">
        <v>73</v>
      </c>
      <c r="B74" s="119">
        <v>16</v>
      </c>
      <c r="C74" s="341" t="s">
        <v>270</v>
      </c>
      <c r="D74" s="282"/>
      <c r="E74" s="338" t="s">
        <v>47</v>
      </c>
      <c r="F74" s="282"/>
      <c r="G74" s="339" t="s">
        <v>271</v>
      </c>
      <c r="H74" s="340" t="s">
        <v>92</v>
      </c>
      <c r="I74" s="340"/>
      <c r="J74" s="245">
        <v>204</v>
      </c>
      <c r="K74" s="197" t="s">
        <v>50</v>
      </c>
      <c r="L74" s="1476" t="s">
        <v>1815</v>
      </c>
      <c r="M74" s="1476" t="s">
        <v>1815</v>
      </c>
      <c r="N74" s="1476"/>
      <c r="O74" s="1477" t="s">
        <v>1814</v>
      </c>
      <c r="P74" s="247"/>
      <c r="Q74" s="687" t="s">
        <v>92</v>
      </c>
      <c r="R74" s="990" t="s">
        <v>1813</v>
      </c>
      <c r="S74" s="279">
        <v>36295</v>
      </c>
      <c r="T74" s="595"/>
      <c r="U74" s="251" t="s">
        <v>54</v>
      </c>
      <c r="V74" s="252" t="s">
        <v>2032</v>
      </c>
      <c r="W74" s="197" t="s">
        <v>56</v>
      </c>
      <c r="X74" s="197" t="s">
        <v>57</v>
      </c>
      <c r="Y74" s="1112" t="s">
        <v>2038</v>
      </c>
      <c r="Z74" s="252">
        <v>45156</v>
      </c>
      <c r="AA74" s="595"/>
      <c r="AB74" s="1289"/>
      <c r="AC74" s="595"/>
      <c r="AD74" s="658"/>
      <c r="AE74" s="595"/>
      <c r="AF74" s="595"/>
      <c r="AG74" s="595"/>
      <c r="AH74" s="595"/>
      <c r="AI74" s="1476"/>
      <c r="AJ74" s="242" t="s">
        <v>62</v>
      </c>
      <c r="AK74" s="242">
        <v>1</v>
      </c>
      <c r="AL74" s="123" t="s">
        <v>266</v>
      </c>
      <c r="AM74" s="123" t="s">
        <v>267</v>
      </c>
      <c r="AN74" s="124"/>
      <c r="AO74" s="124"/>
      <c r="AP74" s="115"/>
      <c r="AQ74" s="115"/>
      <c r="AR74" s="115"/>
      <c r="AS74" s="115"/>
      <c r="AT74" s="115"/>
    </row>
    <row r="75" spans="1:46" ht="39" customHeight="1" x14ac:dyDescent="0.25">
      <c r="A75" s="1468">
        <v>74</v>
      </c>
      <c r="B75" s="117"/>
      <c r="C75" s="324"/>
      <c r="D75" s="664"/>
      <c r="E75" s="664"/>
      <c r="F75" s="664"/>
      <c r="G75" s="227"/>
      <c r="H75" s="228"/>
      <c r="I75" s="228"/>
      <c r="J75" s="229"/>
      <c r="K75" s="227"/>
      <c r="L75" s="318"/>
      <c r="M75" s="318"/>
      <c r="N75" s="318"/>
      <c r="O75" s="318"/>
      <c r="P75" s="273" t="s">
        <v>88</v>
      </c>
      <c r="Q75" s="318"/>
      <c r="R75" s="232"/>
      <c r="S75" s="279"/>
      <c r="T75" s="229"/>
      <c r="U75" s="229"/>
      <c r="V75" s="229"/>
      <c r="W75" s="232"/>
      <c r="X75" s="232"/>
      <c r="Y75" s="232"/>
      <c r="Z75" s="233"/>
      <c r="AA75" s="234"/>
      <c r="AB75" s="235"/>
      <c r="AC75" s="236"/>
      <c r="AD75" s="235"/>
      <c r="AE75" s="237"/>
      <c r="AF75" s="233"/>
      <c r="AG75" s="664"/>
      <c r="AH75" s="238"/>
      <c r="AI75" s="239"/>
      <c r="AJ75" s="238"/>
      <c r="AK75" s="241"/>
      <c r="AL75" s="123"/>
      <c r="AM75" s="123"/>
      <c r="AN75" s="113"/>
      <c r="AO75" s="114"/>
      <c r="AP75" s="115"/>
      <c r="AQ75" s="115"/>
      <c r="AR75" s="115"/>
      <c r="AS75" s="115"/>
      <c r="AT75" s="116"/>
    </row>
    <row r="76" spans="1:46" ht="39" customHeight="1" x14ac:dyDescent="0.25">
      <c r="A76" s="1468">
        <v>75</v>
      </c>
      <c r="B76" s="119">
        <v>16</v>
      </c>
      <c r="C76" s="341" t="s">
        <v>272</v>
      </c>
      <c r="D76" s="282"/>
      <c r="E76" s="338" t="s">
        <v>47</v>
      </c>
      <c r="F76" s="282"/>
      <c r="G76" s="339" t="s">
        <v>91</v>
      </c>
      <c r="H76" s="340" t="s">
        <v>92</v>
      </c>
      <c r="I76" s="340"/>
      <c r="J76" s="245">
        <v>204</v>
      </c>
      <c r="K76" s="280" t="s">
        <v>50</v>
      </c>
      <c r="L76" s="441" t="s">
        <v>1908</v>
      </c>
      <c r="M76" s="441" t="s">
        <v>1908</v>
      </c>
      <c r="N76" s="276"/>
      <c r="O76" s="1477" t="s">
        <v>1907</v>
      </c>
      <c r="P76" s="318" t="s">
        <v>1828</v>
      </c>
      <c r="Q76" s="978" t="s">
        <v>78</v>
      </c>
      <c r="R76" s="995" t="s">
        <v>1906</v>
      </c>
      <c r="S76" s="279">
        <v>29686</v>
      </c>
      <c r="T76" s="443"/>
      <c r="U76" s="251" t="s">
        <v>54</v>
      </c>
      <c r="V76" s="280" t="s">
        <v>5857</v>
      </c>
      <c r="W76" s="443" t="s">
        <v>56</v>
      </c>
      <c r="X76" s="197" t="s">
        <v>57</v>
      </c>
      <c r="Y76" s="1461" t="s">
        <v>5858</v>
      </c>
      <c r="Z76" s="486">
        <v>45301</v>
      </c>
      <c r="AA76" s="486"/>
      <c r="AB76" s="441"/>
      <c r="AC76" s="488"/>
      <c r="AD76" s="441"/>
      <c r="AE76" s="494"/>
      <c r="AF76" s="494"/>
      <c r="AG76" s="476"/>
      <c r="AH76" s="489"/>
      <c r="AI76" s="490"/>
      <c r="AJ76" s="755" t="s">
        <v>62</v>
      </c>
      <c r="AK76" s="242">
        <v>1</v>
      </c>
      <c r="AL76" s="123" t="s">
        <v>266</v>
      </c>
      <c r="AM76" s="123" t="s">
        <v>267</v>
      </c>
      <c r="AN76" s="124"/>
      <c r="AO76" s="124"/>
      <c r="AP76" s="115"/>
      <c r="AQ76" s="115"/>
      <c r="AR76" s="115"/>
      <c r="AS76" s="115"/>
      <c r="AT76" s="115"/>
    </row>
    <row r="77" spans="1:46" ht="39" customHeight="1" x14ac:dyDescent="0.25">
      <c r="A77" s="1468">
        <v>76</v>
      </c>
      <c r="B77" s="128">
        <v>5</v>
      </c>
      <c r="C77" s="1121" t="s">
        <v>273</v>
      </c>
      <c r="D77" s="741"/>
      <c r="E77" s="741" t="s">
        <v>47</v>
      </c>
      <c r="F77" s="741"/>
      <c r="G77" s="1122" t="s">
        <v>274</v>
      </c>
      <c r="H77" s="1123" t="s">
        <v>132</v>
      </c>
      <c r="I77" s="1123"/>
      <c r="J77" s="256">
        <v>403</v>
      </c>
      <c r="K77" s="197"/>
      <c r="L77" s="441"/>
      <c r="M77" s="441"/>
      <c r="N77" s="276"/>
      <c r="O77" s="392"/>
      <c r="P77" s="278"/>
      <c r="Q77" s="442"/>
      <c r="R77" s="683" t="s">
        <v>66</v>
      </c>
      <c r="S77" s="279"/>
      <c r="T77" s="443"/>
      <c r="U77" s="250"/>
      <c r="V77" s="280"/>
      <c r="W77" s="197"/>
      <c r="X77" s="197"/>
      <c r="Y77" s="197"/>
      <c r="Z77" s="246"/>
      <c r="AA77" s="246"/>
      <c r="AB77" s="281"/>
      <c r="AC77" s="223"/>
      <c r="AD77" s="281"/>
      <c r="AE77" s="252"/>
      <c r="AF77" s="252"/>
      <c r="AG77" s="282"/>
      <c r="AH77" s="283"/>
      <c r="AI77" s="296"/>
      <c r="AJ77" s="444"/>
      <c r="AK77" s="743">
        <v>3</v>
      </c>
      <c r="AL77" s="1125" t="s">
        <v>266</v>
      </c>
      <c r="AM77" s="1125" t="s">
        <v>267</v>
      </c>
      <c r="AN77" s="130"/>
      <c r="AO77" s="130"/>
      <c r="AP77" s="115"/>
      <c r="AQ77" s="115"/>
      <c r="AR77" s="115"/>
      <c r="AS77" s="115"/>
      <c r="AT77" s="115"/>
    </row>
    <row r="78" spans="1:46" ht="39" customHeight="1" x14ac:dyDescent="0.25">
      <c r="A78" s="1468">
        <v>77</v>
      </c>
      <c r="B78" s="987"/>
      <c r="C78" s="989"/>
      <c r="D78" s="664"/>
      <c r="E78" s="664"/>
      <c r="F78" s="664"/>
      <c r="G78" s="227"/>
      <c r="H78" s="228"/>
      <c r="I78" s="228"/>
      <c r="J78" s="229"/>
      <c r="K78" s="227"/>
      <c r="L78" s="229"/>
      <c r="M78" s="229"/>
      <c r="N78" s="229"/>
      <c r="O78" s="309"/>
      <c r="P78" s="230" t="s">
        <v>275</v>
      </c>
      <c r="Q78" s="664"/>
      <c r="R78" s="324"/>
      <c r="S78" s="279"/>
      <c r="T78" s="229"/>
      <c r="U78" s="318"/>
      <c r="V78" s="232"/>
      <c r="W78" s="232"/>
      <c r="X78" s="232"/>
      <c r="Y78" s="232"/>
      <c r="Z78" s="233"/>
      <c r="AA78" s="234"/>
      <c r="AB78" s="235"/>
      <c r="AC78" s="236"/>
      <c r="AD78" s="235"/>
      <c r="AE78" s="237"/>
      <c r="AF78" s="233"/>
      <c r="AG78" s="664"/>
      <c r="AH78" s="238"/>
      <c r="AI78" s="239"/>
      <c r="AJ78" s="238"/>
      <c r="AK78" s="664"/>
      <c r="AL78" s="134"/>
      <c r="AM78" s="785"/>
      <c r="AN78" s="113"/>
      <c r="AO78" s="114"/>
      <c r="AP78" s="115"/>
      <c r="AQ78" s="115"/>
      <c r="AR78" s="115"/>
      <c r="AS78" s="115"/>
      <c r="AT78" s="116"/>
    </row>
    <row r="79" spans="1:46" ht="39" customHeight="1" x14ac:dyDescent="0.25">
      <c r="A79" s="1468">
        <v>78</v>
      </c>
      <c r="B79" s="141" t="s">
        <v>276</v>
      </c>
      <c r="C79" s="793" t="s">
        <v>277</v>
      </c>
      <c r="D79" s="442"/>
      <c r="E79" s="442" t="s">
        <v>47</v>
      </c>
      <c r="F79" s="442"/>
      <c r="G79" s="757" t="s">
        <v>91</v>
      </c>
      <c r="H79" s="758" t="s">
        <v>78</v>
      </c>
      <c r="I79" s="733"/>
      <c r="J79" s="245">
        <v>300</v>
      </c>
      <c r="K79" s="277" t="s">
        <v>50</v>
      </c>
      <c r="L79" s="441" t="s">
        <v>1059</v>
      </c>
      <c r="M79" s="441" t="s">
        <v>956</v>
      </c>
      <c r="N79" s="276"/>
      <c r="O79" s="277" t="s">
        <v>2580</v>
      </c>
      <c r="P79" s="278"/>
      <c r="Q79" s="728" t="s">
        <v>119</v>
      </c>
      <c r="R79" s="259" t="s">
        <v>1060</v>
      </c>
      <c r="S79" s="279">
        <v>36572</v>
      </c>
      <c r="T79" s="280"/>
      <c r="U79" s="251" t="s">
        <v>54</v>
      </c>
      <c r="V79" s="443" t="s">
        <v>2552</v>
      </c>
      <c r="W79" s="280" t="s">
        <v>56</v>
      </c>
      <c r="X79" s="280" t="s">
        <v>57</v>
      </c>
      <c r="Y79" s="280" t="s">
        <v>2609</v>
      </c>
      <c r="Z79" s="486">
        <v>45151</v>
      </c>
      <c r="AA79" s="486"/>
      <c r="AB79" s="441"/>
      <c r="AC79" s="488" t="s">
        <v>946</v>
      </c>
      <c r="AD79" s="441"/>
      <c r="AE79" s="398"/>
      <c r="AF79" s="398"/>
      <c r="AG79" s="487" t="s">
        <v>61</v>
      </c>
      <c r="AH79" s="489"/>
      <c r="AI79" s="721"/>
      <c r="AJ79" s="755" t="s">
        <v>62</v>
      </c>
      <c r="AK79" s="442">
        <v>1</v>
      </c>
      <c r="AL79" s="175" t="s">
        <v>278</v>
      </c>
      <c r="AM79" s="175" t="s">
        <v>267</v>
      </c>
      <c r="AN79" s="124"/>
      <c r="AO79" s="124"/>
      <c r="AP79" s="115"/>
      <c r="AQ79" s="115"/>
      <c r="AR79" s="115"/>
      <c r="AS79" s="115"/>
      <c r="AT79" s="115"/>
    </row>
    <row r="80" spans="1:46" ht="39" customHeight="1" x14ac:dyDescent="0.25">
      <c r="A80" s="1468">
        <v>79</v>
      </c>
      <c r="B80" s="141">
        <v>12</v>
      </c>
      <c r="C80" s="240" t="s">
        <v>279</v>
      </c>
      <c r="D80" s="242"/>
      <c r="E80" s="242" t="s">
        <v>47</v>
      </c>
      <c r="F80" s="242"/>
      <c r="G80" s="243" t="s">
        <v>280</v>
      </c>
      <c r="H80" s="244" t="s">
        <v>83</v>
      </c>
      <c r="I80" s="349"/>
      <c r="J80" s="245">
        <v>302</v>
      </c>
      <c r="K80" s="197" t="s">
        <v>50</v>
      </c>
      <c r="L80" s="281" t="s">
        <v>2564</v>
      </c>
      <c r="M80" s="281" t="s">
        <v>2564</v>
      </c>
      <c r="N80" s="245"/>
      <c r="O80" s="950" t="s">
        <v>2570</v>
      </c>
      <c r="P80" s="247"/>
      <c r="Q80" s="978" t="s">
        <v>2565</v>
      </c>
      <c r="R80" s="995" t="s">
        <v>3252</v>
      </c>
      <c r="S80" s="279">
        <v>29540</v>
      </c>
      <c r="T80" s="250"/>
      <c r="U80" s="251" t="s">
        <v>54</v>
      </c>
      <c r="V80" s="197" t="s">
        <v>2552</v>
      </c>
      <c r="W80" s="819" t="s">
        <v>56</v>
      </c>
      <c r="X80" s="819" t="s">
        <v>57</v>
      </c>
      <c r="Y80" s="1108" t="s">
        <v>2608</v>
      </c>
      <c r="Z80" s="246">
        <v>45177</v>
      </c>
      <c r="AA80" s="246"/>
      <c r="AB80" s="281"/>
      <c r="AC80" s="223"/>
      <c r="AD80" s="281"/>
      <c r="AE80" s="252"/>
      <c r="AF80" s="252"/>
      <c r="AG80" s="282"/>
      <c r="AH80" s="283"/>
      <c r="AI80" s="296"/>
      <c r="AJ80" s="255" t="s">
        <v>62</v>
      </c>
      <c r="AK80" s="242">
        <v>1</v>
      </c>
      <c r="AL80" s="123" t="s">
        <v>278</v>
      </c>
      <c r="AM80" s="123" t="s">
        <v>267</v>
      </c>
      <c r="AN80" s="124"/>
      <c r="AO80" s="124"/>
      <c r="AP80" s="115"/>
      <c r="AQ80" s="115"/>
      <c r="AR80" s="115"/>
      <c r="AS80" s="115"/>
      <c r="AT80" s="115"/>
    </row>
    <row r="81" spans="1:46" ht="39" customHeight="1" x14ac:dyDescent="0.25">
      <c r="A81" s="1468">
        <v>80</v>
      </c>
      <c r="B81" s="142">
        <v>9</v>
      </c>
      <c r="C81" s="311" t="s">
        <v>281</v>
      </c>
      <c r="D81" s="241"/>
      <c r="E81" s="312" t="s">
        <v>47</v>
      </c>
      <c r="F81" s="241"/>
      <c r="G81" s="313" t="s">
        <v>282</v>
      </c>
      <c r="H81" s="314" t="s">
        <v>283</v>
      </c>
      <c r="I81" s="350"/>
      <c r="J81" s="281">
        <v>410</v>
      </c>
      <c r="K81" s="216"/>
      <c r="L81" s="281" t="s">
        <v>1995</v>
      </c>
      <c r="M81" s="281" t="s">
        <v>1995</v>
      </c>
      <c r="N81" s="245"/>
      <c r="O81" s="216" t="s">
        <v>2021</v>
      </c>
      <c r="P81" s="287" t="s">
        <v>1828</v>
      </c>
      <c r="Q81" s="353" t="s">
        <v>283</v>
      </c>
      <c r="R81" s="1140" t="s">
        <v>3283</v>
      </c>
      <c r="S81" s="279">
        <v>28191</v>
      </c>
      <c r="T81" s="250"/>
      <c r="U81" s="251" t="s">
        <v>54</v>
      </c>
      <c r="V81" s="268" t="s">
        <v>3562</v>
      </c>
      <c r="W81" s="268" t="s">
        <v>56</v>
      </c>
      <c r="X81" s="268" t="s">
        <v>57</v>
      </c>
      <c r="Y81" s="268" t="s">
        <v>3563</v>
      </c>
      <c r="Z81" s="405">
        <v>45214</v>
      </c>
      <c r="AA81" s="252"/>
      <c r="AB81" s="281"/>
      <c r="AC81" s="223"/>
      <c r="AD81" s="281"/>
      <c r="AE81" s="252"/>
      <c r="AF81" s="252"/>
      <c r="AG81" s="241"/>
      <c r="AH81" s="283"/>
      <c r="AI81" s="422"/>
      <c r="AJ81" s="317" t="s">
        <v>47</v>
      </c>
      <c r="AK81" s="312">
        <v>2</v>
      </c>
      <c r="AL81" s="143" t="s">
        <v>278</v>
      </c>
      <c r="AM81" s="143" t="s">
        <v>267</v>
      </c>
      <c r="AN81" s="133"/>
      <c r="AO81" s="133"/>
      <c r="AP81" s="115"/>
      <c r="AQ81" s="115"/>
      <c r="AR81" s="115"/>
      <c r="AS81" s="115"/>
      <c r="AT81" s="115"/>
    </row>
    <row r="82" spans="1:46" ht="39" customHeight="1" x14ac:dyDescent="0.25">
      <c r="A82" s="1468">
        <v>81</v>
      </c>
      <c r="B82" s="142">
        <v>9</v>
      </c>
      <c r="C82" s="311" t="s">
        <v>284</v>
      </c>
      <c r="D82" s="241"/>
      <c r="E82" s="312" t="s">
        <v>47</v>
      </c>
      <c r="F82" s="241"/>
      <c r="G82" s="313" t="s">
        <v>285</v>
      </c>
      <c r="H82" s="314" t="s">
        <v>283</v>
      </c>
      <c r="I82" s="350"/>
      <c r="J82" s="281">
        <v>410</v>
      </c>
      <c r="K82" s="216" t="s">
        <v>158</v>
      </c>
      <c r="L82" s="281" t="s">
        <v>1034</v>
      </c>
      <c r="M82" s="252" t="s">
        <v>1035</v>
      </c>
      <c r="N82" s="245"/>
      <c r="O82" s="216" t="s">
        <v>1036</v>
      </c>
      <c r="P82" s="372"/>
      <c r="Q82" s="353" t="s">
        <v>153</v>
      </c>
      <c r="R82" s="1140" t="s">
        <v>1037</v>
      </c>
      <c r="S82" s="279">
        <v>31467</v>
      </c>
      <c r="T82" s="250"/>
      <c r="U82" s="251" t="s">
        <v>54</v>
      </c>
      <c r="V82" s="197" t="s">
        <v>2378</v>
      </c>
      <c r="W82" s="197" t="s">
        <v>56</v>
      </c>
      <c r="X82" s="197" t="s">
        <v>57</v>
      </c>
      <c r="Y82" s="949" t="s">
        <v>2379</v>
      </c>
      <c r="Z82" s="246">
        <v>45177</v>
      </c>
      <c r="AA82" s="252"/>
      <c r="AB82" s="281" t="s">
        <v>1038</v>
      </c>
      <c r="AC82" s="223" t="s">
        <v>946</v>
      </c>
      <c r="AD82" s="281" t="s">
        <v>1039</v>
      </c>
      <c r="AE82" s="252">
        <v>44398</v>
      </c>
      <c r="AF82" s="252">
        <v>44762</v>
      </c>
      <c r="AG82" s="241" t="s">
        <v>61</v>
      </c>
      <c r="AH82" s="283"/>
      <c r="AI82" s="422"/>
      <c r="AJ82" s="317" t="s">
        <v>47</v>
      </c>
      <c r="AK82" s="312">
        <v>2</v>
      </c>
      <c r="AL82" s="143" t="s">
        <v>278</v>
      </c>
      <c r="AM82" s="143" t="s">
        <v>267</v>
      </c>
      <c r="AN82" s="133"/>
      <c r="AO82" s="133"/>
      <c r="AP82" s="115"/>
      <c r="AQ82" s="115"/>
      <c r="AR82" s="115"/>
      <c r="AS82" s="115"/>
      <c r="AT82" s="115"/>
    </row>
    <row r="83" spans="1:46" ht="39" customHeight="1" x14ac:dyDescent="0.25">
      <c r="A83" s="1468">
        <v>82</v>
      </c>
      <c r="B83" s="142">
        <v>6</v>
      </c>
      <c r="C83" s="311" t="s">
        <v>286</v>
      </c>
      <c r="D83" s="241"/>
      <c r="E83" s="312" t="s">
        <v>47</v>
      </c>
      <c r="F83" s="241"/>
      <c r="G83" s="313" t="s">
        <v>287</v>
      </c>
      <c r="H83" s="323" t="s">
        <v>153</v>
      </c>
      <c r="I83" s="354"/>
      <c r="J83" s="256">
        <v>400</v>
      </c>
      <c r="K83" s="216"/>
      <c r="L83" s="281"/>
      <c r="M83" s="252"/>
      <c r="N83" s="245"/>
      <c r="O83" s="216"/>
      <c r="P83" s="372"/>
      <c r="Q83" s="353"/>
      <c r="R83" s="683" t="s">
        <v>66</v>
      </c>
      <c r="S83" s="279"/>
      <c r="T83" s="250"/>
      <c r="U83" s="318"/>
      <c r="V83" s="280"/>
      <c r="W83" s="819"/>
      <c r="X83" s="819"/>
      <c r="Y83" s="1237"/>
      <c r="Z83" s="486"/>
      <c r="AA83" s="252"/>
      <c r="AB83" s="281"/>
      <c r="AC83" s="223"/>
      <c r="AD83" s="281"/>
      <c r="AE83" s="252"/>
      <c r="AF83" s="252"/>
      <c r="AG83" s="241"/>
      <c r="AH83" s="283"/>
      <c r="AI83" s="422"/>
      <c r="AJ83" s="317"/>
      <c r="AK83" s="312">
        <v>2</v>
      </c>
      <c r="AL83" s="143" t="s">
        <v>278</v>
      </c>
      <c r="AM83" s="143" t="s">
        <v>267</v>
      </c>
      <c r="AN83" s="133"/>
      <c r="AO83" s="133"/>
      <c r="AP83" s="115"/>
      <c r="AQ83" s="115"/>
      <c r="AR83" s="115"/>
      <c r="AS83" s="115"/>
      <c r="AT83" s="115"/>
    </row>
    <row r="84" spans="1:46" ht="39" customHeight="1" x14ac:dyDescent="0.25">
      <c r="A84" s="1468">
        <v>83</v>
      </c>
      <c r="B84" s="141">
        <v>5</v>
      </c>
      <c r="C84" s="290" t="s">
        <v>288</v>
      </c>
      <c r="D84" s="291"/>
      <c r="E84" s="291" t="s">
        <v>47</v>
      </c>
      <c r="F84" s="291"/>
      <c r="G84" s="292" t="s">
        <v>289</v>
      </c>
      <c r="H84" s="293" t="s">
        <v>132</v>
      </c>
      <c r="I84" s="344">
        <v>144</v>
      </c>
      <c r="J84" s="256">
        <v>403</v>
      </c>
      <c r="K84" s="216"/>
      <c r="L84" s="407"/>
      <c r="M84" s="281"/>
      <c r="N84" s="281"/>
      <c r="O84" s="950" t="s">
        <v>2632</v>
      </c>
      <c r="P84" s="287"/>
      <c r="Q84" s="344" t="s">
        <v>567</v>
      </c>
      <c r="R84" s="982" t="s">
        <v>2631</v>
      </c>
      <c r="S84" s="279">
        <v>30050</v>
      </c>
      <c r="T84" s="250"/>
      <c r="U84" s="251" t="s">
        <v>54</v>
      </c>
      <c r="V84" s="250" t="s">
        <v>2793</v>
      </c>
      <c r="W84" s="197" t="s">
        <v>56</v>
      </c>
      <c r="X84" s="197" t="s">
        <v>57</v>
      </c>
      <c r="Y84" s="197" t="s">
        <v>2609</v>
      </c>
      <c r="Z84" s="246">
        <v>45141</v>
      </c>
      <c r="AA84" s="252"/>
      <c r="AB84" s="282"/>
      <c r="AC84" s="223"/>
      <c r="AD84" s="282"/>
      <c r="AE84" s="258"/>
      <c r="AF84" s="258"/>
      <c r="AG84" s="241"/>
      <c r="AH84" s="283"/>
      <c r="AI84" s="254"/>
      <c r="AJ84" s="491" t="s">
        <v>560</v>
      </c>
      <c r="AK84" s="348">
        <v>3</v>
      </c>
      <c r="AL84" s="145" t="s">
        <v>278</v>
      </c>
      <c r="AM84" s="145" t="s">
        <v>267</v>
      </c>
      <c r="AN84" s="130"/>
      <c r="AO84" s="130"/>
      <c r="AP84" s="115"/>
      <c r="AQ84" s="115"/>
      <c r="AR84" s="115"/>
      <c r="AS84" s="115"/>
      <c r="AT84" s="115"/>
    </row>
    <row r="85" spans="1:46" ht="39" customHeight="1" x14ac:dyDescent="0.25">
      <c r="A85" s="1468">
        <v>84</v>
      </c>
      <c r="B85" s="141">
        <v>3</v>
      </c>
      <c r="C85" s="356" t="s">
        <v>290</v>
      </c>
      <c r="D85" s="241" t="s">
        <v>134</v>
      </c>
      <c r="E85" s="241"/>
      <c r="F85" s="241"/>
      <c r="G85" s="261" t="s">
        <v>291</v>
      </c>
      <c r="H85" s="262" t="s">
        <v>87</v>
      </c>
      <c r="I85" s="357"/>
      <c r="J85" s="245" t="s">
        <v>561</v>
      </c>
      <c r="K85" s="257"/>
      <c r="L85" s="299" t="s">
        <v>292</v>
      </c>
      <c r="M85" s="299" t="s">
        <v>292</v>
      </c>
      <c r="N85" s="299"/>
      <c r="O85" s="392" t="s">
        <v>3325</v>
      </c>
      <c r="P85" s="300"/>
      <c r="Q85" s="375" t="s">
        <v>85</v>
      </c>
      <c r="R85" s="982" t="s">
        <v>294</v>
      </c>
      <c r="S85" s="279">
        <v>37848</v>
      </c>
      <c r="T85" s="289"/>
      <c r="U85" s="251" t="s">
        <v>54</v>
      </c>
      <c r="V85" s="250"/>
      <c r="W85" s="197" t="s">
        <v>56</v>
      </c>
      <c r="X85" s="197" t="s">
        <v>57</v>
      </c>
      <c r="Y85" s="241"/>
      <c r="Z85" s="258"/>
      <c r="AA85" s="289"/>
      <c r="AB85" s="299"/>
      <c r="AC85" s="223"/>
      <c r="AD85" s="299"/>
      <c r="AE85" s="289"/>
      <c r="AF85" s="289"/>
      <c r="AG85" s="299"/>
      <c r="AH85" s="299"/>
      <c r="AI85" s="223"/>
      <c r="AJ85" s="348" t="s">
        <v>560</v>
      </c>
      <c r="AK85" s="241">
        <v>4</v>
      </c>
      <c r="AL85" s="122" t="s">
        <v>278</v>
      </c>
      <c r="AM85" s="122" t="s">
        <v>267</v>
      </c>
      <c r="AN85" s="110" t="s">
        <v>4184</v>
      </c>
      <c r="AO85" s="110"/>
      <c r="AP85" s="115"/>
      <c r="AQ85" s="115"/>
      <c r="AR85" s="115"/>
      <c r="AS85" s="115"/>
      <c r="AT85" s="115"/>
    </row>
    <row r="86" spans="1:46" ht="39" customHeight="1" x14ac:dyDescent="0.25">
      <c r="A86" s="1468">
        <v>85</v>
      </c>
      <c r="B86" s="141">
        <v>3</v>
      </c>
      <c r="C86" s="358" t="s">
        <v>297</v>
      </c>
      <c r="D86" s="241" t="s">
        <v>134</v>
      </c>
      <c r="E86" s="241"/>
      <c r="F86" s="241"/>
      <c r="G86" s="261" t="s">
        <v>298</v>
      </c>
      <c r="H86" s="262" t="s">
        <v>85</v>
      </c>
      <c r="I86" s="357"/>
      <c r="J86" s="245" t="s">
        <v>556</v>
      </c>
      <c r="K86" s="216" t="s">
        <v>144</v>
      </c>
      <c r="L86" s="281" t="s">
        <v>987</v>
      </c>
      <c r="M86" s="281" t="s">
        <v>987</v>
      </c>
      <c r="N86" s="245"/>
      <c r="O86" s="216" t="s">
        <v>988</v>
      </c>
      <c r="P86" s="359"/>
      <c r="Q86" s="344" t="s">
        <v>132</v>
      </c>
      <c r="R86" s="982" t="s">
        <v>989</v>
      </c>
      <c r="S86" s="279">
        <v>36958</v>
      </c>
      <c r="T86" s="250"/>
      <c r="U86" s="251" t="s">
        <v>54</v>
      </c>
      <c r="V86" s="252" t="s">
        <v>990</v>
      </c>
      <c r="W86" s="197" t="s">
        <v>56</v>
      </c>
      <c r="X86" s="197" t="s">
        <v>57</v>
      </c>
      <c r="Y86" s="197" t="s">
        <v>951</v>
      </c>
      <c r="Z86" s="252">
        <v>44863</v>
      </c>
      <c r="AA86" s="250"/>
      <c r="AB86" s="281"/>
      <c r="AC86" s="223" t="s">
        <v>946</v>
      </c>
      <c r="AD86" s="281"/>
      <c r="AE86" s="252">
        <v>44260</v>
      </c>
      <c r="AF86" s="252">
        <v>44867</v>
      </c>
      <c r="AG86" s="241" t="s">
        <v>61</v>
      </c>
      <c r="AH86" s="283"/>
      <c r="AI86" s="297"/>
      <c r="AJ86" s="348" t="s">
        <v>560</v>
      </c>
      <c r="AK86" s="241">
        <v>4</v>
      </c>
      <c r="AL86" s="122" t="s">
        <v>278</v>
      </c>
      <c r="AM86" s="122" t="s">
        <v>267</v>
      </c>
      <c r="AN86" s="110"/>
      <c r="AO86" s="110"/>
      <c r="AP86" s="115"/>
      <c r="AQ86" s="115"/>
      <c r="AR86" s="115"/>
      <c r="AS86" s="115"/>
      <c r="AT86" s="116"/>
    </row>
    <row r="87" spans="1:46" ht="39" customHeight="1" x14ac:dyDescent="0.25">
      <c r="A87" s="1468">
        <v>86</v>
      </c>
      <c r="B87" s="141">
        <v>2</v>
      </c>
      <c r="C87" s="260" t="s">
        <v>299</v>
      </c>
      <c r="D87" s="241"/>
      <c r="E87" s="241"/>
      <c r="F87" s="241"/>
      <c r="G87" s="261" t="s">
        <v>300</v>
      </c>
      <c r="H87" s="262" t="s">
        <v>87</v>
      </c>
      <c r="I87" s="357"/>
      <c r="J87" s="245" t="s">
        <v>561</v>
      </c>
      <c r="K87" s="684"/>
      <c r="L87" s="685"/>
      <c r="M87" s="685"/>
      <c r="N87" s="684"/>
      <c r="O87" s="216" t="s">
        <v>2230</v>
      </c>
      <c r="P87" s="359"/>
      <c r="Q87" s="344" t="s">
        <v>87</v>
      </c>
      <c r="R87" s="982" t="s">
        <v>2229</v>
      </c>
      <c r="S87" s="279">
        <v>32497</v>
      </c>
      <c r="T87" s="684"/>
      <c r="U87" s="251" t="s">
        <v>54</v>
      </c>
      <c r="V87" s="250" t="s">
        <v>2552</v>
      </c>
      <c r="W87" s="197" t="s">
        <v>56</v>
      </c>
      <c r="X87" s="197" t="s">
        <v>57</v>
      </c>
      <c r="Y87" s="197" t="s">
        <v>2609</v>
      </c>
      <c r="Z87" s="246">
        <v>45186</v>
      </c>
      <c r="AA87" s="684"/>
      <c r="AB87" s="1290"/>
      <c r="AC87" s="684"/>
      <c r="AD87" s="686"/>
      <c r="AE87" s="684"/>
      <c r="AF87" s="684"/>
      <c r="AG87" s="684"/>
      <c r="AH87" s="684"/>
      <c r="AI87" s="685"/>
      <c r="AJ87" s="348" t="s">
        <v>560</v>
      </c>
      <c r="AK87" s="241">
        <v>4</v>
      </c>
      <c r="AL87" s="122" t="s">
        <v>278</v>
      </c>
      <c r="AM87" s="122" t="s">
        <v>267</v>
      </c>
      <c r="AN87" s="110"/>
      <c r="AO87" s="110"/>
      <c r="AP87" s="115"/>
      <c r="AQ87" s="115"/>
      <c r="AR87" s="115"/>
      <c r="AS87" s="115"/>
      <c r="AT87" s="115"/>
    </row>
    <row r="88" spans="1:46" ht="39" customHeight="1" x14ac:dyDescent="0.25">
      <c r="A88" s="1468">
        <v>87</v>
      </c>
      <c r="B88" s="146">
        <v>2</v>
      </c>
      <c r="C88" s="503" t="s">
        <v>86</v>
      </c>
      <c r="D88" s="471"/>
      <c r="E88" s="471"/>
      <c r="F88" s="471"/>
      <c r="G88" s="472" t="s">
        <v>303</v>
      </c>
      <c r="H88" s="262" t="s">
        <v>87</v>
      </c>
      <c r="I88" s="492"/>
      <c r="J88" s="245" t="s">
        <v>561</v>
      </c>
      <c r="K88" s="1116"/>
      <c r="L88" s="626"/>
      <c r="M88" s="438"/>
      <c r="N88" s="786"/>
      <c r="O88" s="265" t="s">
        <v>2539</v>
      </c>
      <c r="P88" s="1117"/>
      <c r="Q88" s="741" t="s">
        <v>87</v>
      </c>
      <c r="R88" s="834" t="s">
        <v>2538</v>
      </c>
      <c r="S88" s="279">
        <v>31789</v>
      </c>
      <c r="T88" s="396"/>
      <c r="U88" s="251" t="s">
        <v>54</v>
      </c>
      <c r="V88" s="414" t="s">
        <v>2552</v>
      </c>
      <c r="W88" s="268" t="s">
        <v>56</v>
      </c>
      <c r="X88" s="268" t="s">
        <v>57</v>
      </c>
      <c r="Y88" s="268" t="s">
        <v>2609</v>
      </c>
      <c r="Z88" s="405">
        <v>45186</v>
      </c>
      <c r="AA88" s="405"/>
      <c r="AB88" s="836"/>
      <c r="AC88" s="474"/>
      <c r="AD88" s="836"/>
      <c r="AE88" s="395"/>
      <c r="AF88" s="395"/>
      <c r="AG88" s="450"/>
      <c r="AH88" s="1118"/>
      <c r="AI88" s="1101"/>
      <c r="AJ88" s="743" t="s">
        <v>560</v>
      </c>
      <c r="AK88" s="471">
        <v>4</v>
      </c>
      <c r="AL88" s="749" t="s">
        <v>278</v>
      </c>
      <c r="AM88" s="749" t="s">
        <v>267</v>
      </c>
      <c r="AN88" s="110"/>
      <c r="AO88" s="110"/>
      <c r="AP88" s="115"/>
      <c r="AQ88" s="115"/>
      <c r="AR88" s="115"/>
      <c r="AS88" s="115"/>
      <c r="AT88" s="115"/>
    </row>
    <row r="89" spans="1:46" ht="39" customHeight="1" x14ac:dyDescent="0.25">
      <c r="A89" s="1468">
        <v>88</v>
      </c>
      <c r="B89" s="987"/>
      <c r="C89" s="989"/>
      <c r="D89" s="664"/>
      <c r="E89" s="664"/>
      <c r="F89" s="664"/>
      <c r="G89" s="227"/>
      <c r="H89" s="228"/>
      <c r="I89" s="228"/>
      <c r="J89" s="229"/>
      <c r="K89" s="227"/>
      <c r="L89" s="229"/>
      <c r="M89" s="229"/>
      <c r="N89" s="229"/>
      <c r="O89" s="309"/>
      <c r="P89" s="230" t="s">
        <v>304</v>
      </c>
      <c r="Q89" s="664"/>
      <c r="R89" s="324"/>
      <c r="S89" s="279"/>
      <c r="T89" s="232"/>
      <c r="U89" s="318"/>
      <c r="V89" s="232"/>
      <c r="W89" s="232"/>
      <c r="X89" s="232"/>
      <c r="Y89" s="232"/>
      <c r="Z89" s="233"/>
      <c r="AA89" s="234"/>
      <c r="AB89" s="235"/>
      <c r="AC89" s="236"/>
      <c r="AD89" s="235"/>
      <c r="AE89" s="237"/>
      <c r="AF89" s="233"/>
      <c r="AG89" s="664"/>
      <c r="AH89" s="238"/>
      <c r="AI89" s="239"/>
      <c r="AJ89" s="576"/>
      <c r="AK89" s="664"/>
      <c r="AL89" s="113"/>
      <c r="AM89" s="114"/>
      <c r="AN89" s="113"/>
      <c r="AO89" s="114"/>
      <c r="AP89" s="115"/>
      <c r="AQ89" s="115"/>
      <c r="AR89" s="115"/>
      <c r="AS89" s="115"/>
      <c r="AT89" s="116"/>
    </row>
    <row r="90" spans="1:46" ht="39" customHeight="1" x14ac:dyDescent="0.25">
      <c r="A90" s="1468">
        <v>89</v>
      </c>
      <c r="B90" s="141">
        <v>10</v>
      </c>
      <c r="C90" s="793" t="s">
        <v>305</v>
      </c>
      <c r="D90" s="442"/>
      <c r="E90" s="442" t="s">
        <v>47</v>
      </c>
      <c r="F90" s="442"/>
      <c r="G90" s="757" t="s">
        <v>91</v>
      </c>
      <c r="H90" s="244" t="s">
        <v>83</v>
      </c>
      <c r="I90" s="733"/>
      <c r="J90" s="245">
        <v>302</v>
      </c>
      <c r="K90" s="197" t="s">
        <v>50</v>
      </c>
      <c r="L90" s="281" t="s">
        <v>3965</v>
      </c>
      <c r="M90" s="281" t="s">
        <v>3965</v>
      </c>
      <c r="N90" s="281"/>
      <c r="O90" s="216" t="s">
        <v>1349</v>
      </c>
      <c r="P90" s="247"/>
      <c r="Q90" s="338" t="s">
        <v>119</v>
      </c>
      <c r="R90" s="990" t="s">
        <v>1020</v>
      </c>
      <c r="S90" s="279">
        <v>35149</v>
      </c>
      <c r="T90" s="250"/>
      <c r="U90" s="251" t="s">
        <v>54</v>
      </c>
      <c r="V90" s="197" t="s">
        <v>1415</v>
      </c>
      <c r="W90" s="197" t="s">
        <v>56</v>
      </c>
      <c r="X90" s="197" t="s">
        <v>57</v>
      </c>
      <c r="Y90" s="197" t="s">
        <v>1416</v>
      </c>
      <c r="Z90" s="327"/>
      <c r="AA90" s="252"/>
      <c r="AB90" s="245"/>
      <c r="AC90" s="223"/>
      <c r="AD90" s="281"/>
      <c r="AE90" s="252"/>
      <c r="AF90" s="252"/>
      <c r="AG90" s="282"/>
      <c r="AH90" s="283"/>
      <c r="AI90" s="296"/>
      <c r="AJ90" s="255" t="s">
        <v>62</v>
      </c>
      <c r="AK90" s="442">
        <v>1</v>
      </c>
      <c r="AL90" s="175" t="s">
        <v>278</v>
      </c>
      <c r="AM90" s="175" t="s">
        <v>267</v>
      </c>
      <c r="AN90" s="124"/>
      <c r="AO90" s="124"/>
      <c r="AP90" s="115"/>
      <c r="AQ90" s="115"/>
      <c r="AR90" s="115"/>
      <c r="AS90" s="115"/>
      <c r="AT90" s="115"/>
    </row>
    <row r="91" spans="1:46" ht="39" customHeight="1" x14ac:dyDescent="0.25">
      <c r="A91" s="1468">
        <v>90</v>
      </c>
      <c r="B91" s="117"/>
      <c r="C91" s="324"/>
      <c r="D91" s="664"/>
      <c r="E91" s="664"/>
      <c r="F91" s="664"/>
      <c r="G91" s="227"/>
      <c r="H91" s="228"/>
      <c r="I91" s="228"/>
      <c r="J91" s="229"/>
      <c r="K91" s="788"/>
      <c r="L91" s="329"/>
      <c r="M91" s="329"/>
      <c r="N91" s="329"/>
      <c r="O91" s="330"/>
      <c r="P91" s="273" t="s">
        <v>306</v>
      </c>
      <c r="Q91" s="331"/>
      <c r="R91" s="787"/>
      <c r="S91" s="279"/>
      <c r="T91" s="369"/>
      <c r="U91" s="318"/>
      <c r="V91" s="369"/>
      <c r="W91" s="369"/>
      <c r="X91" s="369"/>
      <c r="Y91" s="369"/>
      <c r="Z91" s="702"/>
      <c r="AA91" s="790"/>
      <c r="AB91" s="701"/>
      <c r="AC91" s="703"/>
      <c r="AD91" s="701"/>
      <c r="AE91" s="791"/>
      <c r="AF91" s="702"/>
      <c r="AG91" s="391"/>
      <c r="AH91" s="704"/>
      <c r="AI91" s="705"/>
      <c r="AJ91" s="303"/>
      <c r="AK91" s="241"/>
      <c r="AL91" s="122"/>
      <c r="AM91" s="122"/>
      <c r="AN91" s="113"/>
      <c r="AO91" s="114"/>
      <c r="AP91" s="115"/>
      <c r="AQ91" s="115"/>
      <c r="AR91" s="115"/>
      <c r="AS91" s="115"/>
      <c r="AT91" s="116"/>
    </row>
    <row r="92" spans="1:46" ht="39" customHeight="1" x14ac:dyDescent="0.3">
      <c r="A92" s="1468">
        <v>91</v>
      </c>
      <c r="B92" s="146">
        <v>7</v>
      </c>
      <c r="C92" s="290" t="s">
        <v>307</v>
      </c>
      <c r="D92" s="291"/>
      <c r="E92" s="291" t="s">
        <v>47</v>
      </c>
      <c r="F92" s="291"/>
      <c r="G92" s="292" t="s">
        <v>308</v>
      </c>
      <c r="H92" s="370" t="s">
        <v>132</v>
      </c>
      <c r="I92" s="371" t="s">
        <v>309</v>
      </c>
      <c r="J92" s="256">
        <v>403</v>
      </c>
      <c r="K92" s="216"/>
      <c r="L92" s="250" t="s">
        <v>6169</v>
      </c>
      <c r="M92" s="250" t="s">
        <v>5061</v>
      </c>
      <c r="N92" s="366"/>
      <c r="O92" s="216" t="s">
        <v>3928</v>
      </c>
      <c r="P92" s="318" t="s">
        <v>1828</v>
      </c>
      <c r="Q92" s="344" t="s">
        <v>567</v>
      </c>
      <c r="R92" s="982" t="s">
        <v>3927</v>
      </c>
      <c r="S92" s="279">
        <v>37991</v>
      </c>
      <c r="T92" s="257"/>
      <c r="U92" s="251" t="s">
        <v>54</v>
      </c>
      <c r="V92" s="197" t="s">
        <v>3678</v>
      </c>
      <c r="W92" s="197" t="s">
        <v>70</v>
      </c>
      <c r="X92" s="197" t="s">
        <v>71</v>
      </c>
      <c r="Y92" s="1130" t="s">
        <v>3677</v>
      </c>
      <c r="Z92" s="246">
        <v>45225</v>
      </c>
      <c r="AA92" s="252"/>
      <c r="AB92" s="257"/>
      <c r="AC92" s="223"/>
      <c r="AD92" s="257"/>
      <c r="AE92" s="494"/>
      <c r="AF92" s="494"/>
      <c r="AG92" s="241"/>
      <c r="AH92" s="283"/>
      <c r="AI92" s="386"/>
      <c r="AJ92" s="348" t="s">
        <v>560</v>
      </c>
      <c r="AK92" s="348">
        <v>3</v>
      </c>
      <c r="AL92" s="122" t="s">
        <v>278</v>
      </c>
      <c r="AM92" s="145" t="s">
        <v>267</v>
      </c>
      <c r="AN92" s="130"/>
      <c r="AO92" s="130"/>
      <c r="AP92" s="115"/>
      <c r="AQ92" s="115"/>
      <c r="AR92" s="115"/>
      <c r="AS92" s="115"/>
      <c r="AT92" s="115"/>
    </row>
    <row r="93" spans="1:46" ht="39" customHeight="1" x14ac:dyDescent="0.25">
      <c r="A93" s="1468">
        <v>92</v>
      </c>
      <c r="B93" s="141">
        <v>3</v>
      </c>
      <c r="C93" s="356" t="s">
        <v>290</v>
      </c>
      <c r="D93" s="241" t="s">
        <v>134</v>
      </c>
      <c r="E93" s="241"/>
      <c r="F93" s="241"/>
      <c r="G93" s="261" t="s">
        <v>291</v>
      </c>
      <c r="H93" s="262" t="s">
        <v>85</v>
      </c>
      <c r="I93" s="357"/>
      <c r="J93" s="245" t="s">
        <v>556</v>
      </c>
      <c r="K93" s="257"/>
      <c r="L93" s="288" t="s">
        <v>1526</v>
      </c>
      <c r="M93" s="288" t="s">
        <v>1526</v>
      </c>
      <c r="N93" s="374"/>
      <c r="O93" s="385" t="s">
        <v>1572</v>
      </c>
      <c r="P93" s="247"/>
      <c r="Q93" s="373" t="s">
        <v>87</v>
      </c>
      <c r="R93" s="982" t="s">
        <v>1573</v>
      </c>
      <c r="S93" s="279">
        <v>23905</v>
      </c>
      <c r="T93" s="197"/>
      <c r="U93" s="251" t="s">
        <v>54</v>
      </c>
      <c r="V93" s="250" t="s">
        <v>1508</v>
      </c>
      <c r="W93" s="197" t="s">
        <v>56</v>
      </c>
      <c r="X93" s="197" t="s">
        <v>57</v>
      </c>
      <c r="Y93" s="197"/>
      <c r="Z93" s="246"/>
      <c r="AA93" s="388"/>
      <c r="AB93" s="288"/>
      <c r="AC93" s="223"/>
      <c r="AD93" s="288"/>
      <c r="AE93" s="384"/>
      <c r="AF93" s="384"/>
      <c r="AG93" s="392"/>
      <c r="AH93" s="283"/>
      <c r="AI93" s="254"/>
      <c r="AJ93" s="348" t="s">
        <v>560</v>
      </c>
      <c r="AK93" s="241">
        <v>4</v>
      </c>
      <c r="AL93" s="122" t="s">
        <v>278</v>
      </c>
      <c r="AM93" s="122" t="s">
        <v>267</v>
      </c>
      <c r="AN93" s="110" t="s">
        <v>4184</v>
      </c>
      <c r="AO93" s="130"/>
      <c r="AP93" s="115"/>
      <c r="AQ93" s="115"/>
      <c r="AR93" s="115"/>
      <c r="AS93" s="115"/>
      <c r="AT93" s="115"/>
    </row>
    <row r="94" spans="1:46" ht="39" customHeight="1" x14ac:dyDescent="0.25">
      <c r="A94" s="1468">
        <v>93</v>
      </c>
      <c r="B94" s="141">
        <v>3</v>
      </c>
      <c r="C94" s="358" t="s">
        <v>297</v>
      </c>
      <c r="D94" s="241" t="s">
        <v>134</v>
      </c>
      <c r="E94" s="241"/>
      <c r="F94" s="241"/>
      <c r="G94" s="261" t="s">
        <v>298</v>
      </c>
      <c r="H94" s="262" t="s">
        <v>85</v>
      </c>
      <c r="I94" s="357"/>
      <c r="J94" s="245" t="s">
        <v>556</v>
      </c>
      <c r="K94" s="250" t="s">
        <v>313</v>
      </c>
      <c r="L94" s="301" t="s">
        <v>976</v>
      </c>
      <c r="M94" s="301" t="s">
        <v>976</v>
      </c>
      <c r="N94" s="287"/>
      <c r="O94" s="216" t="s">
        <v>977</v>
      </c>
      <c r="P94" s="374"/>
      <c r="Q94" s="375" t="s">
        <v>85</v>
      </c>
      <c r="R94" s="982" t="s">
        <v>978</v>
      </c>
      <c r="S94" s="279">
        <v>37764</v>
      </c>
      <c r="T94" s="289"/>
      <c r="U94" s="251" t="s">
        <v>54</v>
      </c>
      <c r="V94" s="197" t="s">
        <v>141</v>
      </c>
      <c r="W94" s="197" t="s">
        <v>56</v>
      </c>
      <c r="X94" s="197" t="s">
        <v>57</v>
      </c>
      <c r="Y94" s="197" t="s">
        <v>951</v>
      </c>
      <c r="Z94" s="246">
        <v>44851</v>
      </c>
      <c r="AA94" s="246"/>
      <c r="AB94" s="376"/>
      <c r="AC94" s="223" t="s">
        <v>116</v>
      </c>
      <c r="AD94" s="250" t="s">
        <v>979</v>
      </c>
      <c r="AE94" s="252">
        <v>44533</v>
      </c>
      <c r="AF94" s="252">
        <v>45263</v>
      </c>
      <c r="AG94" s="241" t="s">
        <v>61</v>
      </c>
      <c r="AH94" s="283"/>
      <c r="AI94" s="296"/>
      <c r="AJ94" s="348" t="s">
        <v>560</v>
      </c>
      <c r="AK94" s="348">
        <v>4</v>
      </c>
      <c r="AL94" s="122" t="s">
        <v>278</v>
      </c>
      <c r="AM94" s="122" t="s">
        <v>267</v>
      </c>
      <c r="AN94" s="130"/>
      <c r="AO94" s="130"/>
      <c r="AP94" s="115"/>
      <c r="AQ94" s="115"/>
      <c r="AR94" s="115"/>
      <c r="AS94" s="115"/>
      <c r="AT94" s="116"/>
    </row>
    <row r="95" spans="1:46" ht="39" customHeight="1" x14ac:dyDescent="0.25">
      <c r="A95" s="1468">
        <v>94</v>
      </c>
      <c r="B95" s="141">
        <v>2</v>
      </c>
      <c r="C95" s="260" t="s">
        <v>311</v>
      </c>
      <c r="D95" s="241"/>
      <c r="E95" s="241"/>
      <c r="F95" s="241"/>
      <c r="G95" s="261" t="s">
        <v>312</v>
      </c>
      <c r="H95" s="262" t="s">
        <v>85</v>
      </c>
      <c r="I95" s="371"/>
      <c r="J95" s="245" t="s">
        <v>556</v>
      </c>
      <c r="K95" s="216"/>
      <c r="L95" s="301" t="s">
        <v>2797</v>
      </c>
      <c r="M95" s="301" t="s">
        <v>2797</v>
      </c>
      <c r="N95" s="245"/>
      <c r="O95" s="385" t="s">
        <v>3267</v>
      </c>
      <c r="P95" s="320" t="s">
        <v>1828</v>
      </c>
      <c r="Q95" s="344" t="s">
        <v>293</v>
      </c>
      <c r="R95" s="982" t="s">
        <v>3266</v>
      </c>
      <c r="S95" s="279">
        <v>36192</v>
      </c>
      <c r="T95" s="289"/>
      <c r="U95" s="251" t="s">
        <v>54</v>
      </c>
      <c r="V95" s="959" t="s">
        <v>3484</v>
      </c>
      <c r="W95" s="268" t="s">
        <v>56</v>
      </c>
      <c r="X95" s="268" t="s">
        <v>57</v>
      </c>
      <c r="Y95" s="197" t="s">
        <v>2609</v>
      </c>
      <c r="Z95" s="252">
        <v>45202</v>
      </c>
      <c r="AA95" s="281"/>
      <c r="AB95" s="245"/>
      <c r="AC95" s="223"/>
      <c r="AD95" s="245"/>
      <c r="AE95" s="289"/>
      <c r="AF95" s="289"/>
      <c r="AG95" s="241"/>
      <c r="AH95" s="253"/>
      <c r="AI95" s="284"/>
      <c r="AJ95" s="348" t="s">
        <v>560</v>
      </c>
      <c r="AK95" s="348">
        <v>4</v>
      </c>
      <c r="AL95" s="122" t="s">
        <v>278</v>
      </c>
      <c r="AM95" s="122" t="s">
        <v>267</v>
      </c>
      <c r="AN95" s="130"/>
      <c r="AO95" s="130"/>
      <c r="AP95" s="115"/>
      <c r="AQ95" s="115"/>
      <c r="AR95" s="115"/>
      <c r="AS95" s="115"/>
      <c r="AT95" s="116"/>
    </row>
    <row r="96" spans="1:46" ht="39" customHeight="1" x14ac:dyDescent="0.25">
      <c r="A96" s="1468">
        <v>95</v>
      </c>
      <c r="B96" s="141">
        <v>2</v>
      </c>
      <c r="C96" s="260" t="s">
        <v>317</v>
      </c>
      <c r="D96" s="241"/>
      <c r="E96" s="241"/>
      <c r="F96" s="241"/>
      <c r="G96" s="261" t="s">
        <v>318</v>
      </c>
      <c r="H96" s="262" t="s">
        <v>87</v>
      </c>
      <c r="I96" s="371"/>
      <c r="J96" s="245" t="s">
        <v>561</v>
      </c>
      <c r="K96" s="257"/>
      <c r="L96" s="281" t="s">
        <v>1925</v>
      </c>
      <c r="M96" s="281" t="s">
        <v>1925</v>
      </c>
      <c r="N96" s="366"/>
      <c r="O96" s="216" t="s">
        <v>2286</v>
      </c>
      <c r="P96" s="484" t="s">
        <v>1828</v>
      </c>
      <c r="Q96" s="344" t="s">
        <v>87</v>
      </c>
      <c r="R96" s="982" t="s">
        <v>2285</v>
      </c>
      <c r="S96" s="279">
        <v>37475</v>
      </c>
      <c r="T96" s="197"/>
      <c r="U96" s="251" t="s">
        <v>178</v>
      </c>
      <c r="V96" s="245" t="s">
        <v>5163</v>
      </c>
      <c r="W96" s="197" t="s">
        <v>5169</v>
      </c>
      <c r="X96" s="197" t="s">
        <v>3477</v>
      </c>
      <c r="Y96" s="245" t="s">
        <v>5168</v>
      </c>
      <c r="Z96" s="246">
        <v>45261</v>
      </c>
      <c r="AA96" s="1548">
        <v>45312</v>
      </c>
      <c r="AB96" s="361"/>
      <c r="AC96" s="223"/>
      <c r="AD96" s="376"/>
      <c r="AE96" s="258"/>
      <c r="AF96" s="258"/>
      <c r="AG96" s="241"/>
      <c r="AH96" s="283"/>
      <c r="AI96" s="254"/>
      <c r="AJ96" s="348" t="s">
        <v>560</v>
      </c>
      <c r="AK96" s="241">
        <v>4</v>
      </c>
      <c r="AL96" s="122" t="s">
        <v>278</v>
      </c>
      <c r="AM96" s="122" t="s">
        <v>267</v>
      </c>
      <c r="AN96" s="130"/>
      <c r="AO96" s="130"/>
      <c r="AP96" s="115"/>
      <c r="AQ96" s="115"/>
      <c r="AR96" s="115"/>
      <c r="AS96" s="115"/>
      <c r="AT96" s="115"/>
    </row>
    <row r="97" spans="1:46" ht="39" customHeight="1" x14ac:dyDescent="0.25">
      <c r="A97" s="1468">
        <v>96</v>
      </c>
      <c r="B97" s="146">
        <v>2</v>
      </c>
      <c r="C97" s="260" t="s">
        <v>319</v>
      </c>
      <c r="D97" s="241"/>
      <c r="E97" s="241"/>
      <c r="F97" s="241"/>
      <c r="G97" s="261" t="s">
        <v>320</v>
      </c>
      <c r="H97" s="262" t="s">
        <v>87</v>
      </c>
      <c r="I97" s="357"/>
      <c r="J97" s="245" t="s">
        <v>561</v>
      </c>
      <c r="K97" s="216"/>
      <c r="L97" s="250" t="s">
        <v>1925</v>
      </c>
      <c r="M97" s="250" t="s">
        <v>1925</v>
      </c>
      <c r="N97" s="366"/>
      <c r="O97" s="216" t="s">
        <v>2085</v>
      </c>
      <c r="P97" s="377"/>
      <c r="Q97" s="375" t="s">
        <v>293</v>
      </c>
      <c r="R97" s="982" t="s">
        <v>2084</v>
      </c>
      <c r="S97" s="279">
        <v>37396</v>
      </c>
      <c r="T97" s="223"/>
      <c r="U97" s="250"/>
      <c r="V97" s="197"/>
      <c r="W97" s="197" t="s">
        <v>4076</v>
      </c>
      <c r="X97" s="197"/>
      <c r="Y97" s="949"/>
      <c r="Z97" s="246"/>
      <c r="AA97" s="289"/>
      <c r="AB97" s="223"/>
      <c r="AC97" s="223"/>
      <c r="AD97" s="257"/>
      <c r="AE97" s="258"/>
      <c r="AF97" s="258"/>
      <c r="AG97" s="241"/>
      <c r="AH97" s="299"/>
      <c r="AI97" s="223"/>
      <c r="AJ97" s="348" t="s">
        <v>560</v>
      </c>
      <c r="AK97" s="241">
        <v>4</v>
      </c>
      <c r="AL97" s="122" t="s">
        <v>278</v>
      </c>
      <c r="AM97" s="122" t="s">
        <v>267</v>
      </c>
      <c r="AN97" s="110"/>
      <c r="AO97" s="110"/>
      <c r="AP97" s="115"/>
      <c r="AQ97" s="115"/>
      <c r="AR97" s="115"/>
      <c r="AS97" s="115"/>
      <c r="AT97" s="115"/>
    </row>
    <row r="98" spans="1:46" ht="39" customHeight="1" x14ac:dyDescent="0.25">
      <c r="A98" s="1468">
        <v>97</v>
      </c>
      <c r="B98" s="141">
        <v>2</v>
      </c>
      <c r="C98" s="378" t="s">
        <v>321</v>
      </c>
      <c r="D98" s="303"/>
      <c r="E98" s="241"/>
      <c r="F98" s="241"/>
      <c r="G98" s="261" t="s">
        <v>322</v>
      </c>
      <c r="H98" s="262" t="s">
        <v>87</v>
      </c>
      <c r="I98" s="364"/>
      <c r="J98" s="245" t="s">
        <v>561</v>
      </c>
      <c r="K98" s="437"/>
      <c r="L98" s="265" t="s">
        <v>1925</v>
      </c>
      <c r="M98" s="265" t="s">
        <v>1925</v>
      </c>
      <c r="N98" s="438"/>
      <c r="O98" s="385" t="s">
        <v>2663</v>
      </c>
      <c r="P98" s="320" t="s">
        <v>1828</v>
      </c>
      <c r="Q98" s="344" t="s">
        <v>87</v>
      </c>
      <c r="R98" s="982" t="s">
        <v>2662</v>
      </c>
      <c r="S98" s="279">
        <v>30296</v>
      </c>
      <c r="T98" s="414"/>
      <c r="U98" s="251" t="s">
        <v>54</v>
      </c>
      <c r="V98" s="250" t="s">
        <v>2793</v>
      </c>
      <c r="W98" s="197" t="s">
        <v>56</v>
      </c>
      <c r="X98" s="197" t="s">
        <v>57</v>
      </c>
      <c r="Y98" s="197" t="s">
        <v>2609</v>
      </c>
      <c r="Z98" s="246">
        <v>45145</v>
      </c>
      <c r="AA98" s="246"/>
      <c r="AB98" s="250"/>
      <c r="AC98" s="223"/>
      <c r="AD98" s="250"/>
      <c r="AE98" s="252"/>
      <c r="AF98" s="252"/>
      <c r="AG98" s="282"/>
      <c r="AH98" s="281"/>
      <c r="AI98" s="393"/>
      <c r="AJ98" s="348" t="s">
        <v>560</v>
      </c>
      <c r="AK98" s="348">
        <v>4</v>
      </c>
      <c r="AL98" s="122" t="s">
        <v>278</v>
      </c>
      <c r="AM98" s="122" t="s">
        <v>267</v>
      </c>
      <c r="AN98" s="110"/>
      <c r="AO98" s="110"/>
      <c r="AP98" s="115"/>
      <c r="AQ98" s="115"/>
      <c r="AR98" s="115"/>
      <c r="AS98" s="115"/>
      <c r="AT98" s="115"/>
    </row>
    <row r="99" spans="1:46" ht="39" customHeight="1" x14ac:dyDescent="0.25">
      <c r="A99" s="1468">
        <v>98</v>
      </c>
      <c r="B99" s="141">
        <v>1</v>
      </c>
      <c r="C99" s="378" t="s">
        <v>323</v>
      </c>
      <c r="D99" s="303"/>
      <c r="E99" s="241"/>
      <c r="F99" s="241"/>
      <c r="G99" s="261" t="s">
        <v>324</v>
      </c>
      <c r="H99" s="262" t="s">
        <v>87</v>
      </c>
      <c r="I99" s="357"/>
      <c r="J99" s="245" t="s">
        <v>561</v>
      </c>
      <c r="K99" s="595"/>
      <c r="L99" s="281"/>
      <c r="M99" s="281"/>
      <c r="N99" s="366"/>
      <c r="O99" s="385" t="s">
        <v>3456</v>
      </c>
      <c r="P99" s="374"/>
      <c r="Q99" s="344" t="s">
        <v>293</v>
      </c>
      <c r="R99" s="982" t="s">
        <v>3455</v>
      </c>
      <c r="S99" s="279">
        <v>30830</v>
      </c>
      <c r="T99" s="197"/>
      <c r="U99" s="251" t="s">
        <v>54</v>
      </c>
      <c r="V99" s="197" t="s">
        <v>4047</v>
      </c>
      <c r="W99" s="197" t="s">
        <v>56</v>
      </c>
      <c r="X99" s="268" t="s">
        <v>57</v>
      </c>
      <c r="Y99" s="197" t="s">
        <v>2609</v>
      </c>
      <c r="Z99" s="246">
        <v>45231</v>
      </c>
      <c r="AA99" s="246"/>
      <c r="AB99" s="361"/>
      <c r="AC99" s="223"/>
      <c r="AD99" s="376"/>
      <c r="AE99" s="258"/>
      <c r="AF99" s="258"/>
      <c r="AG99" s="241"/>
      <c r="AH99" s="283"/>
      <c r="AI99" s="254"/>
      <c r="AJ99" s="348" t="s">
        <v>560</v>
      </c>
      <c r="AK99" s="241">
        <v>4</v>
      </c>
      <c r="AL99" s="122" t="s">
        <v>278</v>
      </c>
      <c r="AM99" s="122" t="s">
        <v>267</v>
      </c>
      <c r="AN99" s="110"/>
      <c r="AO99" s="110"/>
      <c r="AP99" s="115"/>
      <c r="AQ99" s="115"/>
      <c r="AR99" s="115"/>
      <c r="AS99" s="115"/>
      <c r="AT99" s="115"/>
    </row>
    <row r="100" spans="1:46" ht="39" customHeight="1" x14ac:dyDescent="0.25">
      <c r="A100" s="1468">
        <v>99</v>
      </c>
      <c r="B100" s="141">
        <v>1</v>
      </c>
      <c r="C100" s="260" t="s">
        <v>325</v>
      </c>
      <c r="D100" s="241"/>
      <c r="E100" s="241"/>
      <c r="F100" s="241"/>
      <c r="G100" s="261" t="s">
        <v>324</v>
      </c>
      <c r="H100" s="262" t="s">
        <v>87</v>
      </c>
      <c r="I100" s="357"/>
      <c r="J100" s="245" t="s">
        <v>561</v>
      </c>
      <c r="K100" s="216"/>
      <c r="L100" s="281" t="s">
        <v>1860</v>
      </c>
      <c r="M100" s="281" t="s">
        <v>1860</v>
      </c>
      <c r="N100" s="366"/>
      <c r="O100" s="950" t="s">
        <v>1930</v>
      </c>
      <c r="P100" s="484" t="s">
        <v>1828</v>
      </c>
      <c r="Q100" s="344" t="s">
        <v>567</v>
      </c>
      <c r="R100" s="982" t="s">
        <v>1929</v>
      </c>
      <c r="S100" s="279">
        <v>30381</v>
      </c>
      <c r="T100" s="306"/>
      <c r="U100" s="251" t="s">
        <v>54</v>
      </c>
      <c r="V100" s="250" t="s">
        <v>1922</v>
      </c>
      <c r="W100" s="197" t="s">
        <v>56</v>
      </c>
      <c r="X100" s="197" t="s">
        <v>57</v>
      </c>
      <c r="Y100" s="252" t="s">
        <v>1933</v>
      </c>
      <c r="Z100" s="252">
        <v>45133</v>
      </c>
      <c r="AA100" s="252"/>
      <c r="AB100" s="299"/>
      <c r="AC100" s="223"/>
      <c r="AD100" s="299"/>
      <c r="AE100" s="289"/>
      <c r="AF100" s="289"/>
      <c r="AG100" s="299"/>
      <c r="AH100" s="299"/>
      <c r="AI100" s="254"/>
      <c r="AJ100" s="348" t="s">
        <v>560</v>
      </c>
      <c r="AK100" s="348">
        <v>4</v>
      </c>
      <c r="AL100" s="122" t="s">
        <v>278</v>
      </c>
      <c r="AM100" s="122" t="s">
        <v>267</v>
      </c>
      <c r="AN100" s="110"/>
      <c r="AO100" s="110"/>
      <c r="AP100" s="115"/>
      <c r="AQ100" s="115"/>
      <c r="AR100" s="115"/>
      <c r="AS100" s="115"/>
      <c r="AT100" s="115"/>
    </row>
    <row r="101" spans="1:46" ht="39" customHeight="1" x14ac:dyDescent="0.25">
      <c r="A101" s="1468">
        <v>100</v>
      </c>
      <c r="B101" s="117"/>
      <c r="C101" s="382"/>
      <c r="D101" s="382"/>
      <c r="E101" s="382"/>
      <c r="F101" s="382"/>
      <c r="G101" s="273"/>
      <c r="H101" s="273"/>
      <c r="I101" s="382"/>
      <c r="J101" s="382"/>
      <c r="K101" s="382"/>
      <c r="L101" s="273"/>
      <c r="M101" s="273"/>
      <c r="N101" s="382"/>
      <c r="O101" s="273"/>
      <c r="P101" s="273" t="s">
        <v>326</v>
      </c>
      <c r="Q101" s="382"/>
      <c r="R101" s="318"/>
      <c r="S101" s="279"/>
      <c r="T101" s="229"/>
      <c r="U101" s="229"/>
      <c r="V101" s="229"/>
      <c r="W101" s="230"/>
      <c r="X101" s="230"/>
      <c r="Y101" s="383"/>
      <c r="Z101" s="383"/>
      <c r="AA101" s="383"/>
      <c r="AB101" s="230"/>
      <c r="AC101" s="383"/>
      <c r="AD101" s="656"/>
      <c r="AE101" s="383"/>
      <c r="AF101" s="383"/>
      <c r="AG101" s="383"/>
      <c r="AH101" s="383"/>
      <c r="AI101" s="230"/>
      <c r="AJ101" s="230"/>
      <c r="AK101" s="230"/>
      <c r="AL101" s="1"/>
      <c r="AM101" s="1"/>
      <c r="AN101" s="1"/>
      <c r="AO101" s="148"/>
      <c r="AP101" s="115"/>
      <c r="AQ101" s="115"/>
      <c r="AR101" s="115"/>
      <c r="AS101" s="115"/>
      <c r="AT101" s="116"/>
    </row>
    <row r="102" spans="1:46" ht="39" customHeight="1" x14ac:dyDescent="0.25">
      <c r="A102" s="1468">
        <v>101</v>
      </c>
      <c r="B102" s="141">
        <v>5</v>
      </c>
      <c r="C102" s="290" t="s">
        <v>288</v>
      </c>
      <c r="D102" s="291"/>
      <c r="E102" s="291" t="s">
        <v>47</v>
      </c>
      <c r="F102" s="291"/>
      <c r="G102" s="292" t="s">
        <v>289</v>
      </c>
      <c r="H102" s="370" t="s">
        <v>132</v>
      </c>
      <c r="I102" s="344">
        <v>144</v>
      </c>
      <c r="J102" s="256">
        <v>403</v>
      </c>
      <c r="K102" s="216"/>
      <c r="L102" s="281" t="s">
        <v>1860</v>
      </c>
      <c r="M102" s="281" t="s">
        <v>1860</v>
      </c>
      <c r="N102" s="245"/>
      <c r="O102" s="950" t="s">
        <v>1938</v>
      </c>
      <c r="P102" s="325" t="s">
        <v>1828</v>
      </c>
      <c r="Q102" s="291" t="s">
        <v>570</v>
      </c>
      <c r="R102" s="996" t="s">
        <v>1939</v>
      </c>
      <c r="S102" s="279">
        <v>31251</v>
      </c>
      <c r="T102" s="252"/>
      <c r="U102" s="251" t="s">
        <v>54</v>
      </c>
      <c r="V102" s="250" t="s">
        <v>1922</v>
      </c>
      <c r="W102" s="197" t="s">
        <v>56</v>
      </c>
      <c r="X102" s="197" t="s">
        <v>57</v>
      </c>
      <c r="Y102" s="252" t="s">
        <v>1933</v>
      </c>
      <c r="Z102" s="252">
        <v>45133</v>
      </c>
      <c r="AA102" s="246"/>
      <c r="AB102" s="282"/>
      <c r="AC102" s="223"/>
      <c r="AD102" s="282"/>
      <c r="AE102" s="252"/>
      <c r="AF102" s="252"/>
      <c r="AG102" s="282"/>
      <c r="AH102" s="283"/>
      <c r="AI102" s="328"/>
      <c r="AJ102" s="348" t="s">
        <v>560</v>
      </c>
      <c r="AK102" s="348">
        <v>3</v>
      </c>
      <c r="AL102" s="122" t="s">
        <v>278</v>
      </c>
      <c r="AM102" s="145" t="s">
        <v>267</v>
      </c>
      <c r="AN102" s="130"/>
      <c r="AO102" s="130"/>
      <c r="AP102" s="115"/>
      <c r="AQ102" s="115"/>
      <c r="AR102" s="115"/>
      <c r="AS102" s="115"/>
      <c r="AT102" s="115"/>
    </row>
    <row r="103" spans="1:46" ht="39" customHeight="1" x14ac:dyDescent="0.25">
      <c r="A103" s="1468">
        <v>102</v>
      </c>
      <c r="B103" s="141">
        <v>3</v>
      </c>
      <c r="C103" s="356" t="s">
        <v>290</v>
      </c>
      <c r="D103" s="241" t="s">
        <v>134</v>
      </c>
      <c r="E103" s="241"/>
      <c r="F103" s="241"/>
      <c r="G103" s="261" t="s">
        <v>291</v>
      </c>
      <c r="H103" s="262" t="s">
        <v>85</v>
      </c>
      <c r="I103" s="357"/>
      <c r="J103" s="245" t="s">
        <v>556</v>
      </c>
      <c r="K103" s="288"/>
      <c r="L103" s="281" t="s">
        <v>1898</v>
      </c>
      <c r="M103" s="281" t="s">
        <v>1898</v>
      </c>
      <c r="N103" s="366"/>
      <c r="O103" s="951" t="s">
        <v>2025</v>
      </c>
      <c r="P103" s="484" t="s">
        <v>1828</v>
      </c>
      <c r="Q103" s="344" t="s">
        <v>87</v>
      </c>
      <c r="R103" s="982" t="s">
        <v>2026</v>
      </c>
      <c r="S103" s="279">
        <v>31273</v>
      </c>
      <c r="T103" s="197"/>
      <c r="U103" s="250"/>
      <c r="V103" s="250"/>
      <c r="W103" s="197" t="s">
        <v>56</v>
      </c>
      <c r="X103" s="197"/>
      <c r="Y103" s="252"/>
      <c r="Z103" s="252"/>
      <c r="AA103" s="246"/>
      <c r="AB103" s="361"/>
      <c r="AC103" s="223"/>
      <c r="AD103" s="376"/>
      <c r="AE103" s="258"/>
      <c r="AF103" s="258"/>
      <c r="AG103" s="241"/>
      <c r="AH103" s="283"/>
      <c r="AI103" s="254"/>
      <c r="AJ103" s="348" t="s">
        <v>560</v>
      </c>
      <c r="AK103" s="241">
        <v>4</v>
      </c>
      <c r="AL103" s="122" t="s">
        <v>278</v>
      </c>
      <c r="AM103" s="122" t="s">
        <v>267</v>
      </c>
      <c r="AN103" s="110" t="s">
        <v>4184</v>
      </c>
      <c r="AO103" s="130"/>
      <c r="AP103" s="115"/>
      <c r="AQ103" s="115"/>
      <c r="AR103" s="115"/>
      <c r="AS103" s="115"/>
      <c r="AT103" s="115"/>
    </row>
    <row r="104" spans="1:46" ht="39" customHeight="1" x14ac:dyDescent="0.25">
      <c r="A104" s="1468">
        <v>103</v>
      </c>
      <c r="B104" s="141">
        <v>3</v>
      </c>
      <c r="C104" s="358" t="s">
        <v>297</v>
      </c>
      <c r="D104" s="241" t="s">
        <v>134</v>
      </c>
      <c r="E104" s="241"/>
      <c r="F104" s="241"/>
      <c r="G104" s="261" t="s">
        <v>298</v>
      </c>
      <c r="H104" s="262" t="s">
        <v>85</v>
      </c>
      <c r="I104" s="357"/>
      <c r="J104" s="245" t="s">
        <v>556</v>
      </c>
      <c r="K104" s="684"/>
      <c r="L104" s="250" t="s">
        <v>6170</v>
      </c>
      <c r="M104" s="250" t="s">
        <v>6170</v>
      </c>
      <c r="N104" s="684"/>
      <c r="O104" s="1357" t="s">
        <v>3370</v>
      </c>
      <c r="P104" s="595"/>
      <c r="Q104" s="348" t="s">
        <v>132</v>
      </c>
      <c r="R104" s="1166" t="s">
        <v>3369</v>
      </c>
      <c r="S104" s="279">
        <v>36027</v>
      </c>
      <c r="T104" s="684"/>
      <c r="U104" s="251" t="s">
        <v>54</v>
      </c>
      <c r="V104" s="197" t="s">
        <v>4047</v>
      </c>
      <c r="W104" s="268" t="s">
        <v>56</v>
      </c>
      <c r="X104" s="268" t="s">
        <v>57</v>
      </c>
      <c r="Y104" s="197" t="s">
        <v>2609</v>
      </c>
      <c r="Z104" s="246">
        <v>45231</v>
      </c>
      <c r="AA104" s="252"/>
      <c r="AB104" s="1290"/>
      <c r="AC104" s="684"/>
      <c r="AD104" s="686"/>
      <c r="AE104" s="684"/>
      <c r="AF104" s="684"/>
      <c r="AG104" s="684"/>
      <c r="AH104" s="684"/>
      <c r="AI104" s="685"/>
      <c r="AJ104" s="348" t="s">
        <v>560</v>
      </c>
      <c r="AK104" s="241">
        <v>4</v>
      </c>
      <c r="AL104" s="122" t="s">
        <v>278</v>
      </c>
      <c r="AM104" s="122" t="s">
        <v>267</v>
      </c>
      <c r="AN104" s="130"/>
      <c r="AO104" s="130"/>
      <c r="AP104" s="115"/>
      <c r="AQ104" s="115"/>
      <c r="AR104" s="115"/>
      <c r="AS104" s="115"/>
      <c r="AT104" s="116"/>
    </row>
    <row r="105" spans="1:46" ht="39" customHeight="1" x14ac:dyDescent="0.25">
      <c r="A105" s="1468">
        <v>104</v>
      </c>
      <c r="B105" s="141">
        <v>2</v>
      </c>
      <c r="C105" s="260" t="s">
        <v>311</v>
      </c>
      <c r="D105" s="241"/>
      <c r="E105" s="241"/>
      <c r="F105" s="241"/>
      <c r="G105" s="261" t="s">
        <v>312</v>
      </c>
      <c r="H105" s="262" t="s">
        <v>85</v>
      </c>
      <c r="I105" s="371"/>
      <c r="J105" s="245" t="s">
        <v>556</v>
      </c>
      <c r="K105" s="684"/>
      <c r="L105" s="685"/>
      <c r="M105" s="685"/>
      <c r="N105" s="684"/>
      <c r="O105" s="216" t="s">
        <v>2541</v>
      </c>
      <c r="P105" s="300"/>
      <c r="Q105" s="375" t="s">
        <v>87</v>
      </c>
      <c r="R105" s="982" t="s">
        <v>2540</v>
      </c>
      <c r="S105" s="279">
        <v>31713</v>
      </c>
      <c r="T105" s="713"/>
      <c r="U105" s="251" t="s">
        <v>54</v>
      </c>
      <c r="V105" s="250" t="s">
        <v>2793</v>
      </c>
      <c r="W105" s="197" t="s">
        <v>56</v>
      </c>
      <c r="X105" s="197" t="s">
        <v>57</v>
      </c>
      <c r="Y105" s="197" t="s">
        <v>2609</v>
      </c>
      <c r="Z105" s="246">
        <v>45142</v>
      </c>
      <c r="AA105" s="684"/>
      <c r="AB105" s="1290"/>
      <c r="AC105" s="684"/>
      <c r="AD105" s="686"/>
      <c r="AE105" s="684"/>
      <c r="AF105" s="684"/>
      <c r="AG105" s="684"/>
      <c r="AH105" s="684"/>
      <c r="AI105" s="685"/>
      <c r="AJ105" s="348" t="s">
        <v>560</v>
      </c>
      <c r="AK105" s="241">
        <v>4</v>
      </c>
      <c r="AL105" s="122" t="s">
        <v>278</v>
      </c>
      <c r="AM105" s="122" t="s">
        <v>267</v>
      </c>
      <c r="AN105" s="130"/>
      <c r="AO105" s="130"/>
      <c r="AP105" s="115"/>
      <c r="AQ105" s="115"/>
      <c r="AR105" s="115"/>
      <c r="AS105" s="115"/>
      <c r="AT105" s="116"/>
    </row>
    <row r="106" spans="1:46" ht="39" customHeight="1" x14ac:dyDescent="0.25">
      <c r="A106" s="1468">
        <v>105</v>
      </c>
      <c r="B106" s="141">
        <v>2</v>
      </c>
      <c r="C106" s="260" t="s">
        <v>317</v>
      </c>
      <c r="D106" s="241"/>
      <c r="E106" s="241"/>
      <c r="F106" s="241"/>
      <c r="G106" s="261" t="s">
        <v>318</v>
      </c>
      <c r="H106" s="262" t="s">
        <v>87</v>
      </c>
      <c r="I106" s="371"/>
      <c r="J106" s="245" t="s">
        <v>561</v>
      </c>
      <c r="K106" s="257"/>
      <c r="L106" s="299" t="s">
        <v>5916</v>
      </c>
      <c r="M106" s="299" t="s">
        <v>5916</v>
      </c>
      <c r="N106" s="299"/>
      <c r="O106" s="951" t="s">
        <v>6028</v>
      </c>
      <c r="P106" s="247"/>
      <c r="Q106" s="344" t="s">
        <v>87</v>
      </c>
      <c r="R106" s="982" t="s">
        <v>6027</v>
      </c>
      <c r="S106" s="279">
        <v>30411</v>
      </c>
      <c r="T106" s="289"/>
      <c r="U106" s="250"/>
      <c r="V106" s="250"/>
      <c r="W106" s="197"/>
      <c r="X106" s="197"/>
      <c r="Y106" s="197"/>
      <c r="Z106" s="246"/>
      <c r="AA106" s="289"/>
      <c r="AB106" s="299"/>
      <c r="AC106" s="223"/>
      <c r="AD106" s="299"/>
      <c r="AE106" s="289"/>
      <c r="AF106" s="289"/>
      <c r="AG106" s="299"/>
      <c r="AH106" s="299"/>
      <c r="AI106" s="223"/>
      <c r="AJ106" s="491" t="s">
        <v>560</v>
      </c>
      <c r="AK106" s="241">
        <v>4</v>
      </c>
      <c r="AL106" s="122" t="s">
        <v>278</v>
      </c>
      <c r="AM106" s="122" t="s">
        <v>267</v>
      </c>
      <c r="AN106" s="130"/>
      <c r="AO106" s="130"/>
      <c r="AP106" s="115"/>
      <c r="AQ106" s="115"/>
      <c r="AR106" s="115"/>
      <c r="AS106" s="115"/>
      <c r="AT106" s="116"/>
    </row>
    <row r="107" spans="1:46" ht="39" customHeight="1" x14ac:dyDescent="0.25">
      <c r="A107" s="1468">
        <v>106</v>
      </c>
      <c r="B107" s="146">
        <v>2</v>
      </c>
      <c r="C107" s="260" t="s">
        <v>319</v>
      </c>
      <c r="D107" s="241"/>
      <c r="E107" s="241"/>
      <c r="F107" s="241"/>
      <c r="G107" s="261" t="s">
        <v>320</v>
      </c>
      <c r="H107" s="262" t="s">
        <v>87</v>
      </c>
      <c r="I107" s="357"/>
      <c r="J107" s="245" t="s">
        <v>561</v>
      </c>
      <c r="K107" s="197"/>
      <c r="L107" s="256" t="s">
        <v>1898</v>
      </c>
      <c r="M107" s="256" t="s">
        <v>1898</v>
      </c>
      <c r="N107" s="245"/>
      <c r="O107" s="392" t="s">
        <v>3174</v>
      </c>
      <c r="P107" s="320" t="s">
        <v>1828</v>
      </c>
      <c r="Q107" s="375" t="s">
        <v>293</v>
      </c>
      <c r="R107" s="996" t="s">
        <v>2022</v>
      </c>
      <c r="S107" s="279">
        <v>25478</v>
      </c>
      <c r="T107" s="250"/>
      <c r="U107" s="251" t="s">
        <v>54</v>
      </c>
      <c r="V107" s="634" t="s">
        <v>3484</v>
      </c>
      <c r="W107" s="197" t="s">
        <v>5132</v>
      </c>
      <c r="X107" s="197" t="s">
        <v>57</v>
      </c>
      <c r="Y107" s="197" t="s">
        <v>2609</v>
      </c>
      <c r="Z107" s="246">
        <v>45202</v>
      </c>
      <c r="AA107" s="252"/>
      <c r="AB107" s="281"/>
      <c r="AC107" s="281"/>
      <c r="AD107" s="281"/>
      <c r="AE107" s="252"/>
      <c r="AF107" s="252"/>
      <c r="AG107" s="282"/>
      <c r="AH107" s="282"/>
      <c r="AI107" s="296"/>
      <c r="AJ107" s="348" t="s">
        <v>560</v>
      </c>
      <c r="AK107" s="241">
        <v>4</v>
      </c>
      <c r="AL107" s="122" t="s">
        <v>278</v>
      </c>
      <c r="AM107" s="122" t="s">
        <v>267</v>
      </c>
      <c r="AN107" s="110"/>
      <c r="AO107" s="110"/>
      <c r="AP107" s="115"/>
      <c r="AQ107" s="115"/>
      <c r="AR107" s="115"/>
      <c r="AS107" s="115"/>
      <c r="AT107" s="115"/>
    </row>
    <row r="108" spans="1:46" ht="39" customHeight="1" x14ac:dyDescent="0.25">
      <c r="A108" s="1468">
        <v>107</v>
      </c>
      <c r="B108" s="141">
        <v>2</v>
      </c>
      <c r="C108" s="378" t="s">
        <v>321</v>
      </c>
      <c r="D108" s="303"/>
      <c r="E108" s="241"/>
      <c r="F108" s="241"/>
      <c r="G108" s="261" t="s">
        <v>322</v>
      </c>
      <c r="H108" s="262" t="s">
        <v>87</v>
      </c>
      <c r="I108" s="364"/>
      <c r="J108" s="245" t="s">
        <v>561</v>
      </c>
      <c r="K108" s="250"/>
      <c r="L108" s="281"/>
      <c r="M108" s="281"/>
      <c r="N108" s="366"/>
      <c r="O108" s="950" t="s">
        <v>3352</v>
      </c>
      <c r="P108" s="684"/>
      <c r="Q108" s="344" t="s">
        <v>293</v>
      </c>
      <c r="R108" s="982" t="s">
        <v>2531</v>
      </c>
      <c r="S108" s="279">
        <v>37003</v>
      </c>
      <c r="T108" s="197"/>
      <c r="U108" s="251" t="s">
        <v>54</v>
      </c>
      <c r="V108" s="250" t="s">
        <v>2793</v>
      </c>
      <c r="W108" s="197" t="s">
        <v>56</v>
      </c>
      <c r="X108" s="197" t="s">
        <v>57</v>
      </c>
      <c r="Y108" s="197" t="s">
        <v>2609</v>
      </c>
      <c r="Z108" s="246">
        <v>45178</v>
      </c>
      <c r="AA108" s="246"/>
      <c r="AB108" s="361"/>
      <c r="AC108" s="223"/>
      <c r="AD108" s="376"/>
      <c r="AE108" s="258"/>
      <c r="AF108" s="258"/>
      <c r="AG108" s="241"/>
      <c r="AH108" s="283"/>
      <c r="AI108" s="254"/>
      <c r="AJ108" s="348" t="s">
        <v>560</v>
      </c>
      <c r="AK108" s="241">
        <v>4</v>
      </c>
      <c r="AL108" s="122" t="s">
        <v>278</v>
      </c>
      <c r="AM108" s="122" t="s">
        <v>267</v>
      </c>
      <c r="AN108" s="110"/>
      <c r="AO108" s="110"/>
      <c r="AP108" s="115"/>
      <c r="AQ108" s="115"/>
      <c r="AR108" s="115"/>
      <c r="AS108" s="115"/>
      <c r="AT108" s="115"/>
    </row>
    <row r="109" spans="1:46" ht="39" customHeight="1" x14ac:dyDescent="0.25">
      <c r="A109" s="1468">
        <v>108</v>
      </c>
      <c r="B109" s="141">
        <v>1</v>
      </c>
      <c r="C109" s="378" t="s">
        <v>323</v>
      </c>
      <c r="D109" s="303"/>
      <c r="E109" s="241"/>
      <c r="F109" s="241"/>
      <c r="G109" s="261" t="s">
        <v>324</v>
      </c>
      <c r="H109" s="262" t="s">
        <v>87</v>
      </c>
      <c r="I109" s="357"/>
      <c r="J109" s="245" t="s">
        <v>561</v>
      </c>
      <c r="K109" s="197"/>
      <c r="L109" s="301" t="s">
        <v>1490</v>
      </c>
      <c r="M109" s="301" t="s">
        <v>1490</v>
      </c>
      <c r="N109" s="245"/>
      <c r="O109" s="216" t="s">
        <v>1513</v>
      </c>
      <c r="P109" s="320" t="s">
        <v>1828</v>
      </c>
      <c r="Q109" s="373" t="s">
        <v>87</v>
      </c>
      <c r="R109" s="982" t="s">
        <v>1523</v>
      </c>
      <c r="S109" s="279">
        <v>33324</v>
      </c>
      <c r="T109" s="250"/>
      <c r="U109" s="251" t="s">
        <v>886</v>
      </c>
      <c r="V109" s="197" t="s">
        <v>5903</v>
      </c>
      <c r="W109" s="197" t="s">
        <v>886</v>
      </c>
      <c r="X109" s="197" t="s">
        <v>886</v>
      </c>
      <c r="Y109" s="197"/>
      <c r="Z109" s="246">
        <v>45290</v>
      </c>
      <c r="AA109" s="252"/>
      <c r="AB109" s="281"/>
      <c r="AC109" s="281"/>
      <c r="AD109" s="281"/>
      <c r="AE109" s="252"/>
      <c r="AF109" s="252"/>
      <c r="AG109" s="282"/>
      <c r="AH109" s="282"/>
      <c r="AI109" s="296"/>
      <c r="AJ109" s="348" t="s">
        <v>560</v>
      </c>
      <c r="AK109" s="241">
        <v>4</v>
      </c>
      <c r="AL109" s="122" t="s">
        <v>278</v>
      </c>
      <c r="AM109" s="122" t="s">
        <v>267</v>
      </c>
      <c r="AN109" s="110"/>
      <c r="AO109" s="110"/>
      <c r="AP109" s="115"/>
      <c r="AQ109" s="115"/>
      <c r="AR109" s="115"/>
      <c r="AS109" s="115"/>
      <c r="AT109" s="115"/>
    </row>
    <row r="110" spans="1:46" ht="39" customHeight="1" x14ac:dyDescent="0.25">
      <c r="A110" s="1468">
        <v>109</v>
      </c>
      <c r="B110" s="141">
        <v>1</v>
      </c>
      <c r="C110" s="260" t="s">
        <v>325</v>
      </c>
      <c r="D110" s="241"/>
      <c r="E110" s="241"/>
      <c r="F110" s="241"/>
      <c r="G110" s="261" t="s">
        <v>324</v>
      </c>
      <c r="H110" s="262" t="s">
        <v>87</v>
      </c>
      <c r="I110" s="357"/>
      <c r="J110" s="245" t="s">
        <v>561</v>
      </c>
      <c r="K110" s="288"/>
      <c r="L110" s="281" t="s">
        <v>1860</v>
      </c>
      <c r="M110" s="281" t="s">
        <v>1860</v>
      </c>
      <c r="N110" s="366"/>
      <c r="O110" s="950" t="s">
        <v>1928</v>
      </c>
      <c r="P110" s="484" t="s">
        <v>1828</v>
      </c>
      <c r="Q110" s="344" t="s">
        <v>87</v>
      </c>
      <c r="R110" s="982" t="s">
        <v>1927</v>
      </c>
      <c r="S110" s="279">
        <v>27650</v>
      </c>
      <c r="T110" s="197"/>
      <c r="U110" s="251"/>
      <c r="V110" s="250"/>
      <c r="W110" s="197"/>
      <c r="X110" s="197"/>
      <c r="Y110" s="252"/>
      <c r="Z110" s="252"/>
      <c r="AA110" s="246"/>
      <c r="AB110" s="361"/>
      <c r="AC110" s="223"/>
      <c r="AD110" s="376"/>
      <c r="AE110" s="258"/>
      <c r="AF110" s="258"/>
      <c r="AG110" s="241"/>
      <c r="AH110" s="283"/>
      <c r="AI110" s="254"/>
      <c r="AJ110" s="348" t="s">
        <v>560</v>
      </c>
      <c r="AK110" s="241">
        <v>4</v>
      </c>
      <c r="AL110" s="122" t="s">
        <v>278</v>
      </c>
      <c r="AM110" s="122" t="s">
        <v>267</v>
      </c>
      <c r="AN110" s="110"/>
      <c r="AO110" s="110"/>
      <c r="AP110" s="115"/>
      <c r="AQ110" s="115"/>
      <c r="AR110" s="115"/>
      <c r="AS110" s="115"/>
      <c r="AT110" s="115"/>
    </row>
    <row r="111" spans="1:46" ht="39" customHeight="1" x14ac:dyDescent="0.25">
      <c r="A111" s="1468">
        <v>110</v>
      </c>
      <c r="B111" s="117"/>
      <c r="C111" s="324"/>
      <c r="D111" s="664"/>
      <c r="E111" s="664"/>
      <c r="F111" s="664"/>
      <c r="G111" s="227"/>
      <c r="H111" s="228"/>
      <c r="I111" s="228"/>
      <c r="J111" s="229"/>
      <c r="K111" s="227"/>
      <c r="L111" s="229"/>
      <c r="M111" s="229"/>
      <c r="N111" s="229"/>
      <c r="O111" s="229"/>
      <c r="P111" s="230" t="s">
        <v>327</v>
      </c>
      <c r="Q111" s="664"/>
      <c r="R111" s="229"/>
      <c r="S111" s="279"/>
      <c r="T111" s="229"/>
      <c r="U111" s="229"/>
      <c r="V111" s="229"/>
      <c r="W111" s="232"/>
      <c r="X111" s="232"/>
      <c r="Y111" s="232"/>
      <c r="Z111" s="233"/>
      <c r="AA111" s="234"/>
      <c r="AB111" s="235"/>
      <c r="AC111" s="236"/>
      <c r="AD111" s="235"/>
      <c r="AE111" s="237"/>
      <c r="AF111" s="233"/>
      <c r="AG111" s="664"/>
      <c r="AH111" s="238"/>
      <c r="AI111" s="239"/>
      <c r="AJ111" s="303"/>
      <c r="AK111" s="241"/>
      <c r="AL111" s="122"/>
      <c r="AM111" s="122"/>
      <c r="AN111" s="113"/>
      <c r="AO111" s="114"/>
      <c r="AP111" s="115"/>
      <c r="AQ111" s="115"/>
      <c r="AR111" s="115"/>
      <c r="AS111" s="115"/>
      <c r="AT111" s="116"/>
    </row>
    <row r="112" spans="1:46" ht="39" customHeight="1" x14ac:dyDescent="0.25">
      <c r="A112" s="1468">
        <v>111</v>
      </c>
      <c r="B112" s="141">
        <v>5</v>
      </c>
      <c r="C112" s="290" t="s">
        <v>288</v>
      </c>
      <c r="D112" s="291"/>
      <c r="E112" s="291" t="s">
        <v>47</v>
      </c>
      <c r="F112" s="291"/>
      <c r="G112" s="292" t="s">
        <v>289</v>
      </c>
      <c r="H112" s="370" t="s">
        <v>132</v>
      </c>
      <c r="I112" s="344">
        <v>144</v>
      </c>
      <c r="J112" s="256">
        <v>403</v>
      </c>
      <c r="K112" s="277"/>
      <c r="L112" s="281" t="s">
        <v>1860</v>
      </c>
      <c r="M112" s="281" t="s">
        <v>1860</v>
      </c>
      <c r="N112" s="276"/>
      <c r="O112" s="950" t="s">
        <v>1935</v>
      </c>
      <c r="P112" s="484" t="s">
        <v>1828</v>
      </c>
      <c r="Q112" s="344" t="s">
        <v>87</v>
      </c>
      <c r="R112" s="996" t="s">
        <v>1940</v>
      </c>
      <c r="S112" s="279">
        <v>31227</v>
      </c>
      <c r="T112" s="398"/>
      <c r="U112" s="251" t="s">
        <v>54</v>
      </c>
      <c r="V112" s="250" t="s">
        <v>1922</v>
      </c>
      <c r="W112" s="197" t="s">
        <v>56</v>
      </c>
      <c r="X112" s="197" t="s">
        <v>57</v>
      </c>
      <c r="Y112" s="252" t="s">
        <v>1933</v>
      </c>
      <c r="Z112" s="252">
        <v>45133</v>
      </c>
      <c r="AA112" s="486"/>
      <c r="AB112" s="487"/>
      <c r="AC112" s="488"/>
      <c r="AD112" s="487"/>
      <c r="AE112" s="398"/>
      <c r="AF112" s="398"/>
      <c r="AG112" s="487"/>
      <c r="AH112" s="489"/>
      <c r="AI112" s="490"/>
      <c r="AJ112" s="348" t="s">
        <v>560</v>
      </c>
      <c r="AK112" s="348">
        <v>3</v>
      </c>
      <c r="AL112" s="122" t="s">
        <v>278</v>
      </c>
      <c r="AM112" s="145" t="s">
        <v>267</v>
      </c>
      <c r="AN112" s="130"/>
      <c r="AO112" s="130"/>
      <c r="AP112" s="115"/>
      <c r="AQ112" s="115"/>
      <c r="AR112" s="115"/>
      <c r="AS112" s="115"/>
      <c r="AT112" s="115"/>
    </row>
    <row r="113" spans="1:46" ht="39" customHeight="1" x14ac:dyDescent="0.25">
      <c r="A113" s="1468">
        <v>112</v>
      </c>
      <c r="B113" s="141">
        <v>3</v>
      </c>
      <c r="C113" s="356" t="s">
        <v>290</v>
      </c>
      <c r="D113" s="241" t="s">
        <v>134</v>
      </c>
      <c r="E113" s="241"/>
      <c r="F113" s="241"/>
      <c r="G113" s="261" t="s">
        <v>291</v>
      </c>
      <c r="H113" s="262" t="s">
        <v>85</v>
      </c>
      <c r="I113" s="371"/>
      <c r="J113" s="245" t="s">
        <v>556</v>
      </c>
      <c r="K113" s="257"/>
      <c r="L113" s="299" t="s">
        <v>292</v>
      </c>
      <c r="M113" s="299" t="s">
        <v>292</v>
      </c>
      <c r="N113" s="299"/>
      <c r="O113" s="1357" t="s">
        <v>3176</v>
      </c>
      <c r="P113" s="300"/>
      <c r="Q113" s="344" t="s">
        <v>85</v>
      </c>
      <c r="R113" s="982" t="s">
        <v>329</v>
      </c>
      <c r="S113" s="279">
        <v>38077</v>
      </c>
      <c r="T113" s="289"/>
      <c r="U113" s="251" t="s">
        <v>54</v>
      </c>
      <c r="V113" s="299"/>
      <c r="W113" s="197" t="s">
        <v>56</v>
      </c>
      <c r="X113" s="299"/>
      <c r="Y113" s="299"/>
      <c r="Z113" s="299"/>
      <c r="AA113" s="289"/>
      <c r="AB113" s="299"/>
      <c r="AC113" s="223"/>
      <c r="AD113" s="299"/>
      <c r="AE113" s="289"/>
      <c r="AF113" s="289"/>
      <c r="AG113" s="299"/>
      <c r="AH113" s="299"/>
      <c r="AI113" s="223"/>
      <c r="AJ113" s="348" t="s">
        <v>560</v>
      </c>
      <c r="AK113" s="241">
        <v>4</v>
      </c>
      <c r="AL113" s="122" t="s">
        <v>278</v>
      </c>
      <c r="AM113" s="122" t="s">
        <v>267</v>
      </c>
      <c r="AN113" s="110" t="s">
        <v>4184</v>
      </c>
      <c r="AO113" s="130"/>
      <c r="AP113" s="115"/>
      <c r="AQ113" s="115"/>
      <c r="AR113" s="115"/>
      <c r="AS113" s="115"/>
      <c r="AT113" s="115"/>
    </row>
    <row r="114" spans="1:46" ht="39" customHeight="1" x14ac:dyDescent="0.25">
      <c r="A114" s="1468">
        <v>113</v>
      </c>
      <c r="B114" s="141">
        <v>3</v>
      </c>
      <c r="C114" s="358" t="s">
        <v>297</v>
      </c>
      <c r="D114" s="241" t="s">
        <v>134</v>
      </c>
      <c r="E114" s="241"/>
      <c r="F114" s="241"/>
      <c r="G114" s="261" t="s">
        <v>298</v>
      </c>
      <c r="H114" s="262" t="s">
        <v>85</v>
      </c>
      <c r="I114" s="371"/>
      <c r="J114" s="245" t="s">
        <v>556</v>
      </c>
      <c r="K114" s="301"/>
      <c r="L114" s="301" t="s">
        <v>5916</v>
      </c>
      <c r="M114" s="301" t="s">
        <v>5916</v>
      </c>
      <c r="N114" s="305"/>
      <c r="O114" s="1470" t="s">
        <v>6026</v>
      </c>
      <c r="P114" s="301"/>
      <c r="Q114" s="344" t="s">
        <v>567</v>
      </c>
      <c r="R114" s="982" t="s">
        <v>6025</v>
      </c>
      <c r="S114" s="279">
        <v>33487</v>
      </c>
      <c r="T114" s="306"/>
      <c r="U114" s="250"/>
      <c r="V114" s="306"/>
      <c r="W114" s="197"/>
      <c r="X114" s="197"/>
      <c r="Y114" s="306"/>
      <c r="Z114" s="306"/>
      <c r="AA114" s="301"/>
      <c r="AB114" s="301"/>
      <c r="AC114" s="223"/>
      <c r="AD114" s="306"/>
      <c r="AE114" s="306"/>
      <c r="AF114" s="306"/>
      <c r="AG114" s="305"/>
      <c r="AH114" s="283"/>
      <c r="AI114" s="296"/>
      <c r="AJ114" s="379" t="s">
        <v>560</v>
      </c>
      <c r="AK114" s="219">
        <v>4</v>
      </c>
      <c r="AL114" s="122" t="s">
        <v>278</v>
      </c>
      <c r="AM114" s="122" t="s">
        <v>267</v>
      </c>
      <c r="AN114" s="130"/>
      <c r="AO114" s="130"/>
      <c r="AP114" s="115"/>
      <c r="AQ114" s="115"/>
      <c r="AR114" s="115"/>
      <c r="AS114" s="115"/>
      <c r="AT114" s="116"/>
    </row>
    <row r="115" spans="1:46" ht="39" customHeight="1" x14ac:dyDescent="0.25">
      <c r="A115" s="1468">
        <v>114</v>
      </c>
      <c r="B115" s="141">
        <v>2</v>
      </c>
      <c r="C115" s="260" t="s">
        <v>311</v>
      </c>
      <c r="D115" s="241"/>
      <c r="E115" s="241"/>
      <c r="F115" s="241"/>
      <c r="G115" s="261" t="s">
        <v>312</v>
      </c>
      <c r="H115" s="262" t="s">
        <v>85</v>
      </c>
      <c r="I115" s="371"/>
      <c r="J115" s="245" t="s">
        <v>556</v>
      </c>
      <c r="K115" s="197"/>
      <c r="L115" s="281" t="s">
        <v>1898</v>
      </c>
      <c r="M115" s="281" t="s">
        <v>1898</v>
      </c>
      <c r="N115" s="366"/>
      <c r="O115" s="1284" t="s">
        <v>3418</v>
      </c>
      <c r="P115" s="304" t="s">
        <v>1828</v>
      </c>
      <c r="Q115" s="344" t="s">
        <v>132</v>
      </c>
      <c r="R115" s="982" t="s">
        <v>3417</v>
      </c>
      <c r="S115" s="279">
        <v>25273</v>
      </c>
      <c r="T115" s="250"/>
      <c r="U115" s="251" t="s">
        <v>54</v>
      </c>
      <c r="V115" s="1284" t="s">
        <v>5520</v>
      </c>
      <c r="W115" s="197" t="s">
        <v>56</v>
      </c>
      <c r="X115" s="197" t="s">
        <v>57</v>
      </c>
      <c r="Y115" s="981" t="s">
        <v>5521</v>
      </c>
      <c r="Z115" s="289">
        <v>45154</v>
      </c>
      <c r="AA115" s="289"/>
      <c r="AB115" s="299"/>
      <c r="AC115" s="223"/>
      <c r="AD115" s="299"/>
      <c r="AE115" s="289"/>
      <c r="AF115" s="289"/>
      <c r="AG115" s="299"/>
      <c r="AH115" s="299"/>
      <c r="AI115" s="296"/>
      <c r="AJ115" s="348" t="s">
        <v>560</v>
      </c>
      <c r="AK115" s="241">
        <v>4</v>
      </c>
      <c r="AL115" s="122" t="s">
        <v>278</v>
      </c>
      <c r="AM115" s="122" t="s">
        <v>267</v>
      </c>
      <c r="AN115" s="130"/>
      <c r="AO115" s="130"/>
      <c r="AP115" s="115"/>
      <c r="AQ115" s="115"/>
      <c r="AR115" s="115"/>
      <c r="AS115" s="115"/>
      <c r="AT115" s="115"/>
    </row>
    <row r="116" spans="1:46" ht="39" customHeight="1" x14ac:dyDescent="0.25">
      <c r="A116" s="1468">
        <v>115</v>
      </c>
      <c r="B116" s="141">
        <v>2</v>
      </c>
      <c r="C116" s="260" t="s">
        <v>317</v>
      </c>
      <c r="D116" s="241"/>
      <c r="E116" s="241"/>
      <c r="F116" s="241"/>
      <c r="G116" s="261" t="s">
        <v>318</v>
      </c>
      <c r="H116" s="262" t="s">
        <v>87</v>
      </c>
      <c r="I116" s="371"/>
      <c r="J116" s="245" t="s">
        <v>561</v>
      </c>
      <c r="K116" s="280"/>
      <c r="L116" s="441" t="s">
        <v>1898</v>
      </c>
      <c r="M116" s="441" t="s">
        <v>1898</v>
      </c>
      <c r="N116" s="451"/>
      <c r="O116" s="951" t="s">
        <v>1964</v>
      </c>
      <c r="P116" s="484" t="s">
        <v>1828</v>
      </c>
      <c r="Q116" s="709" t="s">
        <v>293</v>
      </c>
      <c r="R116" s="998" t="s">
        <v>1963</v>
      </c>
      <c r="S116" s="279">
        <v>25811</v>
      </c>
      <c r="T116" s="280"/>
      <c r="U116" s="251" t="s">
        <v>54</v>
      </c>
      <c r="V116" s="443" t="s">
        <v>1922</v>
      </c>
      <c r="W116" s="280" t="s">
        <v>56</v>
      </c>
      <c r="X116" s="280" t="s">
        <v>57</v>
      </c>
      <c r="Y116" s="252" t="s">
        <v>1933</v>
      </c>
      <c r="Z116" s="398">
        <v>45133</v>
      </c>
      <c r="AA116" s="441"/>
      <c r="AB116" s="276"/>
      <c r="AC116" s="488"/>
      <c r="AD116" s="276"/>
      <c r="AE116" s="399"/>
      <c r="AF116" s="399"/>
      <c r="AG116" s="476"/>
      <c r="AH116" s="871"/>
      <c r="AI116" s="760"/>
      <c r="AJ116" s="491" t="s">
        <v>560</v>
      </c>
      <c r="AK116" s="241">
        <v>4</v>
      </c>
      <c r="AL116" s="122" t="s">
        <v>278</v>
      </c>
      <c r="AM116" s="122" t="s">
        <v>267</v>
      </c>
      <c r="AN116" s="130"/>
      <c r="AO116" s="130"/>
      <c r="AP116" s="115"/>
      <c r="AQ116" s="115"/>
      <c r="AR116" s="115"/>
      <c r="AS116" s="115"/>
      <c r="AT116" s="115"/>
    </row>
    <row r="117" spans="1:46" ht="39" customHeight="1" x14ac:dyDescent="0.25">
      <c r="A117" s="1468">
        <v>116</v>
      </c>
      <c r="B117" s="146">
        <v>2</v>
      </c>
      <c r="C117" s="260" t="s">
        <v>319</v>
      </c>
      <c r="D117" s="241"/>
      <c r="E117" s="241"/>
      <c r="F117" s="241"/>
      <c r="G117" s="261" t="s">
        <v>320</v>
      </c>
      <c r="H117" s="262" t="s">
        <v>87</v>
      </c>
      <c r="I117" s="357"/>
      <c r="J117" s="245" t="s">
        <v>561</v>
      </c>
      <c r="K117" s="257"/>
      <c r="L117" s="299"/>
      <c r="M117" s="299"/>
      <c r="N117" s="245"/>
      <c r="O117" s="385" t="s">
        <v>2515</v>
      </c>
      <c r="P117" s="374"/>
      <c r="Q117" s="373" t="s">
        <v>87</v>
      </c>
      <c r="R117" s="982" t="s">
        <v>2514</v>
      </c>
      <c r="S117" s="279">
        <v>26812</v>
      </c>
      <c r="T117" s="289"/>
      <c r="U117" s="251" t="s">
        <v>54</v>
      </c>
      <c r="V117" s="250" t="s">
        <v>2793</v>
      </c>
      <c r="W117" s="197" t="s">
        <v>56</v>
      </c>
      <c r="X117" s="197" t="s">
        <v>57</v>
      </c>
      <c r="Y117" s="197" t="s">
        <v>2609</v>
      </c>
      <c r="Z117" s="246">
        <v>45186</v>
      </c>
      <c r="AA117" s="281"/>
      <c r="AB117" s="245"/>
      <c r="AC117" s="223"/>
      <c r="AD117" s="245"/>
      <c r="AE117" s="289"/>
      <c r="AF117" s="289"/>
      <c r="AG117" s="241"/>
      <c r="AH117" s="253"/>
      <c r="AI117" s="284"/>
      <c r="AJ117" s="348" t="s">
        <v>560</v>
      </c>
      <c r="AK117" s="241">
        <v>4</v>
      </c>
      <c r="AL117" s="122" t="s">
        <v>278</v>
      </c>
      <c r="AM117" s="122" t="s">
        <v>267</v>
      </c>
      <c r="AN117" s="110"/>
      <c r="AO117" s="110"/>
      <c r="AP117" s="115"/>
      <c r="AQ117" s="115"/>
      <c r="AR117" s="115"/>
      <c r="AS117" s="115"/>
      <c r="AT117" s="115"/>
    </row>
    <row r="118" spans="1:46" ht="39" customHeight="1" x14ac:dyDescent="0.25">
      <c r="A118" s="1468">
        <v>117</v>
      </c>
      <c r="B118" s="141">
        <v>2</v>
      </c>
      <c r="C118" s="378" t="s">
        <v>321</v>
      </c>
      <c r="D118" s="303"/>
      <c r="E118" s="241"/>
      <c r="F118" s="241"/>
      <c r="G118" s="261" t="s">
        <v>322</v>
      </c>
      <c r="H118" s="262" t="s">
        <v>87</v>
      </c>
      <c r="I118" s="364"/>
      <c r="J118" s="245" t="s">
        <v>561</v>
      </c>
      <c r="K118" s="216"/>
      <c r="L118" s="301" t="s">
        <v>1860</v>
      </c>
      <c r="M118" s="301" t="s">
        <v>1860</v>
      </c>
      <c r="N118" s="366"/>
      <c r="O118" s="950" t="s">
        <v>1889</v>
      </c>
      <c r="P118" s="484" t="s">
        <v>1828</v>
      </c>
      <c r="Q118" s="344" t="s">
        <v>567</v>
      </c>
      <c r="R118" s="982" t="s">
        <v>3253</v>
      </c>
      <c r="S118" s="279">
        <v>35717</v>
      </c>
      <c r="T118" s="250"/>
      <c r="U118" s="251" t="s">
        <v>54</v>
      </c>
      <c r="V118" s="250" t="s">
        <v>1922</v>
      </c>
      <c r="W118" s="197" t="s">
        <v>56</v>
      </c>
      <c r="X118" s="197" t="s">
        <v>57</v>
      </c>
      <c r="Y118" s="252" t="s">
        <v>1933</v>
      </c>
      <c r="Z118" s="252">
        <v>45133</v>
      </c>
      <c r="AA118" s="306"/>
      <c r="AB118" s="301"/>
      <c r="AC118" s="223"/>
      <c r="AD118" s="301"/>
      <c r="AE118" s="306"/>
      <c r="AF118" s="306"/>
      <c r="AG118" s="301"/>
      <c r="AH118" s="301"/>
      <c r="AI118" s="254"/>
      <c r="AJ118" s="348" t="s">
        <v>560</v>
      </c>
      <c r="AK118" s="241">
        <v>4</v>
      </c>
      <c r="AL118" s="122" t="s">
        <v>278</v>
      </c>
      <c r="AM118" s="122" t="s">
        <v>267</v>
      </c>
      <c r="AN118" s="110"/>
      <c r="AO118" s="110"/>
      <c r="AP118" s="115"/>
      <c r="AQ118" s="115"/>
      <c r="AR118" s="115"/>
      <c r="AS118" s="115"/>
      <c r="AT118" s="116"/>
    </row>
    <row r="119" spans="1:46" ht="39" customHeight="1" x14ac:dyDescent="0.25">
      <c r="A119" s="1468">
        <v>118</v>
      </c>
      <c r="B119" s="141">
        <v>1</v>
      </c>
      <c r="C119" s="378" t="s">
        <v>323</v>
      </c>
      <c r="D119" s="303"/>
      <c r="E119" s="241"/>
      <c r="F119" s="241"/>
      <c r="G119" s="261" t="s">
        <v>324</v>
      </c>
      <c r="H119" s="262" t="s">
        <v>87</v>
      </c>
      <c r="I119" s="357"/>
      <c r="J119" s="245" t="s">
        <v>561</v>
      </c>
      <c r="K119" s="288"/>
      <c r="L119" s="281" t="s">
        <v>1430</v>
      </c>
      <c r="M119" s="281" t="s">
        <v>1684</v>
      </c>
      <c r="N119" s="305"/>
      <c r="O119" s="216" t="s">
        <v>3471</v>
      </c>
      <c r="P119" s="325"/>
      <c r="Q119" s="344" t="s">
        <v>87</v>
      </c>
      <c r="R119" s="982" t="s">
        <v>1440</v>
      </c>
      <c r="S119" s="279">
        <v>37470</v>
      </c>
      <c r="T119" s="197"/>
      <c r="U119" s="251" t="s">
        <v>54</v>
      </c>
      <c r="V119" s="197" t="s">
        <v>2378</v>
      </c>
      <c r="W119" s="819" t="s">
        <v>56</v>
      </c>
      <c r="X119" s="819" t="s">
        <v>57</v>
      </c>
      <c r="Y119" s="949" t="s">
        <v>2379</v>
      </c>
      <c r="Z119" s="246">
        <v>45177</v>
      </c>
      <c r="AA119" s="289"/>
      <c r="AB119" s="299"/>
      <c r="AC119" s="223"/>
      <c r="AD119" s="299"/>
      <c r="AE119" s="289"/>
      <c r="AF119" s="289"/>
      <c r="AG119" s="299"/>
      <c r="AH119" s="299"/>
      <c r="AI119" s="254"/>
      <c r="AJ119" s="348" t="s">
        <v>560</v>
      </c>
      <c r="AK119" s="241">
        <v>4</v>
      </c>
      <c r="AL119" s="122" t="s">
        <v>278</v>
      </c>
      <c r="AM119" s="122" t="s">
        <v>267</v>
      </c>
      <c r="AN119" s="110"/>
      <c r="AO119" s="110"/>
      <c r="AP119" s="115"/>
      <c r="AQ119" s="115"/>
      <c r="AR119" s="115"/>
      <c r="AS119" s="115"/>
      <c r="AT119" s="115"/>
    </row>
    <row r="120" spans="1:46" ht="39" customHeight="1" x14ac:dyDescent="0.25">
      <c r="A120" s="1468">
        <v>119</v>
      </c>
      <c r="B120" s="141">
        <v>2</v>
      </c>
      <c r="C120" s="260" t="s">
        <v>325</v>
      </c>
      <c r="D120" s="241"/>
      <c r="E120" s="241"/>
      <c r="F120" s="241"/>
      <c r="G120" s="261" t="s">
        <v>324</v>
      </c>
      <c r="H120" s="262" t="s">
        <v>87</v>
      </c>
      <c r="I120" s="357"/>
      <c r="J120" s="245" t="s">
        <v>561</v>
      </c>
      <c r="K120" s="197"/>
      <c r="L120" s="299"/>
      <c r="M120" s="299"/>
      <c r="N120" s="245"/>
      <c r="O120" s="216"/>
      <c r="P120" s="387"/>
      <c r="Q120" s="344"/>
      <c r="R120" s="982" t="s">
        <v>66</v>
      </c>
      <c r="S120" s="279"/>
      <c r="T120" s="289"/>
      <c r="U120" s="250"/>
      <c r="V120" s="250"/>
      <c r="W120" s="197"/>
      <c r="X120" s="197"/>
      <c r="Y120" s="197"/>
      <c r="Z120" s="246"/>
      <c r="AA120" s="281"/>
      <c r="AB120" s="245"/>
      <c r="AC120" s="223"/>
      <c r="AD120" s="245"/>
      <c r="AE120" s="289"/>
      <c r="AF120" s="289"/>
      <c r="AG120" s="241"/>
      <c r="AH120" s="253"/>
      <c r="AI120" s="284"/>
      <c r="AJ120" s="348"/>
      <c r="AK120" s="241">
        <v>4</v>
      </c>
      <c r="AL120" s="122" t="s">
        <v>278</v>
      </c>
      <c r="AM120" s="122" t="s">
        <v>267</v>
      </c>
      <c r="AN120" s="110"/>
      <c r="AO120" s="110"/>
      <c r="AP120" s="115"/>
      <c r="AQ120" s="115"/>
      <c r="AR120" s="115"/>
      <c r="AS120" s="115"/>
      <c r="AT120" s="115"/>
    </row>
    <row r="121" spans="1:46" ht="39" customHeight="1" x14ac:dyDescent="0.25">
      <c r="A121" s="1468">
        <v>120</v>
      </c>
      <c r="B121" s="117"/>
      <c r="C121" s="324"/>
      <c r="D121" s="664"/>
      <c r="E121" s="664"/>
      <c r="F121" s="664"/>
      <c r="G121" s="227"/>
      <c r="H121" s="228"/>
      <c r="I121" s="228"/>
      <c r="J121" s="229"/>
      <c r="K121" s="227"/>
      <c r="L121" s="229"/>
      <c r="M121" s="229"/>
      <c r="N121" s="229"/>
      <c r="O121" s="265"/>
      <c r="P121" s="390" t="s">
        <v>328</v>
      </c>
      <c r="Q121" s="391"/>
      <c r="R121" s="318"/>
      <c r="S121" s="279"/>
      <c r="T121" s="318"/>
      <c r="U121" s="229"/>
      <c r="V121" s="318"/>
      <c r="W121" s="232"/>
      <c r="X121" s="232"/>
      <c r="Y121" s="232"/>
      <c r="Z121" s="233"/>
      <c r="AA121" s="234"/>
      <c r="AB121" s="235"/>
      <c r="AC121" s="236"/>
      <c r="AD121" s="235"/>
      <c r="AE121" s="237"/>
      <c r="AF121" s="233"/>
      <c r="AG121" s="664"/>
      <c r="AH121" s="238"/>
      <c r="AI121" s="239"/>
      <c r="AJ121" s="303"/>
      <c r="AK121" s="241"/>
      <c r="AL121" s="122"/>
      <c r="AM121" s="122"/>
      <c r="AN121" s="113"/>
      <c r="AO121" s="114"/>
      <c r="AP121" s="115"/>
      <c r="AQ121" s="115"/>
      <c r="AR121" s="115"/>
      <c r="AS121" s="115"/>
      <c r="AT121" s="116"/>
    </row>
    <row r="122" spans="1:46" ht="39" customHeight="1" x14ac:dyDescent="0.25">
      <c r="A122" s="1468">
        <v>121</v>
      </c>
      <c r="B122" s="146">
        <v>10</v>
      </c>
      <c r="C122" s="240" t="s">
        <v>305</v>
      </c>
      <c r="D122" s="242"/>
      <c r="E122" s="242" t="s">
        <v>47</v>
      </c>
      <c r="F122" s="242"/>
      <c r="G122" s="243" t="s">
        <v>91</v>
      </c>
      <c r="H122" s="244" t="s">
        <v>83</v>
      </c>
      <c r="I122" s="349"/>
      <c r="J122" s="245">
        <v>302</v>
      </c>
      <c r="K122" s="197" t="s">
        <v>50</v>
      </c>
      <c r="L122" s="1536" t="s">
        <v>1815</v>
      </c>
      <c r="M122" s="1476" t="s">
        <v>1815</v>
      </c>
      <c r="N122" s="366"/>
      <c r="O122" s="216" t="s">
        <v>2585</v>
      </c>
      <c r="P122" s="706" t="s">
        <v>1411</v>
      </c>
      <c r="Q122" s="338" t="s">
        <v>119</v>
      </c>
      <c r="R122" s="259" t="s">
        <v>580</v>
      </c>
      <c r="S122" s="279">
        <v>35078</v>
      </c>
      <c r="T122" s="366"/>
      <c r="U122" s="251" t="s">
        <v>54</v>
      </c>
      <c r="V122" s="197" t="s">
        <v>3519</v>
      </c>
      <c r="W122" s="197" t="s">
        <v>56</v>
      </c>
      <c r="X122" s="197" t="s">
        <v>57</v>
      </c>
      <c r="Y122" s="288" t="s">
        <v>2609</v>
      </c>
      <c r="Z122" s="612">
        <v>45208</v>
      </c>
      <c r="AA122" s="252"/>
      <c r="AB122" s="1289"/>
      <c r="AC122" s="366"/>
      <c r="AD122" s="658"/>
      <c r="AE122" s="366"/>
      <c r="AF122" s="366"/>
      <c r="AG122" s="366"/>
      <c r="AH122" s="366"/>
      <c r="AI122" s="1476"/>
      <c r="AJ122" s="607" t="s">
        <v>62</v>
      </c>
      <c r="AK122" s="242">
        <v>1</v>
      </c>
      <c r="AL122" s="123" t="s">
        <v>278</v>
      </c>
      <c r="AM122" s="123" t="s">
        <v>267</v>
      </c>
      <c r="AN122" s="124"/>
      <c r="AO122" s="124"/>
      <c r="AP122" s="115"/>
      <c r="AQ122" s="115"/>
      <c r="AR122" s="115"/>
      <c r="AS122" s="115"/>
      <c r="AT122" s="115"/>
    </row>
    <row r="123" spans="1:46" ht="39" customHeight="1" x14ac:dyDescent="0.25">
      <c r="A123" s="1468">
        <v>122</v>
      </c>
      <c r="B123" s="117"/>
      <c r="C123" s="324"/>
      <c r="D123" s="664"/>
      <c r="E123" s="664"/>
      <c r="F123" s="664"/>
      <c r="G123" s="227"/>
      <c r="H123" s="228"/>
      <c r="I123" s="228"/>
      <c r="J123" s="229"/>
      <c r="K123" s="788"/>
      <c r="L123" s="329"/>
      <c r="M123" s="329"/>
      <c r="N123" s="329"/>
      <c r="O123" s="330"/>
      <c r="P123" s="273" t="s">
        <v>306</v>
      </c>
      <c r="Q123" s="331"/>
      <c r="R123" s="318"/>
      <c r="S123" s="279"/>
      <c r="T123" s="229"/>
      <c r="U123" s="229"/>
      <c r="V123" s="229"/>
      <c r="W123" s="369"/>
      <c r="X123" s="369"/>
      <c r="Y123" s="369"/>
      <c r="Z123" s="702"/>
      <c r="AA123" s="790"/>
      <c r="AB123" s="701"/>
      <c r="AC123" s="703"/>
      <c r="AD123" s="701"/>
      <c r="AE123" s="791"/>
      <c r="AF123" s="702"/>
      <c r="AG123" s="391"/>
      <c r="AH123" s="704"/>
      <c r="AI123" s="705"/>
      <c r="AJ123" s="303"/>
      <c r="AK123" s="241"/>
      <c r="AL123" s="122"/>
      <c r="AM123" s="122"/>
      <c r="AN123" s="113"/>
      <c r="AO123" s="114"/>
      <c r="AP123" s="115"/>
      <c r="AQ123" s="115"/>
      <c r="AR123" s="115"/>
      <c r="AS123" s="115"/>
      <c r="AT123" s="116"/>
    </row>
    <row r="124" spans="1:46" ht="39" customHeight="1" x14ac:dyDescent="0.25">
      <c r="A124" s="1468">
        <v>123</v>
      </c>
      <c r="B124" s="141">
        <v>7</v>
      </c>
      <c r="C124" s="290" t="s">
        <v>307</v>
      </c>
      <c r="D124" s="291"/>
      <c r="E124" s="291" t="s">
        <v>47</v>
      </c>
      <c r="F124" s="291"/>
      <c r="G124" s="292" t="s">
        <v>308</v>
      </c>
      <c r="H124" s="370" t="s">
        <v>132</v>
      </c>
      <c r="I124" s="371" t="s">
        <v>309</v>
      </c>
      <c r="J124" s="256">
        <v>403</v>
      </c>
      <c r="K124" s="216"/>
      <c r="L124" s="301"/>
      <c r="M124" s="301"/>
      <c r="N124" s="245"/>
      <c r="O124" s="950"/>
      <c r="P124" s="325"/>
      <c r="Q124" s="344"/>
      <c r="R124" s="1166" t="s">
        <v>66</v>
      </c>
      <c r="S124" s="279"/>
      <c r="T124" s="250"/>
      <c r="U124" s="250"/>
      <c r="V124" s="250"/>
      <c r="W124" s="197"/>
      <c r="X124" s="197"/>
      <c r="Y124" s="252"/>
      <c r="Z124" s="252"/>
      <c r="AA124" s="305"/>
      <c r="AB124" s="288"/>
      <c r="AC124" s="223"/>
      <c r="AD124" s="306"/>
      <c r="AE124" s="384"/>
      <c r="AF124" s="307"/>
      <c r="AG124" s="305"/>
      <c r="AH124" s="305"/>
      <c r="AI124" s="254"/>
      <c r="AJ124" s="348"/>
      <c r="AK124" s="348">
        <v>3</v>
      </c>
      <c r="AL124" s="145" t="s">
        <v>278</v>
      </c>
      <c r="AM124" s="145" t="s">
        <v>267</v>
      </c>
      <c r="AN124" s="130"/>
      <c r="AO124" s="130"/>
      <c r="AP124" s="115"/>
      <c r="AQ124" s="115"/>
      <c r="AR124" s="115"/>
      <c r="AS124" s="115"/>
      <c r="AT124" s="115"/>
    </row>
    <row r="125" spans="1:46" ht="39" customHeight="1" x14ac:dyDescent="0.25">
      <c r="A125" s="1468">
        <v>124</v>
      </c>
      <c r="B125" s="141">
        <v>3</v>
      </c>
      <c r="C125" s="356" t="s">
        <v>290</v>
      </c>
      <c r="D125" s="241" t="s">
        <v>134</v>
      </c>
      <c r="E125" s="241"/>
      <c r="F125" s="241"/>
      <c r="G125" s="261" t="s">
        <v>291</v>
      </c>
      <c r="H125" s="262" t="s">
        <v>85</v>
      </c>
      <c r="I125" s="371"/>
      <c r="J125" s="245" t="s">
        <v>556</v>
      </c>
      <c r="K125" s="268"/>
      <c r="L125" s="836" t="s">
        <v>1526</v>
      </c>
      <c r="M125" s="836" t="s">
        <v>1526</v>
      </c>
      <c r="N125" s="428"/>
      <c r="O125" s="736" t="s">
        <v>1534</v>
      </c>
      <c r="P125" s="428"/>
      <c r="Q125" s="741" t="s">
        <v>293</v>
      </c>
      <c r="R125" s="834" t="s">
        <v>1533</v>
      </c>
      <c r="S125" s="279">
        <v>34499</v>
      </c>
      <c r="T125" s="268"/>
      <c r="U125" s="251" t="s">
        <v>54</v>
      </c>
      <c r="V125" s="414" t="s">
        <v>1922</v>
      </c>
      <c r="W125" s="268" t="s">
        <v>56</v>
      </c>
      <c r="X125" s="268" t="s">
        <v>57</v>
      </c>
      <c r="Y125" s="395" t="s">
        <v>1933</v>
      </c>
      <c r="Z125" s="246">
        <v>45141</v>
      </c>
      <c r="AA125" s="1034"/>
      <c r="AB125" s="836"/>
      <c r="AC125" s="474"/>
      <c r="AD125" s="836"/>
      <c r="AE125" s="815"/>
      <c r="AF125" s="815"/>
      <c r="AG125" s="626"/>
      <c r="AH125" s="585"/>
      <c r="AI125" s="719"/>
      <c r="AJ125" s="348" t="s">
        <v>560</v>
      </c>
      <c r="AK125" s="241">
        <v>4</v>
      </c>
      <c r="AL125" s="122" t="s">
        <v>278</v>
      </c>
      <c r="AM125" s="122" t="s">
        <v>267</v>
      </c>
      <c r="AN125" s="110" t="s">
        <v>4184</v>
      </c>
      <c r="AO125" s="130"/>
      <c r="AP125" s="115"/>
      <c r="AQ125" s="149"/>
      <c r="AR125" s="115"/>
      <c r="AS125" s="115"/>
      <c r="AT125" s="115"/>
    </row>
    <row r="126" spans="1:46" ht="39" customHeight="1" x14ac:dyDescent="0.25">
      <c r="A126" s="1468">
        <v>125</v>
      </c>
      <c r="B126" s="141">
        <v>3</v>
      </c>
      <c r="C126" s="358" t="s">
        <v>297</v>
      </c>
      <c r="D126" s="241" t="s">
        <v>134</v>
      </c>
      <c r="E126" s="241"/>
      <c r="F126" s="241"/>
      <c r="G126" s="261" t="s">
        <v>298</v>
      </c>
      <c r="H126" s="262" t="s">
        <v>85</v>
      </c>
      <c r="I126" s="371"/>
      <c r="J126" s="245" t="s">
        <v>556</v>
      </c>
      <c r="K126" s="216"/>
      <c r="L126" s="252" t="s">
        <v>2079</v>
      </c>
      <c r="M126" s="252" t="s">
        <v>2079</v>
      </c>
      <c r="N126" s="245"/>
      <c r="O126" s="216" t="s">
        <v>2191</v>
      </c>
      <c r="P126" s="247" t="s">
        <v>1828</v>
      </c>
      <c r="Q126" s="298" t="s">
        <v>87</v>
      </c>
      <c r="R126" s="982" t="s">
        <v>2190</v>
      </c>
      <c r="S126" s="279">
        <v>32575</v>
      </c>
      <c r="T126" s="250"/>
      <c r="U126" s="251" t="s">
        <v>54</v>
      </c>
      <c r="V126" s="197" t="s">
        <v>2378</v>
      </c>
      <c r="W126" s="197" t="s">
        <v>56</v>
      </c>
      <c r="X126" s="819" t="s">
        <v>57</v>
      </c>
      <c r="Y126" s="949" t="s">
        <v>2379</v>
      </c>
      <c r="Z126" s="246">
        <v>45177</v>
      </c>
      <c r="AA126" s="252"/>
      <c r="AB126" s="245"/>
      <c r="AC126" s="223"/>
      <c r="AD126" s="245"/>
      <c r="AE126" s="258"/>
      <c r="AF126" s="258"/>
      <c r="AG126" s="241"/>
      <c r="AH126" s="253"/>
      <c r="AI126" s="296"/>
      <c r="AJ126" s="379" t="s">
        <v>560</v>
      </c>
      <c r="AK126" s="241">
        <v>4</v>
      </c>
      <c r="AL126" s="122" t="s">
        <v>278</v>
      </c>
      <c r="AM126" s="122" t="s">
        <v>267</v>
      </c>
      <c r="AN126" s="130"/>
      <c r="AO126" s="130"/>
      <c r="AP126" s="115"/>
      <c r="AQ126" s="149"/>
      <c r="AR126" s="115"/>
      <c r="AS126" s="115"/>
      <c r="AT126" s="116"/>
    </row>
    <row r="127" spans="1:46" ht="39" customHeight="1" x14ac:dyDescent="0.25">
      <c r="A127" s="1468">
        <v>126</v>
      </c>
      <c r="B127" s="141">
        <v>2</v>
      </c>
      <c r="C127" s="260" t="s">
        <v>311</v>
      </c>
      <c r="D127" s="241"/>
      <c r="E127" s="241"/>
      <c r="F127" s="241"/>
      <c r="G127" s="261" t="s">
        <v>312</v>
      </c>
      <c r="H127" s="262" t="s">
        <v>85</v>
      </c>
      <c r="I127" s="371"/>
      <c r="J127" s="245" t="s">
        <v>556</v>
      </c>
      <c r="K127" s="197"/>
      <c r="L127" s="281" t="s">
        <v>1848</v>
      </c>
      <c r="M127" s="281" t="s">
        <v>1848</v>
      </c>
      <c r="N127" s="366"/>
      <c r="O127" s="950" t="s">
        <v>1876</v>
      </c>
      <c r="P127" s="484" t="s">
        <v>1828</v>
      </c>
      <c r="Q127" s="373" t="s">
        <v>87</v>
      </c>
      <c r="R127" s="982" t="s">
        <v>1875</v>
      </c>
      <c r="S127" s="279">
        <v>37049</v>
      </c>
      <c r="T127" s="250"/>
      <c r="U127" s="251" t="s">
        <v>54</v>
      </c>
      <c r="V127" s="250" t="s">
        <v>1922</v>
      </c>
      <c r="W127" s="197" t="s">
        <v>56</v>
      </c>
      <c r="X127" s="197" t="s">
        <v>57</v>
      </c>
      <c r="Y127" s="252" t="s">
        <v>1933</v>
      </c>
      <c r="Z127" s="252">
        <v>45133</v>
      </c>
      <c r="AA127" s="289"/>
      <c r="AB127" s="299"/>
      <c r="AC127" s="223"/>
      <c r="AD127" s="299"/>
      <c r="AE127" s="289"/>
      <c r="AF127" s="289"/>
      <c r="AG127" s="299"/>
      <c r="AH127" s="299"/>
      <c r="AI127" s="296"/>
      <c r="AJ127" s="348" t="s">
        <v>560</v>
      </c>
      <c r="AK127" s="241">
        <v>4</v>
      </c>
      <c r="AL127" s="122" t="s">
        <v>278</v>
      </c>
      <c r="AM127" s="122" t="s">
        <v>267</v>
      </c>
      <c r="AN127" s="130"/>
      <c r="AO127" s="130"/>
      <c r="AP127" s="115"/>
      <c r="AQ127" s="149"/>
      <c r="AR127" s="115"/>
      <c r="AS127" s="115"/>
      <c r="AT127" s="115"/>
    </row>
    <row r="128" spans="1:46" ht="39" customHeight="1" x14ac:dyDescent="0.25">
      <c r="A128" s="1468">
        <v>127</v>
      </c>
      <c r="B128" s="141">
        <v>2</v>
      </c>
      <c r="C128" s="260" t="s">
        <v>317</v>
      </c>
      <c r="D128" s="241"/>
      <c r="E128" s="241"/>
      <c r="F128" s="241"/>
      <c r="G128" s="261" t="s">
        <v>318</v>
      </c>
      <c r="H128" s="262" t="s">
        <v>87</v>
      </c>
      <c r="I128" s="371"/>
      <c r="J128" s="245" t="s">
        <v>561</v>
      </c>
      <c r="K128" s="257"/>
      <c r="L128" s="299" t="s">
        <v>1983</v>
      </c>
      <c r="M128" s="299" t="s">
        <v>1983</v>
      </c>
      <c r="N128" s="245"/>
      <c r="O128" s="216" t="s">
        <v>2345</v>
      </c>
      <c r="P128" s="484" t="s">
        <v>1828</v>
      </c>
      <c r="Q128" s="344" t="s">
        <v>87</v>
      </c>
      <c r="R128" s="982" t="s">
        <v>2344</v>
      </c>
      <c r="S128" s="279">
        <v>30808</v>
      </c>
      <c r="T128" s="289"/>
      <c r="U128" s="251" t="s">
        <v>54</v>
      </c>
      <c r="V128" s="250" t="s">
        <v>2793</v>
      </c>
      <c r="W128" s="197" t="s">
        <v>56</v>
      </c>
      <c r="X128" s="197" t="s">
        <v>57</v>
      </c>
      <c r="Y128" s="197" t="s">
        <v>2609</v>
      </c>
      <c r="Z128" s="246">
        <v>45139</v>
      </c>
      <c r="AA128" s="281"/>
      <c r="AB128" s="245"/>
      <c r="AC128" s="223"/>
      <c r="AD128" s="245"/>
      <c r="AE128" s="289"/>
      <c r="AF128" s="289"/>
      <c r="AG128" s="241"/>
      <c r="AH128" s="253"/>
      <c r="AI128" s="284"/>
      <c r="AJ128" s="348" t="s">
        <v>560</v>
      </c>
      <c r="AK128" s="241">
        <v>4</v>
      </c>
      <c r="AL128" s="122" t="s">
        <v>278</v>
      </c>
      <c r="AM128" s="122" t="s">
        <v>267</v>
      </c>
      <c r="AN128" s="130"/>
      <c r="AO128" s="130"/>
      <c r="AP128" s="115"/>
      <c r="AQ128" s="149"/>
      <c r="AR128" s="115"/>
      <c r="AS128" s="115"/>
      <c r="AT128" s="115"/>
    </row>
    <row r="129" spans="1:46" ht="39" customHeight="1" x14ac:dyDescent="0.25">
      <c r="A129" s="1468">
        <v>128</v>
      </c>
      <c r="B129" s="146">
        <v>2</v>
      </c>
      <c r="C129" s="260" t="s">
        <v>319</v>
      </c>
      <c r="D129" s="241"/>
      <c r="E129" s="241"/>
      <c r="F129" s="241"/>
      <c r="G129" s="261" t="s">
        <v>320</v>
      </c>
      <c r="H129" s="262" t="s">
        <v>87</v>
      </c>
      <c r="I129" s="357"/>
      <c r="J129" s="245" t="s">
        <v>561</v>
      </c>
      <c r="K129" s="277"/>
      <c r="L129" s="397" t="s">
        <v>3969</v>
      </c>
      <c r="M129" s="397" t="s">
        <v>3969</v>
      </c>
      <c r="N129" s="276"/>
      <c r="O129" s="1359" t="s">
        <v>3430</v>
      </c>
      <c r="P129" s="304" t="s">
        <v>1828</v>
      </c>
      <c r="Q129" s="373" t="s">
        <v>567</v>
      </c>
      <c r="R129" s="982" t="s">
        <v>3429</v>
      </c>
      <c r="S129" s="279">
        <v>26954</v>
      </c>
      <c r="T129" s="280"/>
      <c r="U129" s="251" t="s">
        <v>54</v>
      </c>
      <c r="V129" s="197" t="s">
        <v>4047</v>
      </c>
      <c r="W129" s="268" t="s">
        <v>56</v>
      </c>
      <c r="X129" s="268" t="s">
        <v>57</v>
      </c>
      <c r="Y129" s="197" t="s">
        <v>2609</v>
      </c>
      <c r="Z129" s="246">
        <v>45231</v>
      </c>
      <c r="AA129" s="711"/>
      <c r="AB129" s="487"/>
      <c r="AC129" s="488"/>
      <c r="AD129" s="441"/>
      <c r="AE129" s="494"/>
      <c r="AF129" s="494"/>
      <c r="AG129" s="476"/>
      <c r="AH129" s="489"/>
      <c r="AI129" s="712"/>
      <c r="AJ129" s="348" t="s">
        <v>560</v>
      </c>
      <c r="AK129" s="241">
        <v>4</v>
      </c>
      <c r="AL129" s="122" t="s">
        <v>278</v>
      </c>
      <c r="AM129" s="122" t="s">
        <v>267</v>
      </c>
      <c r="AN129" s="110"/>
      <c r="AO129" s="110"/>
      <c r="AP129" s="115"/>
      <c r="AQ129" s="149"/>
      <c r="AR129" s="115"/>
      <c r="AS129" s="115"/>
      <c r="AT129" s="115"/>
    </row>
    <row r="130" spans="1:46" ht="39" customHeight="1" x14ac:dyDescent="0.25">
      <c r="A130" s="1468">
        <v>129</v>
      </c>
      <c r="B130" s="141">
        <v>2</v>
      </c>
      <c r="C130" s="378" t="s">
        <v>321</v>
      </c>
      <c r="D130" s="303"/>
      <c r="E130" s="241"/>
      <c r="F130" s="241"/>
      <c r="G130" s="261" t="s">
        <v>322</v>
      </c>
      <c r="H130" s="262" t="s">
        <v>87</v>
      </c>
      <c r="I130" s="364"/>
      <c r="J130" s="245" t="s">
        <v>561</v>
      </c>
      <c r="K130" s="257"/>
      <c r="L130" s="299"/>
      <c r="M130" s="299"/>
      <c r="N130" s="299"/>
      <c r="O130" s="277" t="s">
        <v>2683</v>
      </c>
      <c r="P130" s="413"/>
      <c r="Q130" s="291" t="s">
        <v>293</v>
      </c>
      <c r="R130" s="982" t="s">
        <v>2682</v>
      </c>
      <c r="S130" s="279">
        <v>30352</v>
      </c>
      <c r="T130" s="289"/>
      <c r="U130" s="251" t="s">
        <v>54</v>
      </c>
      <c r="V130" s="250" t="s">
        <v>2793</v>
      </c>
      <c r="W130" s="197" t="s">
        <v>56</v>
      </c>
      <c r="X130" s="197" t="s">
        <v>57</v>
      </c>
      <c r="Y130" s="197" t="s">
        <v>2609</v>
      </c>
      <c r="Z130" s="246">
        <v>45141</v>
      </c>
      <c r="AA130" s="289"/>
      <c r="AB130" s="299"/>
      <c r="AC130" s="223"/>
      <c r="AD130" s="299"/>
      <c r="AE130" s="289"/>
      <c r="AF130" s="289"/>
      <c r="AG130" s="299"/>
      <c r="AH130" s="299"/>
      <c r="AI130" s="223"/>
      <c r="AJ130" s="348" t="s">
        <v>560</v>
      </c>
      <c r="AK130" s="241">
        <v>4</v>
      </c>
      <c r="AL130" s="122" t="s">
        <v>278</v>
      </c>
      <c r="AM130" s="122" t="s">
        <v>267</v>
      </c>
      <c r="AN130" s="110"/>
      <c r="AO130" s="110"/>
      <c r="AP130" s="115"/>
      <c r="AQ130" s="149"/>
      <c r="AR130" s="115"/>
      <c r="AS130" s="115"/>
      <c r="AT130" s="115"/>
    </row>
    <row r="131" spans="1:46" ht="39" customHeight="1" x14ac:dyDescent="0.25">
      <c r="A131" s="1468">
        <v>130</v>
      </c>
      <c r="B131" s="141">
        <v>1</v>
      </c>
      <c r="C131" s="378" t="s">
        <v>323</v>
      </c>
      <c r="D131" s="303"/>
      <c r="E131" s="241"/>
      <c r="F131" s="241"/>
      <c r="G131" s="261" t="s">
        <v>324</v>
      </c>
      <c r="H131" s="262" t="s">
        <v>87</v>
      </c>
      <c r="I131" s="357"/>
      <c r="J131" s="245" t="s">
        <v>561</v>
      </c>
      <c r="K131" s="288"/>
      <c r="L131" s="256" t="s">
        <v>1501</v>
      </c>
      <c r="M131" s="256" t="s">
        <v>1501</v>
      </c>
      <c r="N131" s="374"/>
      <c r="O131" s="216" t="s">
        <v>1505</v>
      </c>
      <c r="P131" s="374"/>
      <c r="Q131" s="344" t="s">
        <v>293</v>
      </c>
      <c r="R131" s="982" t="s">
        <v>1504</v>
      </c>
      <c r="S131" s="279">
        <v>37092</v>
      </c>
      <c r="T131" s="223"/>
      <c r="U131" s="251" t="s">
        <v>54</v>
      </c>
      <c r="V131" s="250" t="s">
        <v>2793</v>
      </c>
      <c r="W131" s="197" t="s">
        <v>56</v>
      </c>
      <c r="X131" s="197" t="s">
        <v>57</v>
      </c>
      <c r="Y131" s="197" t="s">
        <v>2609</v>
      </c>
      <c r="Z131" s="246">
        <v>45141</v>
      </c>
      <c r="AA131" s="388"/>
      <c r="AB131" s="288"/>
      <c r="AC131" s="223"/>
      <c r="AD131" s="288"/>
      <c r="AE131" s="307" t="s">
        <v>470</v>
      </c>
      <c r="AF131" s="307" t="s">
        <v>1502</v>
      </c>
      <c r="AG131" s="392"/>
      <c r="AH131" s="253"/>
      <c r="AI131" s="254"/>
      <c r="AJ131" s="348" t="s">
        <v>560</v>
      </c>
      <c r="AK131" s="241">
        <v>4</v>
      </c>
      <c r="AL131" s="122" t="s">
        <v>278</v>
      </c>
      <c r="AM131" s="122" t="s">
        <v>267</v>
      </c>
      <c r="AN131" s="110"/>
      <c r="AO131" s="110"/>
      <c r="AP131" s="115"/>
      <c r="AQ131" s="149"/>
      <c r="AR131" s="115"/>
      <c r="AS131" s="115"/>
      <c r="AT131" s="116"/>
    </row>
    <row r="132" spans="1:46" ht="39" customHeight="1" x14ac:dyDescent="0.25">
      <c r="A132" s="1468">
        <v>131</v>
      </c>
      <c r="B132" s="141">
        <v>2</v>
      </c>
      <c r="C132" s="260" t="s">
        <v>325</v>
      </c>
      <c r="D132" s="241"/>
      <c r="E132" s="241"/>
      <c r="F132" s="241"/>
      <c r="G132" s="261" t="s">
        <v>324</v>
      </c>
      <c r="H132" s="262" t="s">
        <v>87</v>
      </c>
      <c r="I132" s="357"/>
      <c r="J132" s="245" t="s">
        <v>561</v>
      </c>
      <c r="K132" s="288"/>
      <c r="L132" s="281"/>
      <c r="M132" s="281"/>
      <c r="N132" s="366"/>
      <c r="O132" s="385" t="s">
        <v>3412</v>
      </c>
      <c r="P132" s="374"/>
      <c r="Q132" s="344" t="s">
        <v>132</v>
      </c>
      <c r="R132" s="982" t="s">
        <v>3411</v>
      </c>
      <c r="S132" s="279">
        <v>32552</v>
      </c>
      <c r="T132" s="197"/>
      <c r="U132" s="251" t="s">
        <v>54</v>
      </c>
      <c r="V132" s="197"/>
      <c r="W132" s="197" t="s">
        <v>56</v>
      </c>
      <c r="X132" s="197" t="s">
        <v>57</v>
      </c>
      <c r="Y132" s="299"/>
      <c r="Z132" s="299"/>
      <c r="AA132" s="246"/>
      <c r="AB132" s="361"/>
      <c r="AC132" s="223"/>
      <c r="AD132" s="376"/>
      <c r="AE132" s="258"/>
      <c r="AF132" s="258"/>
      <c r="AG132" s="241"/>
      <c r="AH132" s="283"/>
      <c r="AI132" s="254"/>
      <c r="AJ132" s="348" t="s">
        <v>560</v>
      </c>
      <c r="AK132" s="241">
        <v>4</v>
      </c>
      <c r="AL132" s="122" t="s">
        <v>278</v>
      </c>
      <c r="AM132" s="122" t="s">
        <v>267</v>
      </c>
      <c r="AN132" s="110"/>
      <c r="AO132" s="110"/>
      <c r="AP132" s="115"/>
      <c r="AQ132" s="149"/>
      <c r="AR132" s="115"/>
      <c r="AS132" s="115"/>
      <c r="AT132" s="115"/>
    </row>
    <row r="133" spans="1:46" ht="39" customHeight="1" x14ac:dyDescent="0.25">
      <c r="A133" s="1468">
        <v>132</v>
      </c>
      <c r="B133" s="117"/>
      <c r="C133" s="324"/>
      <c r="D133" s="664"/>
      <c r="E133" s="664"/>
      <c r="F133" s="664"/>
      <c r="G133" s="227"/>
      <c r="H133" s="228"/>
      <c r="I133" s="228"/>
      <c r="J133" s="229"/>
      <c r="K133" s="227"/>
      <c r="L133" s="329"/>
      <c r="M133" s="329"/>
      <c r="N133" s="329"/>
      <c r="O133" s="330"/>
      <c r="P133" s="273" t="s">
        <v>326</v>
      </c>
      <c r="Q133" s="331"/>
      <c r="R133" s="455"/>
      <c r="S133" s="279"/>
      <c r="T133" s="229"/>
      <c r="U133" s="229"/>
      <c r="V133" s="229"/>
      <c r="W133" s="232"/>
      <c r="X133" s="232"/>
      <c r="Y133" s="232"/>
      <c r="Z133" s="233"/>
      <c r="AA133" s="234"/>
      <c r="AB133" s="235"/>
      <c r="AC133" s="236"/>
      <c r="AD133" s="235"/>
      <c r="AE133" s="237"/>
      <c r="AF133" s="233"/>
      <c r="AG133" s="664"/>
      <c r="AH133" s="238"/>
      <c r="AI133" s="239"/>
      <c r="AJ133" s="303"/>
      <c r="AK133" s="241"/>
      <c r="AL133" s="122"/>
      <c r="AM133" s="122"/>
      <c r="AN133" s="113"/>
      <c r="AO133" s="114"/>
      <c r="AP133" s="115"/>
      <c r="AQ133" s="115"/>
      <c r="AR133" s="115"/>
      <c r="AS133" s="115"/>
      <c r="AT133" s="116"/>
    </row>
    <row r="134" spans="1:46" ht="39" customHeight="1" x14ac:dyDescent="0.25">
      <c r="A134" s="1468">
        <v>133</v>
      </c>
      <c r="B134" s="141">
        <v>5</v>
      </c>
      <c r="C134" s="290" t="s">
        <v>288</v>
      </c>
      <c r="D134" s="291"/>
      <c r="E134" s="291" t="s">
        <v>47</v>
      </c>
      <c r="F134" s="291"/>
      <c r="G134" s="292" t="s">
        <v>289</v>
      </c>
      <c r="H134" s="293" t="s">
        <v>132</v>
      </c>
      <c r="I134" s="344">
        <v>144</v>
      </c>
      <c r="J134" s="256">
        <v>403</v>
      </c>
      <c r="K134" s="216"/>
      <c r="L134" s="288" t="s">
        <v>1526</v>
      </c>
      <c r="M134" s="288" t="s">
        <v>1526</v>
      </c>
      <c r="N134" s="374"/>
      <c r="O134" s="385" t="s">
        <v>1566</v>
      </c>
      <c r="P134" s="374"/>
      <c r="Q134" s="344" t="s">
        <v>567</v>
      </c>
      <c r="R134" s="982" t="s">
        <v>1567</v>
      </c>
      <c r="S134" s="279">
        <v>28563</v>
      </c>
      <c r="T134" s="197"/>
      <c r="U134" s="251" t="s">
        <v>54</v>
      </c>
      <c r="V134" s="250" t="s">
        <v>2793</v>
      </c>
      <c r="W134" s="197" t="s">
        <v>56</v>
      </c>
      <c r="X134" s="197" t="s">
        <v>57</v>
      </c>
      <c r="Y134" s="197" t="s">
        <v>2609</v>
      </c>
      <c r="Z134" s="246">
        <v>45141</v>
      </c>
      <c r="AA134" s="388"/>
      <c r="AB134" s="288"/>
      <c r="AC134" s="223"/>
      <c r="AD134" s="288"/>
      <c r="AE134" s="384"/>
      <c r="AF134" s="384"/>
      <c r="AG134" s="392"/>
      <c r="AH134" s="283"/>
      <c r="AI134" s="254"/>
      <c r="AJ134" s="348" t="s">
        <v>560</v>
      </c>
      <c r="AK134" s="291">
        <v>3</v>
      </c>
      <c r="AL134" s="145" t="s">
        <v>278</v>
      </c>
      <c r="AM134" s="145" t="s">
        <v>267</v>
      </c>
      <c r="AN134" s="130"/>
      <c r="AO134" s="130"/>
      <c r="AP134" s="115"/>
      <c r="AQ134" s="115"/>
      <c r="AR134" s="115"/>
      <c r="AS134" s="115"/>
      <c r="AT134" s="115"/>
    </row>
    <row r="135" spans="1:46" ht="39" customHeight="1" x14ac:dyDescent="0.25">
      <c r="A135" s="1468">
        <v>134</v>
      </c>
      <c r="B135" s="141">
        <v>3</v>
      </c>
      <c r="C135" s="356" t="s">
        <v>290</v>
      </c>
      <c r="D135" s="241" t="s">
        <v>134</v>
      </c>
      <c r="E135" s="241"/>
      <c r="F135" s="241"/>
      <c r="G135" s="261" t="s">
        <v>291</v>
      </c>
      <c r="H135" s="262" t="s">
        <v>85</v>
      </c>
      <c r="I135" s="371"/>
      <c r="J135" s="245" t="s">
        <v>556</v>
      </c>
      <c r="K135" s="216"/>
      <c r="L135" s="281"/>
      <c r="M135" s="281"/>
      <c r="N135" s="245"/>
      <c r="O135" s="385" t="s">
        <v>2218</v>
      </c>
      <c r="P135" s="374"/>
      <c r="Q135" s="344" t="s">
        <v>293</v>
      </c>
      <c r="R135" s="982" t="s">
        <v>2217</v>
      </c>
      <c r="S135" s="279">
        <v>36461</v>
      </c>
      <c r="T135" s="250"/>
      <c r="U135" s="251" t="s">
        <v>54</v>
      </c>
      <c r="V135" s="197" t="s">
        <v>2378</v>
      </c>
      <c r="W135" s="197" t="s">
        <v>56</v>
      </c>
      <c r="X135" s="197" t="s">
        <v>57</v>
      </c>
      <c r="Y135" s="949" t="s">
        <v>2379</v>
      </c>
      <c r="Z135" s="246">
        <v>45177</v>
      </c>
      <c r="AA135" s="1015"/>
      <c r="AB135" s="281"/>
      <c r="AC135" s="223"/>
      <c r="AD135" s="281"/>
      <c r="AE135" s="258"/>
      <c r="AF135" s="258"/>
      <c r="AG135" s="241"/>
      <c r="AH135" s="283"/>
      <c r="AI135" s="296"/>
      <c r="AJ135" s="348" t="s">
        <v>560</v>
      </c>
      <c r="AK135" s="241">
        <v>4</v>
      </c>
      <c r="AL135" s="122" t="s">
        <v>278</v>
      </c>
      <c r="AM135" s="122" t="s">
        <v>267</v>
      </c>
      <c r="AN135" s="110" t="s">
        <v>4184</v>
      </c>
      <c r="AO135" s="130"/>
      <c r="AP135" s="115"/>
      <c r="AQ135" s="115"/>
      <c r="AR135" s="115"/>
      <c r="AS135" s="115"/>
      <c r="AT135" s="115"/>
    </row>
    <row r="136" spans="1:46" ht="39" customHeight="1" x14ac:dyDescent="0.25">
      <c r="A136" s="1468">
        <v>135</v>
      </c>
      <c r="B136" s="141">
        <v>3</v>
      </c>
      <c r="C136" s="358" t="s">
        <v>297</v>
      </c>
      <c r="D136" s="241" t="s">
        <v>134</v>
      </c>
      <c r="E136" s="241"/>
      <c r="F136" s="241"/>
      <c r="G136" s="261" t="s">
        <v>298</v>
      </c>
      <c r="H136" s="262" t="s">
        <v>85</v>
      </c>
      <c r="I136" s="371"/>
      <c r="J136" s="245" t="s">
        <v>556</v>
      </c>
      <c r="K136" s="216"/>
      <c r="L136" s="281"/>
      <c r="M136" s="281"/>
      <c r="N136" s="245"/>
      <c r="O136" s="385" t="s">
        <v>2220</v>
      </c>
      <c r="P136" s="374"/>
      <c r="Q136" s="344" t="s">
        <v>85</v>
      </c>
      <c r="R136" s="982" t="s">
        <v>2219</v>
      </c>
      <c r="S136" s="279">
        <v>36837</v>
      </c>
      <c r="T136" s="250"/>
      <c r="U136" s="251" t="s">
        <v>54</v>
      </c>
      <c r="V136" s="197" t="s">
        <v>2378</v>
      </c>
      <c r="W136" s="197" t="s">
        <v>56</v>
      </c>
      <c r="X136" s="197" t="s">
        <v>57</v>
      </c>
      <c r="Y136" s="949" t="s">
        <v>2379</v>
      </c>
      <c r="Z136" s="246">
        <v>45177</v>
      </c>
      <c r="AA136" s="1015"/>
      <c r="AB136" s="281"/>
      <c r="AC136" s="223"/>
      <c r="AD136" s="281"/>
      <c r="AE136" s="258"/>
      <c r="AF136" s="258"/>
      <c r="AG136" s="241"/>
      <c r="AH136" s="283"/>
      <c r="AI136" s="296"/>
      <c r="AJ136" s="348" t="s">
        <v>560</v>
      </c>
      <c r="AK136" s="241">
        <v>4</v>
      </c>
      <c r="AL136" s="122" t="s">
        <v>278</v>
      </c>
      <c r="AM136" s="122" t="s">
        <v>267</v>
      </c>
      <c r="AN136" s="130"/>
      <c r="AO136" s="130"/>
      <c r="AP136" s="115"/>
      <c r="AQ136" s="115"/>
      <c r="AR136" s="115"/>
      <c r="AS136" s="115"/>
      <c r="AT136" s="116"/>
    </row>
    <row r="137" spans="1:46" ht="39" customHeight="1" x14ac:dyDescent="0.25">
      <c r="A137" s="1468">
        <v>136</v>
      </c>
      <c r="B137" s="141">
        <v>2</v>
      </c>
      <c r="C137" s="260" t="s">
        <v>311</v>
      </c>
      <c r="D137" s="241"/>
      <c r="E137" s="241"/>
      <c r="F137" s="241"/>
      <c r="G137" s="261" t="s">
        <v>312</v>
      </c>
      <c r="H137" s="262" t="s">
        <v>85</v>
      </c>
      <c r="I137" s="371"/>
      <c r="J137" s="245" t="s">
        <v>556</v>
      </c>
      <c r="K137" s="257"/>
      <c r="L137" s="301" t="s">
        <v>1860</v>
      </c>
      <c r="M137" s="301" t="s">
        <v>1860</v>
      </c>
      <c r="N137" s="299"/>
      <c r="O137" s="950" t="s">
        <v>1960</v>
      </c>
      <c r="P137" s="325" t="s">
        <v>1828</v>
      </c>
      <c r="Q137" s="344" t="s">
        <v>132</v>
      </c>
      <c r="R137" s="982" t="s">
        <v>1959</v>
      </c>
      <c r="S137" s="279">
        <v>30825</v>
      </c>
      <c r="T137" s="289"/>
      <c r="U137" s="251" t="s">
        <v>54</v>
      </c>
      <c r="V137" s="250" t="s">
        <v>1922</v>
      </c>
      <c r="W137" s="197" t="s">
        <v>56</v>
      </c>
      <c r="X137" s="197" t="s">
        <v>57</v>
      </c>
      <c r="Y137" s="252" t="s">
        <v>1933</v>
      </c>
      <c r="Z137" s="252">
        <v>45133</v>
      </c>
      <c r="AA137" s="289"/>
      <c r="AB137" s="299"/>
      <c r="AC137" s="223"/>
      <c r="AD137" s="299"/>
      <c r="AE137" s="289"/>
      <c r="AF137" s="289"/>
      <c r="AG137" s="299"/>
      <c r="AH137" s="299"/>
      <c r="AI137" s="254"/>
      <c r="AJ137" s="348" t="s">
        <v>560</v>
      </c>
      <c r="AK137" s="241">
        <v>4</v>
      </c>
      <c r="AL137" s="122" t="s">
        <v>278</v>
      </c>
      <c r="AM137" s="122" t="s">
        <v>267</v>
      </c>
      <c r="AN137" s="130"/>
      <c r="AO137" s="130"/>
      <c r="AP137" s="115"/>
      <c r="AQ137" s="115"/>
      <c r="AR137" s="115"/>
      <c r="AS137" s="115"/>
      <c r="AT137" s="115"/>
    </row>
    <row r="138" spans="1:46" ht="39" customHeight="1" x14ac:dyDescent="0.25">
      <c r="A138" s="1468">
        <v>137</v>
      </c>
      <c r="B138" s="141">
        <v>2</v>
      </c>
      <c r="C138" s="260" t="s">
        <v>317</v>
      </c>
      <c r="D138" s="241"/>
      <c r="E138" s="241"/>
      <c r="F138" s="241"/>
      <c r="G138" s="261" t="s">
        <v>318</v>
      </c>
      <c r="H138" s="262" t="s">
        <v>87</v>
      </c>
      <c r="I138" s="371"/>
      <c r="J138" s="245" t="s">
        <v>561</v>
      </c>
      <c r="K138" s="216"/>
      <c r="L138" s="281"/>
      <c r="M138" s="281"/>
      <c r="N138" s="366"/>
      <c r="O138" s="950" t="s">
        <v>2244</v>
      </c>
      <c r="P138" s="287"/>
      <c r="Q138" s="344" t="s">
        <v>567</v>
      </c>
      <c r="R138" s="982" t="s">
        <v>2243</v>
      </c>
      <c r="S138" s="279">
        <v>33989</v>
      </c>
      <c r="T138" s="197"/>
      <c r="U138" s="251" t="s">
        <v>54</v>
      </c>
      <c r="V138" s="250" t="s">
        <v>2793</v>
      </c>
      <c r="W138" s="197" t="s">
        <v>56</v>
      </c>
      <c r="X138" s="197" t="s">
        <v>57</v>
      </c>
      <c r="Y138" s="197" t="s">
        <v>2609</v>
      </c>
      <c r="Z138" s="246">
        <v>45141</v>
      </c>
      <c r="AA138" s="246"/>
      <c r="AB138" s="361"/>
      <c r="AC138" s="223"/>
      <c r="AD138" s="376"/>
      <c r="AE138" s="258"/>
      <c r="AF138" s="258"/>
      <c r="AG138" s="241"/>
      <c r="AH138" s="283"/>
      <c r="AI138" s="254"/>
      <c r="AJ138" s="348" t="s">
        <v>560</v>
      </c>
      <c r="AK138" s="241">
        <v>4</v>
      </c>
      <c r="AL138" s="122" t="s">
        <v>278</v>
      </c>
      <c r="AM138" s="122" t="s">
        <v>267</v>
      </c>
      <c r="AN138" s="130"/>
      <c r="AO138" s="130"/>
      <c r="AP138" s="115"/>
      <c r="AQ138" s="115"/>
      <c r="AR138" s="115"/>
      <c r="AS138" s="115"/>
      <c r="AT138" s="115"/>
    </row>
    <row r="139" spans="1:46" ht="39" customHeight="1" x14ac:dyDescent="0.25">
      <c r="A139" s="1468">
        <v>138</v>
      </c>
      <c r="B139" s="146">
        <v>2</v>
      </c>
      <c r="C139" s="260" t="s">
        <v>319</v>
      </c>
      <c r="D139" s="241"/>
      <c r="E139" s="241"/>
      <c r="F139" s="241"/>
      <c r="G139" s="261" t="s">
        <v>320</v>
      </c>
      <c r="H139" s="262" t="s">
        <v>87</v>
      </c>
      <c r="I139" s="357"/>
      <c r="J139" s="245" t="s">
        <v>561</v>
      </c>
      <c r="K139" s="257"/>
      <c r="L139" s="301" t="s">
        <v>1898</v>
      </c>
      <c r="M139" s="301" t="s">
        <v>1898</v>
      </c>
      <c r="N139" s="299"/>
      <c r="O139" s="950" t="s">
        <v>1977</v>
      </c>
      <c r="P139" s="287" t="s">
        <v>1828</v>
      </c>
      <c r="Q139" s="344" t="s">
        <v>567</v>
      </c>
      <c r="R139" s="982" t="s">
        <v>1976</v>
      </c>
      <c r="S139" s="279">
        <v>29450</v>
      </c>
      <c r="T139" s="289"/>
      <c r="U139" s="251" t="s">
        <v>54</v>
      </c>
      <c r="V139" s="250" t="s">
        <v>2793</v>
      </c>
      <c r="W139" s="197" t="s">
        <v>56</v>
      </c>
      <c r="X139" s="197" t="s">
        <v>57</v>
      </c>
      <c r="Y139" s="197" t="s">
        <v>2609</v>
      </c>
      <c r="Z139" s="246">
        <v>45145</v>
      </c>
      <c r="AA139" s="698"/>
      <c r="AB139" s="299"/>
      <c r="AC139" s="223"/>
      <c r="AD139" s="299"/>
      <c r="AE139" s="289"/>
      <c r="AF139" s="289"/>
      <c r="AG139" s="299"/>
      <c r="AH139" s="299"/>
      <c r="AI139" s="254"/>
      <c r="AJ139" s="348" t="s">
        <v>560</v>
      </c>
      <c r="AK139" s="241">
        <v>4</v>
      </c>
      <c r="AL139" s="122" t="s">
        <v>278</v>
      </c>
      <c r="AM139" s="122" t="s">
        <v>267</v>
      </c>
      <c r="AN139" s="110"/>
      <c r="AO139" s="110"/>
      <c r="AP139" s="115"/>
      <c r="AQ139" s="115"/>
      <c r="AR139" s="115"/>
      <c r="AS139" s="115"/>
      <c r="AT139" s="115"/>
    </row>
    <row r="140" spans="1:46" ht="39" customHeight="1" x14ac:dyDescent="0.25">
      <c r="A140" s="1468">
        <v>139</v>
      </c>
      <c r="B140" s="141">
        <v>2</v>
      </c>
      <c r="C140" s="378" t="s">
        <v>321</v>
      </c>
      <c r="D140" s="303"/>
      <c r="E140" s="241"/>
      <c r="F140" s="241"/>
      <c r="G140" s="261" t="s">
        <v>322</v>
      </c>
      <c r="H140" s="262" t="s">
        <v>87</v>
      </c>
      <c r="I140" s="364"/>
      <c r="J140" s="245" t="s">
        <v>561</v>
      </c>
      <c r="K140" s="571"/>
      <c r="L140" s="301" t="s">
        <v>3996</v>
      </c>
      <c r="M140" s="301" t="s">
        <v>3996</v>
      </c>
      <c r="N140" s="571"/>
      <c r="O140" s="1459" t="s">
        <v>3995</v>
      </c>
      <c r="P140" s="571"/>
      <c r="Q140" s="373" t="s">
        <v>293</v>
      </c>
      <c r="R140" s="982" t="s">
        <v>3994</v>
      </c>
      <c r="S140" s="279">
        <v>38075</v>
      </c>
      <c r="T140" s="571"/>
      <c r="U140" s="250"/>
      <c r="V140" s="280"/>
      <c r="W140" s="197"/>
      <c r="X140" s="289"/>
      <c r="Y140" s="197"/>
      <c r="Z140" s="486"/>
      <c r="AA140" s="571"/>
      <c r="AB140" s="571"/>
      <c r="AC140" s="571"/>
      <c r="AD140" s="571"/>
      <c r="AE140" s="494"/>
      <c r="AF140" s="494"/>
      <c r="AG140" s="571"/>
      <c r="AH140" s="571"/>
      <c r="AI140" s="254"/>
      <c r="AJ140" s="348" t="s">
        <v>560</v>
      </c>
      <c r="AK140" s="241">
        <v>4</v>
      </c>
      <c r="AL140" s="122" t="s">
        <v>278</v>
      </c>
      <c r="AM140" s="122" t="s">
        <v>267</v>
      </c>
      <c r="AN140" s="110"/>
      <c r="AO140" s="110"/>
      <c r="AP140" s="115"/>
      <c r="AQ140" s="115"/>
      <c r="AR140" s="115"/>
      <c r="AS140" s="115"/>
      <c r="AT140" s="116"/>
    </row>
    <row r="141" spans="1:46" ht="39" customHeight="1" x14ac:dyDescent="0.25">
      <c r="A141" s="1468">
        <v>140</v>
      </c>
      <c r="B141" s="141">
        <v>1</v>
      </c>
      <c r="C141" s="378" t="s">
        <v>323</v>
      </c>
      <c r="D141" s="303"/>
      <c r="E141" s="241"/>
      <c r="F141" s="241"/>
      <c r="G141" s="261" t="s">
        <v>324</v>
      </c>
      <c r="H141" s="262" t="s">
        <v>87</v>
      </c>
      <c r="I141" s="357"/>
      <c r="J141" s="245" t="s">
        <v>561</v>
      </c>
      <c r="K141" s="299"/>
      <c r="L141" s="281" t="s">
        <v>6171</v>
      </c>
      <c r="M141" s="281" t="s">
        <v>6171</v>
      </c>
      <c r="N141" s="366"/>
      <c r="O141" s="950" t="s">
        <v>2636</v>
      </c>
      <c r="P141" s="484" t="s">
        <v>1828</v>
      </c>
      <c r="Q141" s="344" t="s">
        <v>567</v>
      </c>
      <c r="R141" s="982" t="s">
        <v>2635</v>
      </c>
      <c r="S141" s="279">
        <v>32385</v>
      </c>
      <c r="T141" s="223"/>
      <c r="U141" s="251" t="s">
        <v>54</v>
      </c>
      <c r="V141" s="250" t="s">
        <v>2793</v>
      </c>
      <c r="W141" s="197" t="s">
        <v>56</v>
      </c>
      <c r="X141" s="197" t="s">
        <v>57</v>
      </c>
      <c r="Y141" s="197" t="s">
        <v>2609</v>
      </c>
      <c r="Z141" s="246">
        <v>45145</v>
      </c>
      <c r="AA141" s="289"/>
      <c r="AB141" s="299"/>
      <c r="AC141" s="223"/>
      <c r="AD141" s="299"/>
      <c r="AE141" s="289"/>
      <c r="AF141" s="289"/>
      <c r="AG141" s="299"/>
      <c r="AH141" s="299"/>
      <c r="AI141" s="296"/>
      <c r="AJ141" s="348" t="s">
        <v>560</v>
      </c>
      <c r="AK141" s="241">
        <v>4</v>
      </c>
      <c r="AL141" s="122" t="s">
        <v>278</v>
      </c>
      <c r="AM141" s="122" t="s">
        <v>267</v>
      </c>
      <c r="AN141" s="110"/>
      <c r="AO141" s="110"/>
      <c r="AP141" s="115"/>
      <c r="AQ141" s="115"/>
      <c r="AR141" s="115"/>
      <c r="AS141" s="115"/>
      <c r="AT141" s="115"/>
    </row>
    <row r="142" spans="1:46" ht="39" customHeight="1" x14ac:dyDescent="0.25">
      <c r="A142" s="1468">
        <v>141</v>
      </c>
      <c r="B142" s="141">
        <v>2</v>
      </c>
      <c r="C142" s="260" t="s">
        <v>325</v>
      </c>
      <c r="D142" s="241"/>
      <c r="E142" s="241"/>
      <c r="F142" s="241"/>
      <c r="G142" s="261" t="s">
        <v>324</v>
      </c>
      <c r="H142" s="262" t="s">
        <v>87</v>
      </c>
      <c r="I142" s="357"/>
      <c r="J142" s="245" t="s">
        <v>561</v>
      </c>
      <c r="K142" s="257"/>
      <c r="L142" s="281" t="s">
        <v>5916</v>
      </c>
      <c r="M142" s="281" t="s">
        <v>5916</v>
      </c>
      <c r="N142" s="366"/>
      <c r="O142" s="385" t="s">
        <v>6046</v>
      </c>
      <c r="P142" s="374"/>
      <c r="Q142" s="344" t="s">
        <v>87</v>
      </c>
      <c r="R142" s="982" t="s">
        <v>6045</v>
      </c>
      <c r="S142" s="279">
        <v>36629</v>
      </c>
      <c r="T142" s="289"/>
      <c r="U142" s="250"/>
      <c r="V142" s="250"/>
      <c r="W142" s="197"/>
      <c r="X142" s="197"/>
      <c r="Y142" s="197"/>
      <c r="Z142" s="246"/>
      <c r="AA142" s="281"/>
      <c r="AB142" s="245"/>
      <c r="AC142" s="223"/>
      <c r="AD142" s="245"/>
      <c r="AE142" s="289"/>
      <c r="AF142" s="289"/>
      <c r="AG142" s="241"/>
      <c r="AH142" s="253"/>
      <c r="AI142" s="284"/>
      <c r="AJ142" s="348" t="s">
        <v>560</v>
      </c>
      <c r="AK142" s="241">
        <v>4</v>
      </c>
      <c r="AL142" s="122" t="s">
        <v>278</v>
      </c>
      <c r="AM142" s="122" t="s">
        <v>267</v>
      </c>
      <c r="AN142" s="110"/>
      <c r="AO142" s="110"/>
      <c r="AP142" s="115"/>
      <c r="AQ142" s="149"/>
      <c r="AR142" s="115"/>
      <c r="AS142" s="115"/>
      <c r="AT142" s="115"/>
    </row>
    <row r="143" spans="1:46" ht="39" customHeight="1" x14ac:dyDescent="0.25">
      <c r="A143" s="1468">
        <v>142</v>
      </c>
      <c r="B143" s="117"/>
      <c r="C143" s="324"/>
      <c r="D143" s="664"/>
      <c r="E143" s="664"/>
      <c r="F143" s="664"/>
      <c r="G143" s="227"/>
      <c r="H143" s="228"/>
      <c r="I143" s="228"/>
      <c r="J143" s="229"/>
      <c r="K143" s="227"/>
      <c r="L143" s="329"/>
      <c r="M143" s="329"/>
      <c r="N143" s="329"/>
      <c r="O143" s="330"/>
      <c r="P143" s="273" t="s">
        <v>327</v>
      </c>
      <c r="Q143" s="331"/>
      <c r="R143" s="332"/>
      <c r="S143" s="279"/>
      <c r="T143" s="332"/>
      <c r="U143" s="332"/>
      <c r="V143" s="332"/>
      <c r="W143" s="332"/>
      <c r="X143" s="232"/>
      <c r="Y143" s="232"/>
      <c r="Z143" s="233"/>
      <c r="AA143" s="234"/>
      <c r="AB143" s="235"/>
      <c r="AC143" s="236"/>
      <c r="AD143" s="235"/>
      <c r="AE143" s="237"/>
      <c r="AF143" s="233"/>
      <c r="AG143" s="664"/>
      <c r="AH143" s="238"/>
      <c r="AI143" s="239"/>
      <c r="AJ143" s="303"/>
      <c r="AK143" s="241"/>
      <c r="AL143" s="122"/>
      <c r="AM143" s="122"/>
      <c r="AN143" s="113"/>
      <c r="AO143" s="114"/>
      <c r="AP143" s="115"/>
      <c r="AQ143" s="115"/>
      <c r="AR143" s="115"/>
      <c r="AS143" s="115"/>
      <c r="AT143" s="116"/>
    </row>
    <row r="144" spans="1:46" ht="39" customHeight="1" x14ac:dyDescent="0.25">
      <c r="A144" s="1468">
        <v>143</v>
      </c>
      <c r="B144" s="146">
        <v>5</v>
      </c>
      <c r="C144" s="290" t="s">
        <v>288</v>
      </c>
      <c r="D144" s="291"/>
      <c r="E144" s="291" t="s">
        <v>47</v>
      </c>
      <c r="F144" s="291"/>
      <c r="G144" s="292" t="s">
        <v>289</v>
      </c>
      <c r="H144" s="370" t="s">
        <v>132</v>
      </c>
      <c r="I144" s="344">
        <v>144</v>
      </c>
      <c r="J144" s="256">
        <v>403</v>
      </c>
      <c r="K144" s="216"/>
      <c r="L144" s="216"/>
      <c r="M144" s="216"/>
      <c r="N144" s="245"/>
      <c r="O144" s="385" t="s">
        <v>2242</v>
      </c>
      <c r="P144" s="374"/>
      <c r="Q144" s="344" t="s">
        <v>567</v>
      </c>
      <c r="R144" s="982" t="s">
        <v>2241</v>
      </c>
      <c r="S144" s="279">
        <v>33845</v>
      </c>
      <c r="T144" s="197"/>
      <c r="U144" s="251" t="s">
        <v>54</v>
      </c>
      <c r="V144" s="250" t="s">
        <v>2793</v>
      </c>
      <c r="W144" s="197" t="s">
        <v>56</v>
      </c>
      <c r="X144" s="197" t="s">
        <v>57</v>
      </c>
      <c r="Y144" s="197" t="s">
        <v>2609</v>
      </c>
      <c r="Z144" s="246">
        <v>45141</v>
      </c>
      <c r="AA144" s="252"/>
      <c r="AB144" s="282"/>
      <c r="AC144" s="223"/>
      <c r="AD144" s="281"/>
      <c r="AE144" s="258"/>
      <c r="AF144" s="258"/>
      <c r="AG144" s="241"/>
      <c r="AH144" s="283"/>
      <c r="AI144" s="254"/>
      <c r="AJ144" s="348" t="s">
        <v>560</v>
      </c>
      <c r="AK144" s="348">
        <v>3</v>
      </c>
      <c r="AL144" s="145" t="s">
        <v>278</v>
      </c>
      <c r="AM144" s="145" t="s">
        <v>267</v>
      </c>
      <c r="AN144" s="130"/>
      <c r="AO144" s="130"/>
      <c r="AP144" s="115"/>
      <c r="AQ144" s="115"/>
      <c r="AR144" s="115"/>
      <c r="AS144" s="115"/>
      <c r="AT144" s="115"/>
    </row>
    <row r="145" spans="1:46" ht="39" customHeight="1" x14ac:dyDescent="0.25">
      <c r="A145" s="1468">
        <v>144</v>
      </c>
      <c r="B145" s="141">
        <v>3</v>
      </c>
      <c r="C145" s="356" t="s">
        <v>290</v>
      </c>
      <c r="D145" s="241" t="s">
        <v>134</v>
      </c>
      <c r="E145" s="241"/>
      <c r="F145" s="241"/>
      <c r="G145" s="261" t="s">
        <v>291</v>
      </c>
      <c r="H145" s="262" t="s">
        <v>85</v>
      </c>
      <c r="I145" s="371"/>
      <c r="J145" s="245" t="s">
        <v>556</v>
      </c>
      <c r="K145" s="684"/>
      <c r="L145" s="288" t="s">
        <v>5916</v>
      </c>
      <c r="M145" s="288" t="s">
        <v>5916</v>
      </c>
      <c r="N145" s="374"/>
      <c r="O145" s="385" t="s">
        <v>6037</v>
      </c>
      <c r="P145" s="247"/>
      <c r="Q145" s="373" t="s">
        <v>132</v>
      </c>
      <c r="R145" s="982" t="s">
        <v>6036</v>
      </c>
      <c r="S145" s="279">
        <v>33961</v>
      </c>
      <c r="T145" s="684"/>
      <c r="U145" s="250"/>
      <c r="V145" s="250"/>
      <c r="W145" s="197"/>
      <c r="X145" s="197"/>
      <c r="Y145" s="197"/>
      <c r="Z145" s="246"/>
      <c r="AA145" s="684"/>
      <c r="AB145" s="1290"/>
      <c r="AC145" s="684"/>
      <c r="AD145" s="686"/>
      <c r="AE145" s="684"/>
      <c r="AF145" s="684"/>
      <c r="AG145" s="684"/>
      <c r="AH145" s="684"/>
      <c r="AI145" s="685"/>
      <c r="AJ145" s="348" t="s">
        <v>560</v>
      </c>
      <c r="AK145" s="241">
        <v>4</v>
      </c>
      <c r="AL145" s="122" t="s">
        <v>278</v>
      </c>
      <c r="AM145" s="122" t="s">
        <v>267</v>
      </c>
      <c r="AN145" s="110" t="s">
        <v>4184</v>
      </c>
      <c r="AO145" s="130"/>
      <c r="AP145" s="115"/>
      <c r="AQ145" s="115"/>
      <c r="AR145" s="115"/>
      <c r="AS145" s="115"/>
      <c r="AT145" s="115"/>
    </row>
    <row r="146" spans="1:46" ht="39" customHeight="1" x14ac:dyDescent="0.25">
      <c r="A146" s="1468">
        <v>145</v>
      </c>
      <c r="B146" s="141">
        <v>3</v>
      </c>
      <c r="C146" s="358" t="s">
        <v>297</v>
      </c>
      <c r="D146" s="241" t="s">
        <v>134</v>
      </c>
      <c r="E146" s="241"/>
      <c r="F146" s="241"/>
      <c r="G146" s="261" t="s">
        <v>298</v>
      </c>
      <c r="H146" s="262" t="s">
        <v>85</v>
      </c>
      <c r="I146" s="371"/>
      <c r="J146" s="245" t="s">
        <v>556</v>
      </c>
      <c r="K146" s="257"/>
      <c r="L146" s="299" t="s">
        <v>2019</v>
      </c>
      <c r="M146" s="299" t="s">
        <v>2019</v>
      </c>
      <c r="N146" s="299"/>
      <c r="O146" s="216" t="s">
        <v>2250</v>
      </c>
      <c r="P146" s="706" t="s">
        <v>1411</v>
      </c>
      <c r="Q146" s="344" t="s">
        <v>570</v>
      </c>
      <c r="R146" s="982" t="s">
        <v>2249</v>
      </c>
      <c r="S146" s="279">
        <v>35588</v>
      </c>
      <c r="T146" s="289"/>
      <c r="U146" s="251" t="s">
        <v>54</v>
      </c>
      <c r="V146" s="951" t="s">
        <v>6147</v>
      </c>
      <c r="W146" s="268" t="s">
        <v>907</v>
      </c>
      <c r="X146" s="268" t="s">
        <v>6153</v>
      </c>
      <c r="Y146" s="197"/>
      <c r="Z146" s="252">
        <v>45320</v>
      </c>
      <c r="AA146" s="289"/>
      <c r="AB146" s="299"/>
      <c r="AC146" s="223"/>
      <c r="AD146" s="299"/>
      <c r="AE146" s="289"/>
      <c r="AF146" s="289"/>
      <c r="AG146" s="299"/>
      <c r="AH146" s="299"/>
      <c r="AI146" s="223"/>
      <c r="AJ146" s="348" t="s">
        <v>560</v>
      </c>
      <c r="AK146" s="241">
        <v>4</v>
      </c>
      <c r="AL146" s="122" t="s">
        <v>278</v>
      </c>
      <c r="AM146" s="122" t="s">
        <v>267</v>
      </c>
      <c r="AN146" s="130"/>
      <c r="AO146" s="130"/>
      <c r="AP146" s="115"/>
      <c r="AQ146" s="115"/>
      <c r="AR146" s="115"/>
      <c r="AS146" s="115"/>
      <c r="AT146" s="116"/>
    </row>
    <row r="147" spans="1:46" ht="39" customHeight="1" x14ac:dyDescent="0.25">
      <c r="A147" s="1468">
        <v>146</v>
      </c>
      <c r="B147" s="141">
        <v>2</v>
      </c>
      <c r="C147" s="260" t="s">
        <v>311</v>
      </c>
      <c r="D147" s="241"/>
      <c r="E147" s="241"/>
      <c r="F147" s="241"/>
      <c r="G147" s="261" t="s">
        <v>312</v>
      </c>
      <c r="H147" s="262" t="s">
        <v>85</v>
      </c>
      <c r="I147" s="371"/>
      <c r="J147" s="245" t="s">
        <v>556</v>
      </c>
      <c r="K147" s="684"/>
      <c r="L147" s="685"/>
      <c r="M147" s="685"/>
      <c r="N147" s="684"/>
      <c r="O147" s="216" t="s">
        <v>2507</v>
      </c>
      <c r="P147" s="684"/>
      <c r="Q147" s="344" t="s">
        <v>293</v>
      </c>
      <c r="R147" s="982" t="s">
        <v>2506</v>
      </c>
      <c r="S147" s="279">
        <v>27879</v>
      </c>
      <c r="T147" s="684"/>
      <c r="U147" s="251" t="s">
        <v>54</v>
      </c>
      <c r="V147" s="250" t="s">
        <v>2793</v>
      </c>
      <c r="W147" s="197" t="s">
        <v>56</v>
      </c>
      <c r="X147" s="197" t="s">
        <v>57</v>
      </c>
      <c r="Y147" s="197" t="s">
        <v>2609</v>
      </c>
      <c r="Z147" s="246">
        <v>45186</v>
      </c>
      <c r="AA147" s="684"/>
      <c r="AB147" s="1290"/>
      <c r="AC147" s="684"/>
      <c r="AD147" s="686"/>
      <c r="AE147" s="684"/>
      <c r="AF147" s="684"/>
      <c r="AG147" s="684"/>
      <c r="AH147" s="684"/>
      <c r="AI147" s="685"/>
      <c r="AJ147" s="348" t="s">
        <v>560</v>
      </c>
      <c r="AK147" s="241">
        <v>4</v>
      </c>
      <c r="AL147" s="122" t="s">
        <v>278</v>
      </c>
      <c r="AM147" s="122" t="s">
        <v>267</v>
      </c>
      <c r="AN147" s="130"/>
      <c r="AO147" s="130"/>
      <c r="AP147" s="115"/>
      <c r="AQ147" s="115"/>
      <c r="AR147" s="115"/>
      <c r="AS147" s="115"/>
      <c r="AT147" s="115"/>
    </row>
    <row r="148" spans="1:46" ht="39" customHeight="1" x14ac:dyDescent="0.25">
      <c r="A148" s="1468">
        <v>147</v>
      </c>
      <c r="B148" s="141">
        <v>2</v>
      </c>
      <c r="C148" s="260" t="s">
        <v>317</v>
      </c>
      <c r="D148" s="241"/>
      <c r="E148" s="241"/>
      <c r="F148" s="241"/>
      <c r="G148" s="261" t="s">
        <v>318</v>
      </c>
      <c r="H148" s="262" t="s">
        <v>87</v>
      </c>
      <c r="I148" s="371"/>
      <c r="J148" s="245" t="s">
        <v>561</v>
      </c>
      <c r="K148" s="216"/>
      <c r="L148" s="250"/>
      <c r="M148" s="250"/>
      <c r="N148" s="366"/>
      <c r="O148" s="277" t="s">
        <v>2653</v>
      </c>
      <c r="P148" s="413"/>
      <c r="Q148" s="291" t="s">
        <v>293</v>
      </c>
      <c r="R148" s="982" t="s">
        <v>2652</v>
      </c>
      <c r="S148" s="279">
        <v>26984</v>
      </c>
      <c r="T148" s="223"/>
      <c r="U148" s="251" t="s">
        <v>391</v>
      </c>
      <c r="V148" s="250" t="s">
        <v>5907</v>
      </c>
      <c r="W148" s="1464" t="s">
        <v>5908</v>
      </c>
      <c r="X148" s="197" t="s">
        <v>2002</v>
      </c>
      <c r="Y148" s="1470" t="s">
        <v>6161</v>
      </c>
      <c r="Z148" s="246">
        <v>45323</v>
      </c>
      <c r="AA148" s="252"/>
      <c r="AB148" s="223"/>
      <c r="AC148" s="223"/>
      <c r="AD148" s="257"/>
      <c r="AE148" s="223"/>
      <c r="AF148" s="223"/>
      <c r="AG148" s="392"/>
      <c r="AH148" s="299"/>
      <c r="AI148" s="254"/>
      <c r="AJ148" s="348" t="s">
        <v>560</v>
      </c>
      <c r="AK148" s="241">
        <v>4</v>
      </c>
      <c r="AL148" s="122" t="s">
        <v>278</v>
      </c>
      <c r="AM148" s="122" t="s">
        <v>267</v>
      </c>
      <c r="AN148" s="130"/>
      <c r="AO148" s="130"/>
      <c r="AP148" s="115"/>
      <c r="AQ148" s="115"/>
      <c r="AR148" s="115"/>
      <c r="AS148" s="115"/>
      <c r="AT148" s="115"/>
    </row>
    <row r="149" spans="1:46" ht="39" customHeight="1" x14ac:dyDescent="0.25">
      <c r="A149" s="1468">
        <v>148</v>
      </c>
      <c r="B149" s="146">
        <v>2</v>
      </c>
      <c r="C149" s="260" t="s">
        <v>319</v>
      </c>
      <c r="D149" s="241"/>
      <c r="E149" s="241"/>
      <c r="F149" s="241"/>
      <c r="G149" s="261" t="s">
        <v>320</v>
      </c>
      <c r="H149" s="262" t="s">
        <v>87</v>
      </c>
      <c r="I149" s="357"/>
      <c r="J149" s="245" t="s">
        <v>561</v>
      </c>
      <c r="K149" s="216"/>
      <c r="L149" s="250" t="s">
        <v>1898</v>
      </c>
      <c r="M149" s="250" t="s">
        <v>1898</v>
      </c>
      <c r="N149" s="366"/>
      <c r="O149" s="385" t="s">
        <v>3489</v>
      </c>
      <c r="P149" s="706" t="s">
        <v>1828</v>
      </c>
      <c r="Q149" s="344" t="s">
        <v>87</v>
      </c>
      <c r="R149" s="982" t="s">
        <v>3488</v>
      </c>
      <c r="S149" s="279">
        <v>30259</v>
      </c>
      <c r="T149" s="257"/>
      <c r="U149" s="251" t="s">
        <v>54</v>
      </c>
      <c r="V149" s="197" t="s">
        <v>4047</v>
      </c>
      <c r="W149" s="197" t="s">
        <v>56</v>
      </c>
      <c r="X149" s="197" t="s">
        <v>57</v>
      </c>
      <c r="Y149" s="197" t="s">
        <v>2609</v>
      </c>
      <c r="Z149" s="246">
        <v>45231</v>
      </c>
      <c r="AA149" s="289"/>
      <c r="AB149" s="299"/>
      <c r="AC149" s="223"/>
      <c r="AD149" s="299"/>
      <c r="AE149" s="289"/>
      <c r="AF149" s="289"/>
      <c r="AG149" s="1132"/>
      <c r="AH149" s="1133"/>
      <c r="AI149" s="296"/>
      <c r="AJ149" s="491" t="s">
        <v>560</v>
      </c>
      <c r="AK149" s="241">
        <v>4</v>
      </c>
      <c r="AL149" s="122" t="s">
        <v>278</v>
      </c>
      <c r="AM149" s="122" t="s">
        <v>267</v>
      </c>
      <c r="AN149" s="110"/>
      <c r="AO149" s="110"/>
      <c r="AP149" s="115"/>
      <c r="AQ149" s="115"/>
      <c r="AR149" s="115"/>
      <c r="AS149" s="115"/>
      <c r="AT149" s="115"/>
    </row>
    <row r="150" spans="1:46" ht="39" customHeight="1" x14ac:dyDescent="0.25">
      <c r="A150" s="1468">
        <v>149</v>
      </c>
      <c r="B150" s="141">
        <v>2</v>
      </c>
      <c r="C150" s="378" t="s">
        <v>321</v>
      </c>
      <c r="D150" s="303"/>
      <c r="E150" s="241"/>
      <c r="F150" s="241"/>
      <c r="G150" s="261" t="s">
        <v>322</v>
      </c>
      <c r="H150" s="262" t="s">
        <v>87</v>
      </c>
      <c r="I150" s="364"/>
      <c r="J150" s="245" t="s">
        <v>561</v>
      </c>
      <c r="K150" s="216"/>
      <c r="L150" s="406"/>
      <c r="M150" s="289"/>
      <c r="N150" s="366"/>
      <c r="O150" s="216" t="s">
        <v>2671</v>
      </c>
      <c r="P150" s="706"/>
      <c r="Q150" s="344" t="s">
        <v>293</v>
      </c>
      <c r="R150" s="982" t="s">
        <v>2670</v>
      </c>
      <c r="S150" s="279">
        <v>30018</v>
      </c>
      <c r="T150" s="257"/>
      <c r="U150" s="251" t="s">
        <v>54</v>
      </c>
      <c r="V150" s="250" t="s">
        <v>2793</v>
      </c>
      <c r="W150" s="197" t="s">
        <v>56</v>
      </c>
      <c r="X150" s="197" t="s">
        <v>57</v>
      </c>
      <c r="Y150" s="197" t="s">
        <v>2609</v>
      </c>
      <c r="Z150" s="246">
        <v>45141</v>
      </c>
      <c r="AA150" s="388"/>
      <c r="AB150" s="257"/>
      <c r="AC150" s="223"/>
      <c r="AD150" s="257"/>
      <c r="AE150" s="289"/>
      <c r="AF150" s="289"/>
      <c r="AG150" s="241"/>
      <c r="AH150" s="299"/>
      <c r="AI150" s="322"/>
      <c r="AJ150" s="348" t="s">
        <v>560</v>
      </c>
      <c r="AK150" s="241">
        <v>4</v>
      </c>
      <c r="AL150" s="122" t="s">
        <v>278</v>
      </c>
      <c r="AM150" s="122" t="s">
        <v>267</v>
      </c>
      <c r="AN150" s="110"/>
      <c r="AO150" s="110"/>
      <c r="AP150" s="115"/>
      <c r="AQ150" s="115"/>
      <c r="AR150" s="115"/>
      <c r="AS150" s="115"/>
      <c r="AT150" s="116"/>
    </row>
    <row r="151" spans="1:46" ht="39" customHeight="1" x14ac:dyDescent="0.25">
      <c r="A151" s="1468">
        <v>150</v>
      </c>
      <c r="B151" s="141">
        <v>1</v>
      </c>
      <c r="C151" s="378" t="s">
        <v>323</v>
      </c>
      <c r="D151" s="303"/>
      <c r="E151" s="241"/>
      <c r="F151" s="241"/>
      <c r="G151" s="261" t="s">
        <v>324</v>
      </c>
      <c r="H151" s="262" t="s">
        <v>87</v>
      </c>
      <c r="I151" s="357"/>
      <c r="J151" s="245" t="s">
        <v>561</v>
      </c>
      <c r="K151" s="216"/>
      <c r="L151" s="245"/>
      <c r="M151" s="264"/>
      <c r="N151" s="404"/>
      <c r="O151" s="216" t="s">
        <v>2270</v>
      </c>
      <c r="P151" s="247"/>
      <c r="Q151" s="344" t="s">
        <v>293</v>
      </c>
      <c r="R151" s="982" t="s">
        <v>2269</v>
      </c>
      <c r="S151" s="279">
        <v>36683</v>
      </c>
      <c r="T151" s="268"/>
      <c r="U151" s="251" t="s">
        <v>54</v>
      </c>
      <c r="V151" s="250" t="s">
        <v>2793</v>
      </c>
      <c r="W151" s="197" t="s">
        <v>56</v>
      </c>
      <c r="X151" s="197" t="s">
        <v>57</v>
      </c>
      <c r="Y151" s="197" t="s">
        <v>2609</v>
      </c>
      <c r="Z151" s="246">
        <v>45186</v>
      </c>
      <c r="AA151" s="246"/>
      <c r="AB151" s="306"/>
      <c r="AC151" s="223"/>
      <c r="AD151" s="306"/>
      <c r="AE151" s="306"/>
      <c r="AF151" s="306"/>
      <c r="AG151" s="301"/>
      <c r="AH151" s="281"/>
      <c r="AI151" s="254"/>
      <c r="AJ151" s="348" t="s">
        <v>560</v>
      </c>
      <c r="AK151" s="241">
        <v>4</v>
      </c>
      <c r="AL151" s="122" t="s">
        <v>278</v>
      </c>
      <c r="AM151" s="122" t="s">
        <v>267</v>
      </c>
      <c r="AN151" s="110"/>
      <c r="AO151" s="110"/>
      <c r="AP151" s="115"/>
      <c r="AQ151" s="115"/>
      <c r="AR151" s="115"/>
      <c r="AS151" s="115"/>
      <c r="AT151" s="115"/>
    </row>
    <row r="152" spans="1:46" ht="39" customHeight="1" x14ac:dyDescent="0.25">
      <c r="A152" s="1468">
        <v>151</v>
      </c>
      <c r="B152" s="141">
        <v>2</v>
      </c>
      <c r="C152" s="260" t="s">
        <v>325</v>
      </c>
      <c r="D152" s="241"/>
      <c r="E152" s="241"/>
      <c r="F152" s="241"/>
      <c r="G152" s="261" t="s">
        <v>324</v>
      </c>
      <c r="H152" s="262" t="s">
        <v>87</v>
      </c>
      <c r="I152" s="357"/>
      <c r="J152" s="245" t="s">
        <v>561</v>
      </c>
      <c r="K152" s="216"/>
      <c r="L152" s="406"/>
      <c r="M152" s="289"/>
      <c r="N152" s="366"/>
      <c r="O152" s="216" t="s">
        <v>3622</v>
      </c>
      <c r="P152" s="247"/>
      <c r="Q152" s="344" t="s">
        <v>293</v>
      </c>
      <c r="R152" s="982" t="s">
        <v>3621</v>
      </c>
      <c r="S152" s="279">
        <v>29774</v>
      </c>
      <c r="T152" s="257"/>
      <c r="U152" s="251" t="s">
        <v>54</v>
      </c>
      <c r="V152" s="250"/>
      <c r="W152" s="197" t="s">
        <v>3623</v>
      </c>
      <c r="X152" s="197"/>
      <c r="Y152" s="197"/>
      <c r="Z152" s="246"/>
      <c r="AA152" s="388"/>
      <c r="AB152" s="257"/>
      <c r="AC152" s="223"/>
      <c r="AD152" s="257"/>
      <c r="AE152" s="289"/>
      <c r="AF152" s="289"/>
      <c r="AG152" s="241"/>
      <c r="AH152" s="299"/>
      <c r="AI152" s="322"/>
      <c r="AJ152" s="348" t="s">
        <v>560</v>
      </c>
      <c r="AK152" s="241">
        <v>4</v>
      </c>
      <c r="AL152" s="122" t="s">
        <v>278</v>
      </c>
      <c r="AM152" s="122" t="s">
        <v>267</v>
      </c>
      <c r="AN152" s="110"/>
      <c r="AO152" s="110"/>
      <c r="AP152" s="115"/>
      <c r="AQ152" s="115"/>
      <c r="AR152" s="115"/>
      <c r="AS152" s="115"/>
      <c r="AT152" s="115"/>
    </row>
    <row r="153" spans="1:46" ht="39" customHeight="1" x14ac:dyDescent="0.25">
      <c r="A153" s="1468">
        <v>152</v>
      </c>
      <c r="B153" s="117"/>
      <c r="C153" s="324"/>
      <c r="D153" s="664"/>
      <c r="E153" s="664"/>
      <c r="F153" s="664"/>
      <c r="G153" s="227"/>
      <c r="H153" s="228"/>
      <c r="I153" s="228"/>
      <c r="J153" s="229"/>
      <c r="K153" s="227"/>
      <c r="L153" s="229"/>
      <c r="M153" s="329"/>
      <c r="N153" s="329"/>
      <c r="O153" s="330"/>
      <c r="P153" s="273" t="s">
        <v>330</v>
      </c>
      <c r="Q153" s="331"/>
      <c r="R153" s="455"/>
      <c r="S153" s="279"/>
      <c r="T153" s="229"/>
      <c r="U153" s="229"/>
      <c r="V153" s="229"/>
      <c r="W153" s="232"/>
      <c r="X153" s="232"/>
      <c r="Y153" s="232"/>
      <c r="Z153" s="233"/>
      <c r="AA153" s="234"/>
      <c r="AB153" s="235"/>
      <c r="AC153" s="236"/>
      <c r="AD153" s="235"/>
      <c r="AE153" s="237"/>
      <c r="AF153" s="233"/>
      <c r="AG153" s="664"/>
      <c r="AH153" s="238"/>
      <c r="AI153" s="239"/>
      <c r="AJ153" s="303"/>
      <c r="AK153" s="241"/>
      <c r="AL153" s="122"/>
      <c r="AM153" s="122"/>
      <c r="AN153" s="113"/>
      <c r="AO153" s="114"/>
      <c r="AP153" s="115"/>
      <c r="AQ153" s="115"/>
      <c r="AR153" s="115"/>
      <c r="AS153" s="115"/>
      <c r="AT153" s="116"/>
    </row>
    <row r="154" spans="1:46" ht="39" customHeight="1" x14ac:dyDescent="0.25">
      <c r="A154" s="1468">
        <v>153</v>
      </c>
      <c r="B154" s="141">
        <v>10</v>
      </c>
      <c r="C154" s="240" t="s">
        <v>305</v>
      </c>
      <c r="D154" s="242"/>
      <c r="E154" s="242" t="s">
        <v>47</v>
      </c>
      <c r="F154" s="242"/>
      <c r="G154" s="243" t="s">
        <v>91</v>
      </c>
      <c r="H154" s="244" t="s">
        <v>83</v>
      </c>
      <c r="I154" s="340"/>
      <c r="J154" s="245">
        <v>302</v>
      </c>
      <c r="K154" s="197"/>
      <c r="L154" s="1256"/>
      <c r="M154" s="1256"/>
      <c r="N154" s="366"/>
      <c r="O154" s="216"/>
      <c r="P154" s="706"/>
      <c r="Q154" s="338"/>
      <c r="R154" s="259" t="s">
        <v>66</v>
      </c>
      <c r="S154" s="279"/>
      <c r="T154" s="366"/>
      <c r="U154" s="250"/>
      <c r="V154" s="197"/>
      <c r="W154" s="197"/>
      <c r="X154" s="197"/>
      <c r="Y154" s="288"/>
      <c r="Z154" s="612"/>
      <c r="AA154" s="252"/>
      <c r="AB154" s="1289"/>
      <c r="AC154" s="366"/>
      <c r="AD154" s="658"/>
      <c r="AE154" s="366"/>
      <c r="AF154" s="366"/>
      <c r="AG154" s="366"/>
      <c r="AH154" s="366"/>
      <c r="AI154" s="1256"/>
      <c r="AJ154" s="607"/>
      <c r="AK154" s="242">
        <v>1</v>
      </c>
      <c r="AL154" s="123" t="s">
        <v>278</v>
      </c>
      <c r="AM154" s="123" t="s">
        <v>267</v>
      </c>
      <c r="AN154" s="124"/>
      <c r="AO154" s="124"/>
      <c r="AP154" s="115"/>
      <c r="AQ154" s="115"/>
      <c r="AR154" s="115"/>
      <c r="AS154" s="115"/>
      <c r="AT154" s="115"/>
    </row>
    <row r="155" spans="1:46" ht="39" customHeight="1" x14ac:dyDescent="0.25">
      <c r="A155" s="1468">
        <v>154</v>
      </c>
      <c r="B155" s="117"/>
      <c r="C155" s="324"/>
      <c r="D155" s="664"/>
      <c r="E155" s="664"/>
      <c r="F155" s="664"/>
      <c r="G155" s="227"/>
      <c r="H155" s="228"/>
      <c r="I155" s="228"/>
      <c r="J155" s="229"/>
      <c r="K155" s="227"/>
      <c r="L155" s="229"/>
      <c r="M155" s="329"/>
      <c r="N155" s="329"/>
      <c r="O155" s="330"/>
      <c r="P155" s="273" t="s">
        <v>306</v>
      </c>
      <c r="Q155" s="331"/>
      <c r="R155" s="455"/>
      <c r="S155" s="279"/>
      <c r="T155" s="229"/>
      <c r="U155" s="229"/>
      <c r="V155" s="229"/>
      <c r="W155" s="232"/>
      <c r="X155" s="232"/>
      <c r="Y155" s="232"/>
      <c r="Z155" s="233"/>
      <c r="AA155" s="234"/>
      <c r="AB155" s="235"/>
      <c r="AC155" s="236"/>
      <c r="AD155" s="235"/>
      <c r="AE155" s="237"/>
      <c r="AF155" s="233"/>
      <c r="AG155" s="664"/>
      <c r="AH155" s="238"/>
      <c r="AI155" s="239"/>
      <c r="AJ155" s="303"/>
      <c r="AK155" s="241"/>
      <c r="AL155" s="122"/>
      <c r="AM155" s="122"/>
      <c r="AN155" s="113"/>
      <c r="AO155" s="114"/>
      <c r="AP155" s="115"/>
      <c r="AQ155" s="115"/>
      <c r="AR155" s="115"/>
      <c r="AS155" s="115"/>
      <c r="AT155" s="116"/>
    </row>
    <row r="156" spans="1:46" ht="39" customHeight="1" x14ac:dyDescent="0.25">
      <c r="A156" s="1468">
        <v>155</v>
      </c>
      <c r="B156" s="141">
        <v>7</v>
      </c>
      <c r="C156" s="408" t="s">
        <v>307</v>
      </c>
      <c r="D156" s="409"/>
      <c r="E156" s="291" t="s">
        <v>47</v>
      </c>
      <c r="F156" s="291"/>
      <c r="G156" s="410" t="s">
        <v>308</v>
      </c>
      <c r="H156" s="370" t="s">
        <v>132</v>
      </c>
      <c r="I156" s="371" t="s">
        <v>309</v>
      </c>
      <c r="J156" s="256">
        <v>403</v>
      </c>
      <c r="K156" s="216"/>
      <c r="L156" s="407"/>
      <c r="M156" s="281"/>
      <c r="N156" s="281"/>
      <c r="O156" s="950"/>
      <c r="P156" s="287"/>
      <c r="Q156" s="344"/>
      <c r="R156" s="982" t="s">
        <v>66</v>
      </c>
      <c r="S156" s="279"/>
      <c r="T156" s="250"/>
      <c r="U156" s="250"/>
      <c r="V156" s="250"/>
      <c r="W156" s="197"/>
      <c r="X156" s="197"/>
      <c r="Y156" s="197"/>
      <c r="Z156" s="246"/>
      <c r="AA156" s="252"/>
      <c r="AB156" s="282"/>
      <c r="AC156" s="223"/>
      <c r="AD156" s="282"/>
      <c r="AE156" s="258"/>
      <c r="AF156" s="258"/>
      <c r="AG156" s="241"/>
      <c r="AH156" s="283"/>
      <c r="AI156" s="254"/>
      <c r="AJ156" s="491"/>
      <c r="AK156" s="348">
        <v>3</v>
      </c>
      <c r="AL156" s="145" t="s">
        <v>278</v>
      </c>
      <c r="AM156" s="145" t="s">
        <v>267</v>
      </c>
      <c r="AN156" s="150"/>
      <c r="AO156" s="150"/>
      <c r="AP156" s="115"/>
      <c r="AQ156" s="149"/>
      <c r="AR156" s="115"/>
      <c r="AS156" s="115"/>
      <c r="AT156" s="115"/>
    </row>
    <row r="157" spans="1:46" ht="39" customHeight="1" x14ac:dyDescent="0.25">
      <c r="A157" s="1468">
        <v>156</v>
      </c>
      <c r="B157" s="141">
        <v>3</v>
      </c>
      <c r="C157" s="356" t="s">
        <v>290</v>
      </c>
      <c r="D157" s="241" t="s">
        <v>134</v>
      </c>
      <c r="E157" s="241"/>
      <c r="F157" s="241"/>
      <c r="G157" s="261" t="s">
        <v>291</v>
      </c>
      <c r="H157" s="262" t="s">
        <v>85</v>
      </c>
      <c r="I157" s="371"/>
      <c r="J157" s="245" t="s">
        <v>556</v>
      </c>
      <c r="K157" s="257"/>
      <c r="L157" s="288" t="s">
        <v>1526</v>
      </c>
      <c r="M157" s="288" t="s">
        <v>1526</v>
      </c>
      <c r="N157" s="374"/>
      <c r="O157" s="385" t="s">
        <v>1574</v>
      </c>
      <c r="P157" s="247"/>
      <c r="Q157" s="373" t="s">
        <v>87</v>
      </c>
      <c r="R157" s="982" t="s">
        <v>1575</v>
      </c>
      <c r="S157" s="279">
        <v>34223</v>
      </c>
      <c r="T157" s="197"/>
      <c r="U157" s="251" t="s">
        <v>54</v>
      </c>
      <c r="V157" s="250" t="s">
        <v>2793</v>
      </c>
      <c r="W157" s="197" t="s">
        <v>56</v>
      </c>
      <c r="X157" s="197" t="s">
        <v>57</v>
      </c>
      <c r="Y157" s="197" t="s">
        <v>2609</v>
      </c>
      <c r="Z157" s="246">
        <v>45141</v>
      </c>
      <c r="AA157" s="388"/>
      <c r="AB157" s="288"/>
      <c r="AC157" s="223"/>
      <c r="AD157" s="288"/>
      <c r="AE157" s="384"/>
      <c r="AF157" s="384"/>
      <c r="AG157" s="392"/>
      <c r="AH157" s="283"/>
      <c r="AI157" s="254"/>
      <c r="AJ157" s="348" t="s">
        <v>560</v>
      </c>
      <c r="AK157" s="241">
        <v>4</v>
      </c>
      <c r="AL157" s="122" t="s">
        <v>278</v>
      </c>
      <c r="AM157" s="122" t="s">
        <v>267</v>
      </c>
      <c r="AN157" s="110" t="s">
        <v>4184</v>
      </c>
      <c r="AO157" s="150"/>
      <c r="AP157" s="115"/>
      <c r="AQ157" s="149"/>
      <c r="AR157" s="115"/>
      <c r="AS157" s="115"/>
      <c r="AT157" s="115"/>
    </row>
    <row r="158" spans="1:46" ht="39" customHeight="1" x14ac:dyDescent="0.25">
      <c r="A158" s="1468">
        <v>157</v>
      </c>
      <c r="B158" s="141">
        <v>3</v>
      </c>
      <c r="C158" s="358" t="s">
        <v>297</v>
      </c>
      <c r="D158" s="241" t="s">
        <v>134</v>
      </c>
      <c r="E158" s="241"/>
      <c r="F158" s="241"/>
      <c r="G158" s="261" t="s">
        <v>298</v>
      </c>
      <c r="H158" s="262" t="s">
        <v>85</v>
      </c>
      <c r="I158" s="371"/>
      <c r="J158" s="245" t="s">
        <v>556</v>
      </c>
      <c r="K158" s="257"/>
      <c r="L158" s="299" t="s">
        <v>5916</v>
      </c>
      <c r="M158" s="299" t="s">
        <v>5916</v>
      </c>
      <c r="N158" s="299"/>
      <c r="O158" s="950" t="s">
        <v>6032</v>
      </c>
      <c r="P158" s="287"/>
      <c r="Q158" s="344" t="s">
        <v>132</v>
      </c>
      <c r="R158" s="982" t="s">
        <v>6031</v>
      </c>
      <c r="S158" s="279">
        <v>34978</v>
      </c>
      <c r="T158" s="289"/>
      <c r="U158" s="250"/>
      <c r="V158" s="250"/>
      <c r="W158" s="197"/>
      <c r="X158" s="197"/>
      <c r="Y158" s="197"/>
      <c r="Z158" s="246"/>
      <c r="AA158" s="289"/>
      <c r="AB158" s="299"/>
      <c r="AC158" s="223"/>
      <c r="AD158" s="299"/>
      <c r="AE158" s="289"/>
      <c r="AF158" s="289"/>
      <c r="AG158" s="299"/>
      <c r="AH158" s="299"/>
      <c r="AI158" s="223"/>
      <c r="AJ158" s="348" t="s">
        <v>560</v>
      </c>
      <c r="AK158" s="241">
        <v>4</v>
      </c>
      <c r="AL158" s="122" t="s">
        <v>278</v>
      </c>
      <c r="AM158" s="122" t="s">
        <v>267</v>
      </c>
      <c r="AN158" s="150"/>
      <c r="AO158" s="150"/>
      <c r="AP158" s="115"/>
      <c r="AQ158" s="149"/>
      <c r="AR158" s="115"/>
      <c r="AS158" s="115"/>
      <c r="AT158" s="116"/>
    </row>
    <row r="159" spans="1:46" ht="39" customHeight="1" x14ac:dyDescent="0.25">
      <c r="A159" s="1468">
        <v>158</v>
      </c>
      <c r="B159" s="141">
        <v>2</v>
      </c>
      <c r="C159" s="260" t="s">
        <v>311</v>
      </c>
      <c r="D159" s="241"/>
      <c r="E159" s="241"/>
      <c r="F159" s="241"/>
      <c r="G159" s="261" t="s">
        <v>312</v>
      </c>
      <c r="H159" s="262" t="s">
        <v>85</v>
      </c>
      <c r="I159" s="371"/>
      <c r="J159" s="245" t="s">
        <v>556</v>
      </c>
      <c r="K159" s="257"/>
      <c r="L159" s="299"/>
      <c r="M159" s="299" t="s">
        <v>1925</v>
      </c>
      <c r="N159" s="299"/>
      <c r="O159" s="950" t="s">
        <v>2036</v>
      </c>
      <c r="P159" s="287" t="s">
        <v>1411</v>
      </c>
      <c r="Q159" s="709" t="s">
        <v>570</v>
      </c>
      <c r="R159" s="998" t="s">
        <v>2035</v>
      </c>
      <c r="S159" s="279">
        <v>36671</v>
      </c>
      <c r="T159" s="289"/>
      <c r="U159" s="251" t="s">
        <v>54</v>
      </c>
      <c r="V159" s="252" t="s">
        <v>2032</v>
      </c>
      <c r="W159" s="197" t="s">
        <v>56</v>
      </c>
      <c r="X159" s="197" t="s">
        <v>57</v>
      </c>
      <c r="Y159" s="197" t="s">
        <v>2038</v>
      </c>
      <c r="Z159" s="252">
        <v>45156</v>
      </c>
      <c r="AA159" s="289"/>
      <c r="AB159" s="299"/>
      <c r="AC159" s="223"/>
      <c r="AD159" s="299"/>
      <c r="AE159" s="289"/>
      <c r="AF159" s="289"/>
      <c r="AG159" s="299"/>
      <c r="AH159" s="299"/>
      <c r="AI159" s="223"/>
      <c r="AJ159" s="491" t="s">
        <v>560</v>
      </c>
      <c r="AK159" s="241">
        <v>4</v>
      </c>
      <c r="AL159" s="122" t="s">
        <v>278</v>
      </c>
      <c r="AM159" s="122" t="s">
        <v>267</v>
      </c>
      <c r="AN159" s="150"/>
      <c r="AO159" s="150"/>
      <c r="AP159" s="115"/>
      <c r="AQ159" s="149"/>
      <c r="AR159" s="115"/>
      <c r="AS159" s="115"/>
      <c r="AT159" s="115"/>
    </row>
    <row r="160" spans="1:46" ht="39" customHeight="1" x14ac:dyDescent="0.25">
      <c r="A160" s="1468">
        <v>159</v>
      </c>
      <c r="B160" s="141">
        <v>2</v>
      </c>
      <c r="C160" s="260" t="s">
        <v>317</v>
      </c>
      <c r="D160" s="241"/>
      <c r="E160" s="241"/>
      <c r="F160" s="241"/>
      <c r="G160" s="261" t="s">
        <v>318</v>
      </c>
      <c r="H160" s="262" t="s">
        <v>87</v>
      </c>
      <c r="I160" s="371"/>
      <c r="J160" s="245" t="s">
        <v>561</v>
      </c>
      <c r="K160" s="216"/>
      <c r="L160" s="281"/>
      <c r="M160" s="281"/>
      <c r="N160" s="366"/>
      <c r="O160" s="216" t="s">
        <v>2236</v>
      </c>
      <c r="P160" s="300"/>
      <c r="Q160" s="344" t="s">
        <v>567</v>
      </c>
      <c r="R160" s="982" t="s">
        <v>2235</v>
      </c>
      <c r="S160" s="279">
        <v>35009</v>
      </c>
      <c r="T160" s="197"/>
      <c r="U160" s="251" t="s">
        <v>54</v>
      </c>
      <c r="V160" s="250" t="s">
        <v>2793</v>
      </c>
      <c r="W160" s="197" t="s">
        <v>56</v>
      </c>
      <c r="X160" s="197" t="s">
        <v>57</v>
      </c>
      <c r="Y160" s="197" t="s">
        <v>2609</v>
      </c>
      <c r="Z160" s="246">
        <v>45141</v>
      </c>
      <c r="AA160" s="246"/>
      <c r="AB160" s="361"/>
      <c r="AC160" s="223"/>
      <c r="AD160" s="376"/>
      <c r="AE160" s="258"/>
      <c r="AF160" s="258"/>
      <c r="AG160" s="241"/>
      <c r="AH160" s="283"/>
      <c r="AI160" s="254"/>
      <c r="AJ160" s="491" t="s">
        <v>560</v>
      </c>
      <c r="AK160" s="241">
        <v>4</v>
      </c>
      <c r="AL160" s="122" t="s">
        <v>278</v>
      </c>
      <c r="AM160" s="122" t="s">
        <v>267</v>
      </c>
      <c r="AN160" s="150"/>
      <c r="AO160" s="150"/>
      <c r="AP160" s="115"/>
      <c r="AQ160" s="149"/>
      <c r="AR160" s="115"/>
      <c r="AS160" s="115"/>
      <c r="AT160" s="115"/>
    </row>
    <row r="161" spans="1:46" ht="39" customHeight="1" x14ac:dyDescent="0.25">
      <c r="A161" s="1468">
        <v>160</v>
      </c>
      <c r="B161" s="146">
        <v>2</v>
      </c>
      <c r="C161" s="260" t="s">
        <v>319</v>
      </c>
      <c r="D161" s="241"/>
      <c r="E161" s="241"/>
      <c r="F161" s="241"/>
      <c r="G161" s="261" t="s">
        <v>320</v>
      </c>
      <c r="H161" s="262" t="s">
        <v>87</v>
      </c>
      <c r="I161" s="364"/>
      <c r="J161" s="245" t="s">
        <v>561</v>
      </c>
      <c r="K161" s="257"/>
      <c r="L161" s="299" t="s">
        <v>3518</v>
      </c>
      <c r="M161" s="299" t="s">
        <v>3518</v>
      </c>
      <c r="N161" s="245"/>
      <c r="O161" s="385" t="s">
        <v>2513</v>
      </c>
      <c r="P161" s="374"/>
      <c r="Q161" s="344" t="s">
        <v>293</v>
      </c>
      <c r="R161" s="982" t="s">
        <v>2512</v>
      </c>
      <c r="S161" s="279">
        <v>30280</v>
      </c>
      <c r="T161" s="289"/>
      <c r="U161" s="251" t="s">
        <v>54</v>
      </c>
      <c r="V161" s="250" t="s">
        <v>2793</v>
      </c>
      <c r="W161" s="197" t="s">
        <v>56</v>
      </c>
      <c r="X161" s="197" t="s">
        <v>57</v>
      </c>
      <c r="Y161" s="197" t="s">
        <v>2609</v>
      </c>
      <c r="Z161" s="246">
        <v>45186</v>
      </c>
      <c r="AA161" s="281"/>
      <c r="AB161" s="245"/>
      <c r="AC161" s="223"/>
      <c r="AD161" s="245"/>
      <c r="AE161" s="289"/>
      <c r="AF161" s="289"/>
      <c r="AG161" s="241"/>
      <c r="AH161" s="253"/>
      <c r="AI161" s="284"/>
      <c r="AJ161" s="348" t="s">
        <v>560</v>
      </c>
      <c r="AK161" s="241">
        <v>4</v>
      </c>
      <c r="AL161" s="122" t="s">
        <v>278</v>
      </c>
      <c r="AM161" s="122" t="s">
        <v>267</v>
      </c>
      <c r="AN161" s="110"/>
      <c r="AO161" s="110"/>
      <c r="AP161" s="115"/>
      <c r="AQ161" s="115"/>
      <c r="AR161" s="115"/>
      <c r="AS161" s="115"/>
      <c r="AT161" s="115"/>
    </row>
    <row r="162" spans="1:46" ht="39" customHeight="1" x14ac:dyDescent="0.25">
      <c r="A162" s="1468">
        <v>161</v>
      </c>
      <c r="B162" s="141">
        <v>2</v>
      </c>
      <c r="C162" s="378" t="s">
        <v>321</v>
      </c>
      <c r="D162" s="303"/>
      <c r="E162" s="241"/>
      <c r="F162" s="241"/>
      <c r="G162" s="261" t="s">
        <v>322</v>
      </c>
      <c r="H162" s="262" t="s">
        <v>87</v>
      </c>
      <c r="I162" s="357"/>
      <c r="J162" s="245" t="s">
        <v>561</v>
      </c>
      <c r="K162" s="216"/>
      <c r="L162" s="250"/>
      <c r="M162" s="250"/>
      <c r="N162" s="366"/>
      <c r="O162" s="950" t="s">
        <v>2659</v>
      </c>
      <c r="P162" s="372"/>
      <c r="Q162" s="373" t="s">
        <v>87</v>
      </c>
      <c r="R162" s="982" t="s">
        <v>2658</v>
      </c>
      <c r="S162" s="279">
        <v>31992</v>
      </c>
      <c r="T162" s="252"/>
      <c r="U162" s="251" t="s">
        <v>54</v>
      </c>
      <c r="V162" s="250" t="s">
        <v>2793</v>
      </c>
      <c r="W162" s="197" t="s">
        <v>56</v>
      </c>
      <c r="X162" s="197" t="s">
        <v>57</v>
      </c>
      <c r="Y162" s="197" t="s">
        <v>2609</v>
      </c>
      <c r="Z162" s="246">
        <v>45141</v>
      </c>
      <c r="AA162" s="327"/>
      <c r="AB162" s="282"/>
      <c r="AC162" s="223"/>
      <c r="AD162" s="282"/>
      <c r="AE162" s="252"/>
      <c r="AF162" s="252"/>
      <c r="AG162" s="282"/>
      <c r="AH162" s="283"/>
      <c r="AI162" s="254"/>
      <c r="AJ162" s="348" t="s">
        <v>560</v>
      </c>
      <c r="AK162" s="241">
        <v>4</v>
      </c>
      <c r="AL162" s="122" t="s">
        <v>278</v>
      </c>
      <c r="AM162" s="122" t="s">
        <v>267</v>
      </c>
      <c r="AN162" s="110"/>
      <c r="AO162" s="110"/>
      <c r="AP162" s="115"/>
      <c r="AQ162" s="115"/>
      <c r="AR162" s="115"/>
      <c r="AS162" s="115"/>
      <c r="AT162" s="116"/>
    </row>
    <row r="163" spans="1:46" ht="39" customHeight="1" x14ac:dyDescent="0.25">
      <c r="A163" s="1468">
        <v>162</v>
      </c>
      <c r="B163" s="141">
        <v>1</v>
      </c>
      <c r="C163" s="378" t="s">
        <v>323</v>
      </c>
      <c r="D163" s="303"/>
      <c r="E163" s="241"/>
      <c r="F163" s="241"/>
      <c r="G163" s="261" t="s">
        <v>324</v>
      </c>
      <c r="H163" s="262" t="s">
        <v>87</v>
      </c>
      <c r="I163" s="357"/>
      <c r="J163" s="245" t="s">
        <v>561</v>
      </c>
      <c r="K163" s="250"/>
      <c r="L163" s="256" t="s">
        <v>1898</v>
      </c>
      <c r="M163" s="256" t="s">
        <v>1898</v>
      </c>
      <c r="N163" s="366"/>
      <c r="O163" s="950" t="s">
        <v>2023</v>
      </c>
      <c r="P163" s="287" t="s">
        <v>1828</v>
      </c>
      <c r="Q163" s="344" t="s">
        <v>293</v>
      </c>
      <c r="R163" s="982" t="s">
        <v>2024</v>
      </c>
      <c r="S163" s="279">
        <v>28253</v>
      </c>
      <c r="T163" s="257"/>
      <c r="U163" s="251" t="s">
        <v>54</v>
      </c>
      <c r="V163" s="250" t="s">
        <v>2793</v>
      </c>
      <c r="W163" s="197" t="s">
        <v>56</v>
      </c>
      <c r="X163" s="197" t="s">
        <v>57</v>
      </c>
      <c r="Y163" s="197" t="s">
        <v>2609</v>
      </c>
      <c r="Z163" s="246">
        <v>45178</v>
      </c>
      <c r="AA163" s="252"/>
      <c r="AB163" s="257"/>
      <c r="AC163" s="223"/>
      <c r="AD163" s="257"/>
      <c r="AE163" s="306"/>
      <c r="AF163" s="306"/>
      <c r="AG163" s="1357"/>
      <c r="AH163" s="299"/>
      <c r="AI163" s="254"/>
      <c r="AJ163" s="348" t="s">
        <v>560</v>
      </c>
      <c r="AK163" s="241">
        <v>4</v>
      </c>
      <c r="AL163" s="122" t="s">
        <v>278</v>
      </c>
      <c r="AM163" s="122" t="s">
        <v>267</v>
      </c>
      <c r="AN163" s="110"/>
      <c r="AO163" s="110"/>
      <c r="AP163" s="115"/>
      <c r="AQ163" s="115"/>
      <c r="AR163" s="115"/>
      <c r="AS163" s="115"/>
      <c r="AT163" s="115"/>
    </row>
    <row r="164" spans="1:46" ht="39" customHeight="1" x14ac:dyDescent="0.25">
      <c r="A164" s="1468">
        <v>163</v>
      </c>
      <c r="B164" s="141">
        <v>2</v>
      </c>
      <c r="C164" s="260" t="s">
        <v>325</v>
      </c>
      <c r="D164" s="241"/>
      <c r="E164" s="241"/>
      <c r="F164" s="241"/>
      <c r="G164" s="261" t="s">
        <v>324</v>
      </c>
      <c r="H164" s="262" t="s">
        <v>87</v>
      </c>
      <c r="I164" s="357"/>
      <c r="J164" s="245" t="s">
        <v>561</v>
      </c>
      <c r="K164" s="288"/>
      <c r="L164" s="216"/>
      <c r="M164" s="216"/>
      <c r="N164" s="366"/>
      <c r="O164" s="950" t="s">
        <v>2715</v>
      </c>
      <c r="P164" s="287"/>
      <c r="Q164" s="709" t="s">
        <v>87</v>
      </c>
      <c r="R164" s="998" t="s">
        <v>2714</v>
      </c>
      <c r="S164" s="279">
        <v>30535</v>
      </c>
      <c r="T164" s="306"/>
      <c r="U164" s="251" t="s">
        <v>54</v>
      </c>
      <c r="V164" s="250" t="s">
        <v>2793</v>
      </c>
      <c r="W164" s="197" t="s">
        <v>56</v>
      </c>
      <c r="X164" s="197" t="s">
        <v>57</v>
      </c>
      <c r="Y164" s="197" t="s">
        <v>2609</v>
      </c>
      <c r="Z164" s="246">
        <v>45141</v>
      </c>
      <c r="AA164" s="252"/>
      <c r="AB164" s="288"/>
      <c r="AC164" s="223"/>
      <c r="AD164" s="288"/>
      <c r="AE164" s="306"/>
      <c r="AF164" s="306"/>
      <c r="AG164" s="282"/>
      <c r="AH164" s="283"/>
      <c r="AI164" s="296"/>
      <c r="AJ164" s="348" t="s">
        <v>560</v>
      </c>
      <c r="AK164" s="241">
        <v>4</v>
      </c>
      <c r="AL164" s="122" t="s">
        <v>278</v>
      </c>
      <c r="AM164" s="122" t="s">
        <v>267</v>
      </c>
      <c r="AN164" s="151"/>
      <c r="AO164" s="151"/>
      <c r="AP164" s="115"/>
      <c r="AQ164" s="149"/>
      <c r="AR164" s="115"/>
      <c r="AS164" s="115"/>
      <c r="AT164" s="115"/>
    </row>
    <row r="165" spans="1:46" ht="39" customHeight="1" x14ac:dyDescent="0.25">
      <c r="A165" s="1468">
        <v>164</v>
      </c>
      <c r="B165" s="117"/>
      <c r="C165" s="324"/>
      <c r="D165" s="664"/>
      <c r="E165" s="664"/>
      <c r="F165" s="664"/>
      <c r="G165" s="227"/>
      <c r="H165" s="228"/>
      <c r="I165" s="228"/>
      <c r="J165" s="229"/>
      <c r="K165" s="227"/>
      <c r="L165" s="229"/>
      <c r="M165" s="229"/>
      <c r="N165" s="229"/>
      <c r="O165" s="416"/>
      <c r="P165" s="273" t="s">
        <v>326</v>
      </c>
      <c r="Q165" s="331"/>
      <c r="R165" s="455"/>
      <c r="S165" s="279"/>
      <c r="T165" s="229"/>
      <c r="U165" s="229"/>
      <c r="V165" s="229"/>
      <c r="W165" s="232"/>
      <c r="X165" s="232"/>
      <c r="Y165" s="232"/>
      <c r="Z165" s="233"/>
      <c r="AA165" s="234"/>
      <c r="AB165" s="235"/>
      <c r="AC165" s="236"/>
      <c r="AD165" s="235"/>
      <c r="AE165" s="237"/>
      <c r="AF165" s="233"/>
      <c r="AG165" s="664"/>
      <c r="AH165" s="238"/>
      <c r="AI165" s="239"/>
      <c r="AJ165" s="303"/>
      <c r="AK165" s="241"/>
      <c r="AL165" s="122"/>
      <c r="AM165" s="122"/>
      <c r="AN165" s="113"/>
      <c r="AO165" s="114"/>
      <c r="AP165" s="115"/>
      <c r="AQ165" s="115"/>
      <c r="AR165" s="115"/>
      <c r="AS165" s="115"/>
      <c r="AT165" s="116"/>
    </row>
    <row r="166" spans="1:46" ht="39" customHeight="1" x14ac:dyDescent="0.25">
      <c r="A166" s="1468">
        <v>165</v>
      </c>
      <c r="B166" s="141">
        <v>5</v>
      </c>
      <c r="C166" s="290" t="s">
        <v>288</v>
      </c>
      <c r="D166" s="291"/>
      <c r="E166" s="291" t="s">
        <v>47</v>
      </c>
      <c r="F166" s="291"/>
      <c r="G166" s="292" t="s">
        <v>289</v>
      </c>
      <c r="H166" s="293" t="s">
        <v>132</v>
      </c>
      <c r="I166" s="344">
        <v>144</v>
      </c>
      <c r="J166" s="256">
        <v>403</v>
      </c>
      <c r="K166" s="684"/>
      <c r="L166" s="256" t="s">
        <v>1925</v>
      </c>
      <c r="M166" s="256" t="s">
        <v>1925</v>
      </c>
      <c r="N166" s="684"/>
      <c r="O166" s="950" t="s">
        <v>2256</v>
      </c>
      <c r="P166" s="287" t="s">
        <v>1828</v>
      </c>
      <c r="Q166" s="344" t="s">
        <v>519</v>
      </c>
      <c r="R166" s="982" t="s">
        <v>2255</v>
      </c>
      <c r="S166" s="279">
        <v>26701</v>
      </c>
      <c r="T166" s="684"/>
      <c r="U166" s="251" t="s">
        <v>54</v>
      </c>
      <c r="V166" s="250" t="s">
        <v>5520</v>
      </c>
      <c r="W166" s="197" t="s">
        <v>56</v>
      </c>
      <c r="X166" s="197" t="s">
        <v>475</v>
      </c>
      <c r="Y166" s="252"/>
      <c r="Z166" s="252"/>
      <c r="AA166" s="684"/>
      <c r="AB166" s="1290"/>
      <c r="AC166" s="684"/>
      <c r="AD166" s="686"/>
      <c r="AE166" s="684"/>
      <c r="AF166" s="684"/>
      <c r="AG166" s="684"/>
      <c r="AH166" s="684"/>
      <c r="AI166" s="685"/>
      <c r="AJ166" s="348" t="s">
        <v>560</v>
      </c>
      <c r="AK166" s="348">
        <v>3</v>
      </c>
      <c r="AL166" s="145" t="s">
        <v>278</v>
      </c>
      <c r="AM166" s="145" t="s">
        <v>267</v>
      </c>
      <c r="AN166" s="138"/>
      <c r="AO166" s="138"/>
      <c r="AP166" s="115"/>
      <c r="AQ166" s="149"/>
      <c r="AR166" s="115"/>
      <c r="AS166" s="115"/>
      <c r="AT166" s="115"/>
    </row>
    <row r="167" spans="1:46" ht="39" customHeight="1" x14ac:dyDescent="0.25">
      <c r="A167" s="1468">
        <v>166</v>
      </c>
      <c r="B167" s="141">
        <v>3</v>
      </c>
      <c r="C167" s="356" t="s">
        <v>290</v>
      </c>
      <c r="D167" s="241" t="s">
        <v>134</v>
      </c>
      <c r="E167" s="241"/>
      <c r="F167" s="241"/>
      <c r="G167" s="261" t="s">
        <v>291</v>
      </c>
      <c r="H167" s="262" t="s">
        <v>85</v>
      </c>
      <c r="I167" s="346"/>
      <c r="J167" s="245" t="s">
        <v>556</v>
      </c>
      <c r="K167" s="257"/>
      <c r="L167" s="385" t="s">
        <v>5916</v>
      </c>
      <c r="M167" s="385" t="s">
        <v>5916</v>
      </c>
      <c r="N167" s="385"/>
      <c r="O167" s="385" t="s">
        <v>6030</v>
      </c>
      <c r="P167" s="385"/>
      <c r="Q167" s="373" t="s">
        <v>132</v>
      </c>
      <c r="R167" s="982" t="s">
        <v>6029</v>
      </c>
      <c r="S167" s="279">
        <v>30690</v>
      </c>
      <c r="T167" s="289"/>
      <c r="U167" s="250"/>
      <c r="V167" s="250"/>
      <c r="W167" s="197"/>
      <c r="X167" s="197"/>
      <c r="Y167" s="197"/>
      <c r="Z167" s="246"/>
      <c r="AA167" s="289"/>
      <c r="AB167" s="299"/>
      <c r="AC167" s="223"/>
      <c r="AD167" s="299"/>
      <c r="AE167" s="289"/>
      <c r="AF167" s="289"/>
      <c r="AG167" s="299"/>
      <c r="AH167" s="299"/>
      <c r="AI167" s="223"/>
      <c r="AJ167" s="348" t="s">
        <v>560</v>
      </c>
      <c r="AK167" s="241">
        <v>4</v>
      </c>
      <c r="AL167" s="122" t="s">
        <v>278</v>
      </c>
      <c r="AM167" s="122" t="s">
        <v>267</v>
      </c>
      <c r="AN167" s="110" t="s">
        <v>4184</v>
      </c>
      <c r="AO167" s="138"/>
      <c r="AP167" s="115"/>
      <c r="AQ167" s="149"/>
      <c r="AR167" s="115"/>
      <c r="AS167" s="115"/>
      <c r="AT167" s="115"/>
    </row>
    <row r="168" spans="1:46" ht="39" customHeight="1" x14ac:dyDescent="0.25">
      <c r="A168" s="1468">
        <v>167</v>
      </c>
      <c r="B168" s="141">
        <v>3</v>
      </c>
      <c r="C168" s="358" t="s">
        <v>297</v>
      </c>
      <c r="D168" s="241" t="s">
        <v>134</v>
      </c>
      <c r="E168" s="241"/>
      <c r="F168" s="241"/>
      <c r="G168" s="261" t="s">
        <v>298</v>
      </c>
      <c r="H168" s="262" t="s">
        <v>85</v>
      </c>
      <c r="I168" s="346"/>
      <c r="J168" s="245" t="s">
        <v>556</v>
      </c>
      <c r="K168" s="257"/>
      <c r="L168" s="256" t="s">
        <v>1925</v>
      </c>
      <c r="M168" s="256" t="s">
        <v>1925</v>
      </c>
      <c r="N168" s="299"/>
      <c r="O168" s="950" t="s">
        <v>2726</v>
      </c>
      <c r="P168" s="287" t="s">
        <v>1828</v>
      </c>
      <c r="Q168" s="344" t="s">
        <v>87</v>
      </c>
      <c r="R168" s="982" t="s">
        <v>2725</v>
      </c>
      <c r="S168" s="279">
        <v>31114</v>
      </c>
      <c r="T168" s="289"/>
      <c r="U168" s="251" t="s">
        <v>54</v>
      </c>
      <c r="V168" s="250" t="s">
        <v>2793</v>
      </c>
      <c r="W168" s="197" t="s">
        <v>56</v>
      </c>
      <c r="X168" s="197" t="s">
        <v>57</v>
      </c>
      <c r="Y168" s="197" t="s">
        <v>2609</v>
      </c>
      <c r="Z168" s="246">
        <v>45145</v>
      </c>
      <c r="AA168" s="289"/>
      <c r="AB168" s="299"/>
      <c r="AC168" s="223"/>
      <c r="AD168" s="299"/>
      <c r="AE168" s="289"/>
      <c r="AF168" s="289"/>
      <c r="AG168" s="299"/>
      <c r="AH168" s="299"/>
      <c r="AI168" s="223"/>
      <c r="AJ168" s="348" t="s">
        <v>560</v>
      </c>
      <c r="AK168" s="241">
        <v>4</v>
      </c>
      <c r="AL168" s="122" t="s">
        <v>278</v>
      </c>
      <c r="AM168" s="122" t="s">
        <v>267</v>
      </c>
      <c r="AN168" s="138"/>
      <c r="AO168" s="138"/>
      <c r="AP168" s="115"/>
      <c r="AQ168" s="149"/>
      <c r="AR168" s="115"/>
      <c r="AS168" s="115"/>
      <c r="AT168" s="116"/>
    </row>
    <row r="169" spans="1:46" ht="39" customHeight="1" x14ac:dyDescent="0.25">
      <c r="A169" s="1468">
        <v>168</v>
      </c>
      <c r="B169" s="141">
        <v>2</v>
      </c>
      <c r="C169" s="260" t="s">
        <v>311</v>
      </c>
      <c r="D169" s="241"/>
      <c r="E169" s="241"/>
      <c r="F169" s="241"/>
      <c r="G169" s="261" t="s">
        <v>312</v>
      </c>
      <c r="H169" s="262" t="s">
        <v>85</v>
      </c>
      <c r="I169" s="346"/>
      <c r="J169" s="245" t="s">
        <v>556</v>
      </c>
      <c r="K169" s="436"/>
      <c r="L169" s="397" t="s">
        <v>1898</v>
      </c>
      <c r="M169" s="397" t="s">
        <v>1898</v>
      </c>
      <c r="N169" s="412"/>
      <c r="O169" s="950" t="s">
        <v>1969</v>
      </c>
      <c r="P169" s="708" t="s">
        <v>1828</v>
      </c>
      <c r="Q169" s="709" t="s">
        <v>87</v>
      </c>
      <c r="R169" s="998" t="s">
        <v>1968</v>
      </c>
      <c r="S169" s="279">
        <v>29081</v>
      </c>
      <c r="T169" s="399"/>
      <c r="U169" s="251" t="s">
        <v>54</v>
      </c>
      <c r="V169" s="250" t="s">
        <v>5520</v>
      </c>
      <c r="W169" s="197" t="s">
        <v>56</v>
      </c>
      <c r="X169" s="197" t="s">
        <v>475</v>
      </c>
      <c r="Y169" s="252" t="s">
        <v>5521</v>
      </c>
      <c r="Z169" s="252">
        <v>45154</v>
      </c>
      <c r="AA169" s="711"/>
      <c r="AB169" s="412"/>
      <c r="AC169" s="488"/>
      <c r="AD169" s="412"/>
      <c r="AE169" s="399"/>
      <c r="AF169" s="399"/>
      <c r="AG169" s="412"/>
      <c r="AH169" s="412"/>
      <c r="AI169" s="712"/>
      <c r="AJ169" s="491" t="s">
        <v>560</v>
      </c>
      <c r="AK169" s="419">
        <v>4</v>
      </c>
      <c r="AL169" s="122" t="s">
        <v>278</v>
      </c>
      <c r="AM169" s="122" t="s">
        <v>267</v>
      </c>
      <c r="AN169" s="138"/>
      <c r="AO169" s="138"/>
      <c r="AP169" s="115"/>
      <c r="AQ169" s="149"/>
      <c r="AR169" s="115"/>
      <c r="AS169" s="115"/>
      <c r="AT169" s="115"/>
    </row>
    <row r="170" spans="1:46" ht="39" customHeight="1" x14ac:dyDescent="0.25">
      <c r="A170" s="1468">
        <v>169</v>
      </c>
      <c r="B170" s="141">
        <v>2</v>
      </c>
      <c r="C170" s="260" t="s">
        <v>317</v>
      </c>
      <c r="D170" s="241"/>
      <c r="E170" s="241"/>
      <c r="F170" s="241"/>
      <c r="G170" s="261" t="s">
        <v>318</v>
      </c>
      <c r="H170" s="262" t="s">
        <v>87</v>
      </c>
      <c r="I170" s="346"/>
      <c r="J170" s="245" t="s">
        <v>561</v>
      </c>
      <c r="K170" s="216"/>
      <c r="L170" s="281" t="s">
        <v>5916</v>
      </c>
      <c r="M170" s="281" t="s">
        <v>5916</v>
      </c>
      <c r="N170" s="366"/>
      <c r="O170" s="216" t="s">
        <v>6044</v>
      </c>
      <c r="P170" s="300"/>
      <c r="Q170" s="344" t="s">
        <v>87</v>
      </c>
      <c r="R170" s="982" t="s">
        <v>6043</v>
      </c>
      <c r="S170" s="279">
        <v>36159</v>
      </c>
      <c r="T170" s="197"/>
      <c r="U170" s="250"/>
      <c r="V170" s="250"/>
      <c r="W170" s="197"/>
      <c r="X170" s="197"/>
      <c r="Y170" s="197"/>
      <c r="Z170" s="246"/>
      <c r="AA170" s="246"/>
      <c r="AB170" s="361"/>
      <c r="AC170" s="223"/>
      <c r="AD170" s="376"/>
      <c r="AE170" s="258"/>
      <c r="AF170" s="258"/>
      <c r="AG170" s="241"/>
      <c r="AH170" s="283"/>
      <c r="AI170" s="254"/>
      <c r="AJ170" s="491" t="s">
        <v>560</v>
      </c>
      <c r="AK170" s="419">
        <v>4</v>
      </c>
      <c r="AL170" s="122" t="s">
        <v>278</v>
      </c>
      <c r="AM170" s="122" t="s">
        <v>267</v>
      </c>
      <c r="AN170" s="138"/>
      <c r="AO170" s="138"/>
      <c r="AP170" s="115"/>
      <c r="AQ170" s="149"/>
      <c r="AR170" s="115"/>
      <c r="AS170" s="115"/>
      <c r="AT170" s="115"/>
    </row>
    <row r="171" spans="1:46" ht="39" customHeight="1" x14ac:dyDescent="0.25">
      <c r="A171" s="1468">
        <v>170</v>
      </c>
      <c r="B171" s="146">
        <v>2</v>
      </c>
      <c r="C171" s="260" t="s">
        <v>319</v>
      </c>
      <c r="D171" s="241"/>
      <c r="E171" s="241"/>
      <c r="F171" s="241"/>
      <c r="G171" s="261" t="s">
        <v>320</v>
      </c>
      <c r="H171" s="262" t="s">
        <v>87</v>
      </c>
      <c r="I171" s="357"/>
      <c r="J171" s="245" t="s">
        <v>561</v>
      </c>
      <c r="K171" s="257"/>
      <c r="L171" s="301"/>
      <c r="M171" s="301"/>
      <c r="N171" s="299"/>
      <c r="O171" s="385" t="s">
        <v>2509</v>
      </c>
      <c r="P171" s="374"/>
      <c r="Q171" s="373" t="s">
        <v>87</v>
      </c>
      <c r="R171" s="982" t="s">
        <v>2508</v>
      </c>
      <c r="S171" s="279">
        <v>29372</v>
      </c>
      <c r="T171" s="289"/>
      <c r="U171" s="251" t="s">
        <v>54</v>
      </c>
      <c r="V171" s="250" t="s">
        <v>2793</v>
      </c>
      <c r="W171" s="197" t="s">
        <v>56</v>
      </c>
      <c r="X171" s="197" t="s">
        <v>57</v>
      </c>
      <c r="Y171" s="197" t="s">
        <v>2609</v>
      </c>
      <c r="Z171" s="246">
        <v>45186</v>
      </c>
      <c r="AA171" s="289"/>
      <c r="AB171" s="299"/>
      <c r="AC171" s="223"/>
      <c r="AD171" s="281"/>
      <c r="AE171" s="289"/>
      <c r="AF171" s="289"/>
      <c r="AG171" s="299"/>
      <c r="AH171" s="299"/>
      <c r="AI171" s="296"/>
      <c r="AJ171" s="348" t="s">
        <v>560</v>
      </c>
      <c r="AK171" s="241">
        <v>4</v>
      </c>
      <c r="AL171" s="122" t="s">
        <v>278</v>
      </c>
      <c r="AM171" s="122" t="s">
        <v>267</v>
      </c>
      <c r="AN171" s="110"/>
      <c r="AO171" s="152"/>
      <c r="AP171" s="115"/>
      <c r="AQ171" s="115"/>
      <c r="AR171" s="115"/>
      <c r="AS171" s="115"/>
      <c r="AT171" s="115"/>
    </row>
    <row r="172" spans="1:46" ht="39" customHeight="1" x14ac:dyDescent="0.25">
      <c r="A172" s="1468">
        <v>171</v>
      </c>
      <c r="B172" s="141">
        <v>2</v>
      </c>
      <c r="C172" s="378" t="s">
        <v>321</v>
      </c>
      <c r="D172" s="303"/>
      <c r="E172" s="241"/>
      <c r="F172" s="241"/>
      <c r="G172" s="261" t="s">
        <v>322</v>
      </c>
      <c r="H172" s="262" t="s">
        <v>87</v>
      </c>
      <c r="I172" s="364"/>
      <c r="J172" s="245" t="s">
        <v>561</v>
      </c>
      <c r="K172" s="216"/>
      <c r="L172" s="281" t="s">
        <v>1860</v>
      </c>
      <c r="M172" s="281" t="s">
        <v>1860</v>
      </c>
      <c r="N172" s="299"/>
      <c r="O172" s="951" t="s">
        <v>1884</v>
      </c>
      <c r="P172" s="484" t="s">
        <v>1828</v>
      </c>
      <c r="Q172" s="373" t="s">
        <v>87</v>
      </c>
      <c r="R172" s="982" t="s">
        <v>1883</v>
      </c>
      <c r="S172" s="279">
        <v>29126</v>
      </c>
      <c r="T172" s="250"/>
      <c r="U172" s="251" t="s">
        <v>54</v>
      </c>
      <c r="V172" s="250" t="s">
        <v>1922</v>
      </c>
      <c r="W172" s="197" t="s">
        <v>56</v>
      </c>
      <c r="X172" s="197" t="s">
        <v>57</v>
      </c>
      <c r="Y172" s="252" t="s">
        <v>1933</v>
      </c>
      <c r="Z172" s="252">
        <v>45133</v>
      </c>
      <c r="AA172" s="289"/>
      <c r="AB172" s="299"/>
      <c r="AC172" s="223"/>
      <c r="AD172" s="299"/>
      <c r="AE172" s="289"/>
      <c r="AF172" s="289"/>
      <c r="AG172" s="299"/>
      <c r="AH172" s="299"/>
      <c r="AI172" s="296"/>
      <c r="AJ172" s="348" t="s">
        <v>560</v>
      </c>
      <c r="AK172" s="241">
        <v>4</v>
      </c>
      <c r="AL172" s="122" t="s">
        <v>278</v>
      </c>
      <c r="AM172" s="122" t="s">
        <v>267</v>
      </c>
      <c r="AN172" s="110"/>
      <c r="AO172" s="110"/>
      <c r="AP172" s="115"/>
      <c r="AQ172" s="115"/>
      <c r="AR172" s="115"/>
      <c r="AS172" s="115"/>
      <c r="AT172" s="116"/>
    </row>
    <row r="173" spans="1:46" ht="39" customHeight="1" x14ac:dyDescent="0.25">
      <c r="A173" s="1468">
        <v>172</v>
      </c>
      <c r="B173" s="141">
        <v>1</v>
      </c>
      <c r="C173" s="378" t="s">
        <v>323</v>
      </c>
      <c r="D173" s="303"/>
      <c r="E173" s="241"/>
      <c r="F173" s="241"/>
      <c r="G173" s="261" t="s">
        <v>324</v>
      </c>
      <c r="H173" s="262" t="s">
        <v>87</v>
      </c>
      <c r="I173" s="357"/>
      <c r="J173" s="245" t="s">
        <v>561</v>
      </c>
      <c r="K173" s="277"/>
      <c r="L173" s="441"/>
      <c r="M173" s="441"/>
      <c r="N173" s="276"/>
      <c r="O173" s="216"/>
      <c r="P173" s="555"/>
      <c r="Q173" s="298"/>
      <c r="R173" s="982" t="s">
        <v>66</v>
      </c>
      <c r="S173" s="279"/>
      <c r="T173" s="197"/>
      <c r="U173" s="250"/>
      <c r="V173" s="250"/>
      <c r="W173" s="197"/>
      <c r="X173" s="197"/>
      <c r="Y173" s="197"/>
      <c r="Z173" s="246"/>
      <c r="AA173" s="398"/>
      <c r="AB173" s="487"/>
      <c r="AC173" s="488"/>
      <c r="AD173" s="487"/>
      <c r="AE173" s="398"/>
      <c r="AF173" s="398"/>
      <c r="AG173" s="487"/>
      <c r="AH173" s="489"/>
      <c r="AI173" s="523"/>
      <c r="AJ173" s="348"/>
      <c r="AK173" s="241">
        <v>4</v>
      </c>
      <c r="AL173" s="122" t="s">
        <v>278</v>
      </c>
      <c r="AM173" s="122" t="s">
        <v>267</v>
      </c>
      <c r="AN173" s="110"/>
      <c r="AO173" s="110"/>
      <c r="AP173" s="115"/>
      <c r="AQ173" s="115"/>
      <c r="AR173" s="115"/>
      <c r="AS173" s="115"/>
      <c r="AT173" s="115"/>
    </row>
    <row r="174" spans="1:46" ht="39" customHeight="1" x14ac:dyDescent="0.25">
      <c r="A174" s="1468">
        <v>173</v>
      </c>
      <c r="B174" s="141">
        <v>2</v>
      </c>
      <c r="C174" s="260" t="s">
        <v>325</v>
      </c>
      <c r="D174" s="241"/>
      <c r="E174" s="241"/>
      <c r="F174" s="241"/>
      <c r="G174" s="261" t="s">
        <v>324</v>
      </c>
      <c r="H174" s="262" t="s">
        <v>87</v>
      </c>
      <c r="I174" s="357"/>
      <c r="J174" s="245" t="s">
        <v>561</v>
      </c>
      <c r="K174" s="265"/>
      <c r="L174" s="496" t="s">
        <v>6172</v>
      </c>
      <c r="M174" s="496" t="s">
        <v>6172</v>
      </c>
      <c r="N174" s="264"/>
      <c r="O174" s="216" t="s">
        <v>3440</v>
      </c>
      <c r="P174" s="247"/>
      <c r="Q174" s="373" t="s">
        <v>87</v>
      </c>
      <c r="R174" s="982" t="s">
        <v>3439</v>
      </c>
      <c r="S174" s="279">
        <v>29543</v>
      </c>
      <c r="T174" s="289"/>
      <c r="U174" s="251" t="s">
        <v>54</v>
      </c>
      <c r="V174" s="197" t="s">
        <v>4047</v>
      </c>
      <c r="W174" s="268" t="s">
        <v>56</v>
      </c>
      <c r="X174" s="268" t="s">
        <v>57</v>
      </c>
      <c r="Y174" s="197" t="s">
        <v>2609</v>
      </c>
      <c r="Z174" s="246">
        <v>45231</v>
      </c>
      <c r="AA174" s="252"/>
      <c r="AB174" s="245"/>
      <c r="AC174" s="223"/>
      <c r="AD174" s="245"/>
      <c r="AE174" s="289"/>
      <c r="AF174" s="289"/>
      <c r="AG174" s="241"/>
      <c r="AH174" s="253"/>
      <c r="AI174" s="284"/>
      <c r="AJ174" s="348" t="s">
        <v>560</v>
      </c>
      <c r="AK174" s="241">
        <v>4</v>
      </c>
      <c r="AL174" s="122" t="s">
        <v>278</v>
      </c>
      <c r="AM174" s="122" t="s">
        <v>267</v>
      </c>
      <c r="AN174" s="110"/>
      <c r="AO174" s="110"/>
      <c r="AP174" s="115"/>
      <c r="AQ174" s="115"/>
      <c r="AR174" s="115"/>
      <c r="AS174" s="115"/>
      <c r="AT174" s="115"/>
    </row>
    <row r="175" spans="1:46" ht="39" customHeight="1" x14ac:dyDescent="0.25">
      <c r="A175" s="1468">
        <v>174</v>
      </c>
      <c r="B175" s="117"/>
      <c r="C175" s="324"/>
      <c r="D175" s="664"/>
      <c r="E175" s="664"/>
      <c r="F175" s="664"/>
      <c r="G175" s="227"/>
      <c r="H175" s="228"/>
      <c r="I175" s="228"/>
      <c r="J175" s="229"/>
      <c r="K175" s="788"/>
      <c r="L175" s="342"/>
      <c r="M175" s="342"/>
      <c r="N175" s="342"/>
      <c r="O175" s="330"/>
      <c r="P175" s="273" t="s">
        <v>327</v>
      </c>
      <c r="Q175" s="331"/>
      <c r="R175" s="455"/>
      <c r="S175" s="279"/>
      <c r="T175" s="229"/>
      <c r="U175" s="229"/>
      <c r="V175" s="229"/>
      <c r="W175" s="369"/>
      <c r="X175" s="369"/>
      <c r="Y175" s="369"/>
      <c r="Z175" s="702"/>
      <c r="AA175" s="790"/>
      <c r="AB175" s="701"/>
      <c r="AC175" s="703"/>
      <c r="AD175" s="701"/>
      <c r="AE175" s="584"/>
      <c r="AF175" s="584"/>
      <c r="AG175" s="391"/>
      <c r="AH175" s="704"/>
      <c r="AI175" s="705"/>
      <c r="AJ175" s="303"/>
      <c r="AK175" s="241"/>
      <c r="AL175" s="122"/>
      <c r="AM175" s="122"/>
      <c r="AN175" s="113"/>
      <c r="AO175" s="114"/>
      <c r="AP175" s="115"/>
      <c r="AQ175" s="115"/>
      <c r="AR175" s="115"/>
      <c r="AS175" s="115"/>
      <c r="AT175" s="116"/>
    </row>
    <row r="176" spans="1:46" ht="39" customHeight="1" x14ac:dyDescent="0.25">
      <c r="A176" s="1468">
        <v>175</v>
      </c>
      <c r="B176" s="141">
        <v>1</v>
      </c>
      <c r="C176" s="290" t="s">
        <v>288</v>
      </c>
      <c r="D176" s="291"/>
      <c r="E176" s="291" t="s">
        <v>47</v>
      </c>
      <c r="F176" s="291"/>
      <c r="G176" s="292" t="s">
        <v>289</v>
      </c>
      <c r="H176" s="293" t="s">
        <v>132</v>
      </c>
      <c r="I176" s="344">
        <v>144</v>
      </c>
      <c r="J176" s="256">
        <v>403</v>
      </c>
      <c r="K176" s="216"/>
      <c r="L176" s="281" t="s">
        <v>2019</v>
      </c>
      <c r="M176" s="281" t="s">
        <v>2019</v>
      </c>
      <c r="N176" s="245"/>
      <c r="O176" s="950" t="s">
        <v>3314</v>
      </c>
      <c r="P176" s="706" t="s">
        <v>1411</v>
      </c>
      <c r="Q176" s="344" t="s">
        <v>519</v>
      </c>
      <c r="R176" s="982" t="s">
        <v>2018</v>
      </c>
      <c r="S176" s="279">
        <v>32380</v>
      </c>
      <c r="T176" s="252"/>
      <c r="U176" s="251" t="s">
        <v>886</v>
      </c>
      <c r="V176" s="197" t="s">
        <v>5162</v>
      </c>
      <c r="W176" s="197" t="s">
        <v>886</v>
      </c>
      <c r="X176" s="197" t="s">
        <v>886</v>
      </c>
      <c r="Y176" s="949"/>
      <c r="Z176" s="246">
        <v>45258</v>
      </c>
      <c r="AA176" s="327"/>
      <c r="AB176" s="282"/>
      <c r="AC176" s="223"/>
      <c r="AD176" s="282"/>
      <c r="AE176" s="252"/>
      <c r="AF176" s="252"/>
      <c r="AG176" s="282"/>
      <c r="AH176" s="283"/>
      <c r="AI176" s="328"/>
      <c r="AJ176" s="743" t="s">
        <v>560</v>
      </c>
      <c r="AK176" s="348">
        <v>3</v>
      </c>
      <c r="AL176" s="145" t="s">
        <v>278</v>
      </c>
      <c r="AM176" s="145" t="s">
        <v>267</v>
      </c>
      <c r="AN176" s="138"/>
      <c r="AO176" s="138"/>
      <c r="AP176" s="115"/>
      <c r="AQ176" s="149"/>
      <c r="AR176" s="115"/>
      <c r="AS176" s="115"/>
      <c r="AT176" s="115"/>
    </row>
    <row r="177" spans="1:46" ht="39" customHeight="1" x14ac:dyDescent="0.25">
      <c r="A177" s="1468">
        <v>176</v>
      </c>
      <c r="B177" s="141">
        <v>3</v>
      </c>
      <c r="C177" s="356" t="s">
        <v>290</v>
      </c>
      <c r="D177" s="241" t="s">
        <v>134</v>
      </c>
      <c r="E177" s="241"/>
      <c r="F177" s="241"/>
      <c r="G177" s="261" t="s">
        <v>291</v>
      </c>
      <c r="H177" s="262" t="s">
        <v>85</v>
      </c>
      <c r="I177" s="346"/>
      <c r="J177" s="245" t="s">
        <v>556</v>
      </c>
      <c r="K177" s="216"/>
      <c r="L177" s="385" t="s">
        <v>5916</v>
      </c>
      <c r="M177" s="385" t="s">
        <v>5916</v>
      </c>
      <c r="N177" s="385"/>
      <c r="O177" s="385" t="s">
        <v>6041</v>
      </c>
      <c r="P177" s="385"/>
      <c r="Q177" s="373" t="s">
        <v>132</v>
      </c>
      <c r="R177" s="982" t="s">
        <v>6040</v>
      </c>
      <c r="S177" s="279">
        <v>35563</v>
      </c>
      <c r="T177" s="197"/>
      <c r="U177" s="250"/>
      <c r="V177" s="250"/>
      <c r="W177" s="197"/>
      <c r="X177" s="197"/>
      <c r="Y177" s="197"/>
      <c r="Z177" s="246"/>
      <c r="AA177" s="388"/>
      <c r="AB177" s="281"/>
      <c r="AC177" s="223"/>
      <c r="AD177" s="288"/>
      <c r="AE177" s="384"/>
      <c r="AF177" s="384"/>
      <c r="AG177" s="392"/>
      <c r="AH177" s="283"/>
      <c r="AI177" s="254"/>
      <c r="AJ177" s="348" t="s">
        <v>560</v>
      </c>
      <c r="AK177" s="241">
        <v>4</v>
      </c>
      <c r="AL177" s="122" t="s">
        <v>278</v>
      </c>
      <c r="AM177" s="122" t="s">
        <v>267</v>
      </c>
      <c r="AN177" s="110" t="s">
        <v>4184</v>
      </c>
      <c r="AO177" s="138"/>
      <c r="AP177" s="115"/>
      <c r="AQ177" s="149"/>
      <c r="AR177" s="115"/>
      <c r="AS177" s="115"/>
      <c r="AT177" s="115"/>
    </row>
    <row r="178" spans="1:46" ht="39" customHeight="1" x14ac:dyDescent="0.25">
      <c r="A178" s="1468">
        <v>177</v>
      </c>
      <c r="B178" s="141">
        <v>3</v>
      </c>
      <c r="C178" s="358" t="s">
        <v>297</v>
      </c>
      <c r="D178" s="241" t="s">
        <v>134</v>
      </c>
      <c r="E178" s="241"/>
      <c r="F178" s="241"/>
      <c r="G178" s="261" t="s">
        <v>298</v>
      </c>
      <c r="H178" s="262" t="s">
        <v>85</v>
      </c>
      <c r="I178" s="346"/>
      <c r="J178" s="245" t="s">
        <v>556</v>
      </c>
      <c r="K178" s="216"/>
      <c r="L178" s="288" t="s">
        <v>1526</v>
      </c>
      <c r="M178" s="288" t="s">
        <v>1526</v>
      </c>
      <c r="N178" s="374"/>
      <c r="O178" s="385" t="s">
        <v>1559</v>
      </c>
      <c r="P178" s="374"/>
      <c r="Q178" s="373" t="s">
        <v>87</v>
      </c>
      <c r="R178" s="982" t="s">
        <v>1560</v>
      </c>
      <c r="S178" s="279">
        <v>28272</v>
      </c>
      <c r="T178" s="197"/>
      <c r="U178" s="251" t="s">
        <v>54</v>
      </c>
      <c r="V178" s="250" t="s">
        <v>2793</v>
      </c>
      <c r="W178" s="197" t="s">
        <v>56</v>
      </c>
      <c r="X178" s="197" t="s">
        <v>57</v>
      </c>
      <c r="Y178" s="197" t="s">
        <v>2609</v>
      </c>
      <c r="Z178" s="246">
        <v>45141</v>
      </c>
      <c r="AA178" s="388"/>
      <c r="AB178" s="288"/>
      <c r="AC178" s="223"/>
      <c r="AD178" s="288"/>
      <c r="AE178" s="384"/>
      <c r="AF178" s="384"/>
      <c r="AG178" s="392"/>
      <c r="AH178" s="283"/>
      <c r="AI178" s="254"/>
      <c r="AJ178" s="348" t="s">
        <v>560</v>
      </c>
      <c r="AK178" s="241">
        <v>4</v>
      </c>
      <c r="AL178" s="122" t="s">
        <v>278</v>
      </c>
      <c r="AM178" s="122" t="s">
        <v>267</v>
      </c>
      <c r="AN178" s="138"/>
      <c r="AO178" s="138"/>
      <c r="AP178" s="115"/>
      <c r="AQ178" s="149"/>
      <c r="AR178" s="115"/>
      <c r="AS178" s="115"/>
      <c r="AT178" s="116"/>
    </row>
    <row r="179" spans="1:46" ht="39" customHeight="1" x14ac:dyDescent="0.25">
      <c r="A179" s="1468">
        <v>178</v>
      </c>
      <c r="B179" s="141">
        <v>2</v>
      </c>
      <c r="C179" s="260" t="s">
        <v>311</v>
      </c>
      <c r="D179" s="241"/>
      <c r="E179" s="241"/>
      <c r="F179" s="241"/>
      <c r="G179" s="261" t="s">
        <v>312</v>
      </c>
      <c r="H179" s="262" t="s">
        <v>85</v>
      </c>
      <c r="I179" s="346"/>
      <c r="J179" s="245" t="s">
        <v>556</v>
      </c>
      <c r="K179" s="595"/>
      <c r="L179" s="281" t="s">
        <v>2019</v>
      </c>
      <c r="M179" s="281" t="s">
        <v>2019</v>
      </c>
      <c r="N179" s="366"/>
      <c r="O179" s="277" t="s">
        <v>3424</v>
      </c>
      <c r="P179" s="287" t="s">
        <v>1828</v>
      </c>
      <c r="Q179" s="344" t="s">
        <v>87</v>
      </c>
      <c r="R179" s="834" t="s">
        <v>3423</v>
      </c>
      <c r="S179" s="279">
        <v>26582</v>
      </c>
      <c r="T179" s="197"/>
      <c r="U179" s="251" t="s">
        <v>54</v>
      </c>
      <c r="V179" s="197" t="s">
        <v>4047</v>
      </c>
      <c r="W179" s="268" t="s">
        <v>56</v>
      </c>
      <c r="X179" s="268" t="s">
        <v>57</v>
      </c>
      <c r="Y179" s="197" t="s">
        <v>2609</v>
      </c>
      <c r="Z179" s="246">
        <v>45231</v>
      </c>
      <c r="AA179" s="252"/>
      <c r="AB179" s="361"/>
      <c r="AC179" s="223"/>
      <c r="AD179" s="376"/>
      <c r="AE179" s="258"/>
      <c r="AF179" s="258"/>
      <c r="AG179" s="241"/>
      <c r="AH179" s="283"/>
      <c r="AI179" s="254"/>
      <c r="AJ179" s="743" t="s">
        <v>560</v>
      </c>
      <c r="AK179" s="419">
        <v>4</v>
      </c>
      <c r="AL179" s="122" t="s">
        <v>278</v>
      </c>
      <c r="AM179" s="122" t="s">
        <v>267</v>
      </c>
      <c r="AN179" s="138"/>
      <c r="AO179" s="138"/>
      <c r="AP179" s="115"/>
      <c r="AQ179" s="149"/>
      <c r="AR179" s="115"/>
      <c r="AS179" s="115"/>
      <c r="AT179" s="115"/>
    </row>
    <row r="180" spans="1:46" ht="39" customHeight="1" x14ac:dyDescent="0.25">
      <c r="A180" s="1468">
        <v>179</v>
      </c>
      <c r="B180" s="141">
        <v>2</v>
      </c>
      <c r="C180" s="260" t="s">
        <v>317</v>
      </c>
      <c r="D180" s="241"/>
      <c r="E180" s="241"/>
      <c r="F180" s="241"/>
      <c r="G180" s="261" t="s">
        <v>318</v>
      </c>
      <c r="H180" s="262" t="s">
        <v>87</v>
      </c>
      <c r="I180" s="371"/>
      <c r="J180" s="245" t="s">
        <v>561</v>
      </c>
      <c r="K180" s="216"/>
      <c r="L180" s="281" t="s">
        <v>5916</v>
      </c>
      <c r="M180" s="281" t="s">
        <v>5916</v>
      </c>
      <c r="N180" s="366"/>
      <c r="O180" s="216" t="s">
        <v>6053</v>
      </c>
      <c r="P180" s="300"/>
      <c r="Q180" s="344" t="s">
        <v>87</v>
      </c>
      <c r="R180" s="982" t="s">
        <v>6052</v>
      </c>
      <c r="S180" s="279">
        <v>36581</v>
      </c>
      <c r="T180" s="197"/>
      <c r="U180" s="197"/>
      <c r="V180" s="250"/>
      <c r="W180" s="197"/>
      <c r="X180" s="197"/>
      <c r="Y180" s="197"/>
      <c r="Z180" s="246"/>
      <c r="AA180" s="246"/>
      <c r="AB180" s="361"/>
      <c r="AC180" s="223"/>
      <c r="AD180" s="376"/>
      <c r="AE180" s="258"/>
      <c r="AF180" s="258"/>
      <c r="AG180" s="241"/>
      <c r="AH180" s="283"/>
      <c r="AI180" s="254"/>
      <c r="AJ180" s="491" t="s">
        <v>560</v>
      </c>
      <c r="AK180" s="241">
        <v>4</v>
      </c>
      <c r="AL180" s="122" t="s">
        <v>278</v>
      </c>
      <c r="AM180" s="122" t="s">
        <v>267</v>
      </c>
      <c r="AN180" s="150"/>
      <c r="AO180" s="150"/>
      <c r="AP180" s="115"/>
      <c r="AQ180" s="149"/>
      <c r="AR180" s="115"/>
      <c r="AS180" s="115"/>
      <c r="AT180" s="115"/>
    </row>
    <row r="181" spans="1:46" ht="39" customHeight="1" x14ac:dyDescent="0.25">
      <c r="A181" s="1468">
        <v>180</v>
      </c>
      <c r="B181" s="146">
        <v>2</v>
      </c>
      <c r="C181" s="260" t="s">
        <v>319</v>
      </c>
      <c r="D181" s="241"/>
      <c r="E181" s="241"/>
      <c r="F181" s="241"/>
      <c r="G181" s="261" t="s">
        <v>320</v>
      </c>
      <c r="H181" s="262" t="s">
        <v>87</v>
      </c>
      <c r="I181" s="357"/>
      <c r="J181" s="245" t="s">
        <v>561</v>
      </c>
      <c r="K181" s="216"/>
      <c r="L181" s="301" t="s">
        <v>2151</v>
      </c>
      <c r="M181" s="301" t="s">
        <v>2151</v>
      </c>
      <c r="N181" s="245"/>
      <c r="O181" s="385" t="s">
        <v>2581</v>
      </c>
      <c r="P181" s="484" t="s">
        <v>1828</v>
      </c>
      <c r="Q181" s="373" t="s">
        <v>87</v>
      </c>
      <c r="R181" s="982" t="s">
        <v>3287</v>
      </c>
      <c r="S181" s="279">
        <v>32248</v>
      </c>
      <c r="T181" s="197"/>
      <c r="U181" s="251" t="s">
        <v>54</v>
      </c>
      <c r="V181" s="250" t="s">
        <v>4843</v>
      </c>
      <c r="W181" s="197" t="s">
        <v>1067</v>
      </c>
      <c r="X181" s="197" t="s">
        <v>4844</v>
      </c>
      <c r="Y181" s="197"/>
      <c r="Z181" s="246">
        <v>45244</v>
      </c>
      <c r="AA181" s="246"/>
      <c r="AB181" s="282"/>
      <c r="AC181" s="223"/>
      <c r="AD181" s="282"/>
      <c r="AE181" s="430"/>
      <c r="AF181" s="430"/>
      <c r="AG181" s="241"/>
      <c r="AH181" s="283"/>
      <c r="AI181" s="296"/>
      <c r="AJ181" s="348" t="s">
        <v>560</v>
      </c>
      <c r="AK181" s="241">
        <v>4</v>
      </c>
      <c r="AL181" s="122" t="s">
        <v>278</v>
      </c>
      <c r="AM181" s="122" t="s">
        <v>267</v>
      </c>
      <c r="AN181" s="110"/>
      <c r="AO181" s="110"/>
      <c r="AP181" s="115"/>
      <c r="AQ181" s="115"/>
      <c r="AR181" s="115"/>
      <c r="AS181" s="115"/>
      <c r="AT181" s="115"/>
    </row>
    <row r="182" spans="1:46" ht="39" customHeight="1" x14ac:dyDescent="0.25">
      <c r="A182" s="1468">
        <v>181</v>
      </c>
      <c r="B182" s="141">
        <v>2</v>
      </c>
      <c r="C182" s="378" t="s">
        <v>321</v>
      </c>
      <c r="D182" s="303"/>
      <c r="E182" s="241"/>
      <c r="F182" s="241"/>
      <c r="G182" s="261" t="s">
        <v>322</v>
      </c>
      <c r="H182" s="262" t="s">
        <v>87</v>
      </c>
      <c r="I182" s="357"/>
      <c r="J182" s="245" t="s">
        <v>561</v>
      </c>
      <c r="K182" s="216"/>
      <c r="L182" s="301"/>
      <c r="M182" s="216"/>
      <c r="N182" s="366"/>
      <c r="O182" s="950" t="s">
        <v>2742</v>
      </c>
      <c r="P182" s="325"/>
      <c r="Q182" s="373" t="s">
        <v>293</v>
      </c>
      <c r="R182" s="982" t="s">
        <v>2741</v>
      </c>
      <c r="S182" s="279">
        <v>35832</v>
      </c>
      <c r="T182" s="306"/>
      <c r="U182" s="251" t="s">
        <v>54</v>
      </c>
      <c r="V182" s="250" t="s">
        <v>2793</v>
      </c>
      <c r="W182" s="197" t="s">
        <v>56</v>
      </c>
      <c r="X182" s="197" t="s">
        <v>57</v>
      </c>
      <c r="Y182" s="197" t="s">
        <v>2609</v>
      </c>
      <c r="Z182" s="246">
        <v>45141</v>
      </c>
      <c r="AA182" s="246"/>
      <c r="AB182" s="301"/>
      <c r="AC182" s="223"/>
      <c r="AD182" s="301"/>
      <c r="AE182" s="306"/>
      <c r="AF182" s="306"/>
      <c r="AG182" s="301"/>
      <c r="AH182" s="301"/>
      <c r="AI182" s="386"/>
      <c r="AJ182" s="348" t="s">
        <v>560</v>
      </c>
      <c r="AK182" s="241">
        <v>4</v>
      </c>
      <c r="AL182" s="122" t="s">
        <v>278</v>
      </c>
      <c r="AM182" s="122" t="s">
        <v>267</v>
      </c>
      <c r="AN182" s="110"/>
      <c r="AO182" s="152"/>
      <c r="AP182" s="115"/>
      <c r="AQ182" s="115"/>
      <c r="AR182" s="115"/>
      <c r="AS182" s="115"/>
      <c r="AT182" s="116"/>
    </row>
    <row r="183" spans="1:46" ht="39" customHeight="1" x14ac:dyDescent="0.25">
      <c r="A183" s="1468">
        <v>182</v>
      </c>
      <c r="B183" s="141">
        <v>1</v>
      </c>
      <c r="C183" s="378" t="s">
        <v>323</v>
      </c>
      <c r="D183" s="303"/>
      <c r="E183" s="241"/>
      <c r="F183" s="241"/>
      <c r="G183" s="261" t="s">
        <v>324</v>
      </c>
      <c r="H183" s="262" t="s">
        <v>87</v>
      </c>
      <c r="I183" s="364"/>
      <c r="J183" s="245" t="s">
        <v>561</v>
      </c>
      <c r="K183" s="216"/>
      <c r="L183" s="289" t="s">
        <v>1993</v>
      </c>
      <c r="M183" s="289" t="s">
        <v>1993</v>
      </c>
      <c r="N183" s="366"/>
      <c r="O183" s="950" t="s">
        <v>2332</v>
      </c>
      <c r="P183" s="484" t="s">
        <v>1828</v>
      </c>
      <c r="Q183" s="344" t="s">
        <v>1042</v>
      </c>
      <c r="R183" s="982" t="s">
        <v>2331</v>
      </c>
      <c r="S183" s="279">
        <v>25389</v>
      </c>
      <c r="T183" s="257"/>
      <c r="U183" s="251" t="s">
        <v>54</v>
      </c>
      <c r="V183" s="197"/>
      <c r="W183" s="197" t="s">
        <v>56</v>
      </c>
      <c r="X183" s="197" t="s">
        <v>57</v>
      </c>
      <c r="Y183" s="197"/>
      <c r="Z183" s="246"/>
      <c r="AA183" s="252"/>
      <c r="AB183" s="257"/>
      <c r="AC183" s="223"/>
      <c r="AD183" s="257"/>
      <c r="AE183" s="289"/>
      <c r="AF183" s="289"/>
      <c r="AG183" s="305"/>
      <c r="AH183" s="283"/>
      <c r="AI183" s="254"/>
      <c r="AJ183" s="348" t="s">
        <v>560</v>
      </c>
      <c r="AK183" s="241">
        <v>4</v>
      </c>
      <c r="AL183" s="122" t="s">
        <v>278</v>
      </c>
      <c r="AM183" s="122" t="s">
        <v>267</v>
      </c>
      <c r="AN183" s="110"/>
      <c r="AO183" s="110"/>
      <c r="AP183" s="115"/>
      <c r="AQ183" s="115"/>
      <c r="AR183" s="115"/>
      <c r="AS183" s="115"/>
      <c r="AT183" s="115"/>
    </row>
    <row r="184" spans="1:46" ht="39" customHeight="1" x14ac:dyDescent="0.25">
      <c r="A184" s="1468">
        <v>183</v>
      </c>
      <c r="B184" s="141">
        <v>2</v>
      </c>
      <c r="C184" s="503" t="s">
        <v>325</v>
      </c>
      <c r="D184" s="471"/>
      <c r="E184" s="471"/>
      <c r="F184" s="471"/>
      <c r="G184" s="472" t="s">
        <v>324</v>
      </c>
      <c r="H184" s="262" t="s">
        <v>87</v>
      </c>
      <c r="I184" s="473"/>
      <c r="J184" s="245" t="s">
        <v>561</v>
      </c>
      <c r="K184" s="265"/>
      <c r="L184" s="440"/>
      <c r="M184" s="440"/>
      <c r="N184" s="404"/>
      <c r="O184" s="1128" t="s">
        <v>2626</v>
      </c>
      <c r="P184" s="817"/>
      <c r="Q184" s="741" t="s">
        <v>1042</v>
      </c>
      <c r="R184" s="834" t="s">
        <v>2625</v>
      </c>
      <c r="S184" s="279">
        <v>29611</v>
      </c>
      <c r="T184" s="434"/>
      <c r="U184" s="251" t="s">
        <v>54</v>
      </c>
      <c r="V184" s="414" t="s">
        <v>2793</v>
      </c>
      <c r="W184" s="268" t="s">
        <v>56</v>
      </c>
      <c r="X184" s="268" t="s">
        <v>57</v>
      </c>
      <c r="Y184" s="268" t="s">
        <v>2609</v>
      </c>
      <c r="Z184" s="405">
        <v>45141</v>
      </c>
      <c r="AA184" s="428"/>
      <c r="AB184" s="434"/>
      <c r="AC184" s="474"/>
      <c r="AD184" s="434"/>
      <c r="AE184" s="474"/>
      <c r="AF184" s="474"/>
      <c r="AG184" s="481"/>
      <c r="AH184" s="585"/>
      <c r="AI184" s="586"/>
      <c r="AJ184" s="743" t="s">
        <v>560</v>
      </c>
      <c r="AK184" s="471">
        <v>4</v>
      </c>
      <c r="AL184" s="749" t="s">
        <v>278</v>
      </c>
      <c r="AM184" s="749" t="s">
        <v>267</v>
      </c>
      <c r="AN184" s="110"/>
      <c r="AO184" s="110"/>
      <c r="AP184" s="115"/>
      <c r="AQ184" s="115"/>
      <c r="AR184" s="115"/>
      <c r="AS184" s="115"/>
      <c r="AT184" s="115"/>
    </row>
    <row r="185" spans="1:46" ht="39" customHeight="1" x14ac:dyDescent="0.25">
      <c r="A185" s="1468">
        <v>184</v>
      </c>
      <c r="B185" s="987"/>
      <c r="C185" s="989"/>
      <c r="D185" s="664"/>
      <c r="E185" s="664"/>
      <c r="F185" s="664"/>
      <c r="G185" s="227"/>
      <c r="H185" s="228"/>
      <c r="I185" s="228"/>
      <c r="J185" s="229"/>
      <c r="K185" s="227"/>
      <c r="L185" s="229"/>
      <c r="M185" s="229"/>
      <c r="N185" s="229"/>
      <c r="O185" s="309"/>
      <c r="P185" s="230" t="s">
        <v>331</v>
      </c>
      <c r="Q185" s="664"/>
      <c r="R185" s="324"/>
      <c r="S185" s="279"/>
      <c r="T185" s="229"/>
      <c r="U185" s="229"/>
      <c r="V185" s="229"/>
      <c r="W185" s="232"/>
      <c r="X185" s="232"/>
      <c r="Y185" s="232"/>
      <c r="Z185" s="233"/>
      <c r="AA185" s="234"/>
      <c r="AB185" s="235"/>
      <c r="AC185" s="236"/>
      <c r="AD185" s="235"/>
      <c r="AE185" s="237"/>
      <c r="AF185" s="233"/>
      <c r="AG185" s="664"/>
      <c r="AH185" s="238"/>
      <c r="AI185" s="239"/>
      <c r="AJ185" s="576"/>
      <c r="AK185" s="664"/>
      <c r="AL185" s="113"/>
      <c r="AM185" s="114"/>
      <c r="AN185" s="113"/>
      <c r="AO185" s="114"/>
      <c r="AP185" s="115"/>
      <c r="AQ185" s="115"/>
      <c r="AR185" s="115"/>
      <c r="AS185" s="115"/>
      <c r="AT185" s="116"/>
    </row>
    <row r="186" spans="1:46" ht="39" customHeight="1" x14ac:dyDescent="0.25">
      <c r="A186" s="1468">
        <v>185</v>
      </c>
      <c r="B186" s="141" t="s">
        <v>276</v>
      </c>
      <c r="C186" s="793" t="s">
        <v>277</v>
      </c>
      <c r="D186" s="442"/>
      <c r="E186" s="442" t="s">
        <v>47</v>
      </c>
      <c r="F186" s="442"/>
      <c r="G186" s="757" t="s">
        <v>91</v>
      </c>
      <c r="H186" s="758" t="s">
        <v>78</v>
      </c>
      <c r="I186" s="733"/>
      <c r="J186" s="245">
        <v>300</v>
      </c>
      <c r="K186" s="197" t="s">
        <v>50</v>
      </c>
      <c r="L186" s="441" t="s">
        <v>955</v>
      </c>
      <c r="M186" s="441" t="s">
        <v>956</v>
      </c>
      <c r="N186" s="276"/>
      <c r="O186" s="1477" t="s">
        <v>3179</v>
      </c>
      <c r="P186" s="484"/>
      <c r="Q186" s="728" t="s">
        <v>119</v>
      </c>
      <c r="R186" s="1167" t="s">
        <v>957</v>
      </c>
      <c r="S186" s="279">
        <v>36537</v>
      </c>
      <c r="T186" s="398"/>
      <c r="U186" s="251" t="s">
        <v>54</v>
      </c>
      <c r="V186" s="487" t="s">
        <v>958</v>
      </c>
      <c r="W186" s="280" t="s">
        <v>56</v>
      </c>
      <c r="X186" s="280" t="s">
        <v>57</v>
      </c>
      <c r="Y186" s="280" t="s">
        <v>951</v>
      </c>
      <c r="Z186" s="588">
        <v>44810</v>
      </c>
      <c r="AA186" s="588"/>
      <c r="AB186" s="487"/>
      <c r="AC186" s="488" t="s">
        <v>946</v>
      </c>
      <c r="AD186" s="487"/>
      <c r="AE186" s="398"/>
      <c r="AF186" s="398"/>
      <c r="AG186" s="487" t="s">
        <v>61</v>
      </c>
      <c r="AH186" s="489"/>
      <c r="AI186" s="490"/>
      <c r="AJ186" s="755" t="s">
        <v>62</v>
      </c>
      <c r="AK186" s="442">
        <v>1</v>
      </c>
      <c r="AL186" s="175" t="s">
        <v>332</v>
      </c>
      <c r="AM186" s="175" t="s">
        <v>267</v>
      </c>
      <c r="AN186" s="124"/>
      <c r="AO186" s="124"/>
      <c r="AP186" s="115"/>
      <c r="AQ186" s="115"/>
      <c r="AR186" s="115"/>
      <c r="AS186" s="115"/>
      <c r="AT186" s="115"/>
    </row>
    <row r="187" spans="1:46" ht="39" customHeight="1" x14ac:dyDescent="0.25">
      <c r="A187" s="1468">
        <v>186</v>
      </c>
      <c r="B187" s="141">
        <v>12</v>
      </c>
      <c r="C187" s="240" t="s">
        <v>279</v>
      </c>
      <c r="D187" s="242"/>
      <c r="E187" s="242" t="s">
        <v>47</v>
      </c>
      <c r="F187" s="242"/>
      <c r="G187" s="243" t="s">
        <v>280</v>
      </c>
      <c r="H187" s="244" t="s">
        <v>83</v>
      </c>
      <c r="I187" s="340"/>
      <c r="J187" s="245">
        <v>302</v>
      </c>
      <c r="K187" s="216"/>
      <c r="L187" s="216" t="s">
        <v>2564</v>
      </c>
      <c r="M187" s="216" t="s">
        <v>2564</v>
      </c>
      <c r="N187" s="366"/>
      <c r="O187" s="950" t="s">
        <v>2569</v>
      </c>
      <c r="P187" s="287"/>
      <c r="Q187" s="242" t="s">
        <v>2053</v>
      </c>
      <c r="R187" s="1163" t="s">
        <v>2563</v>
      </c>
      <c r="S187" s="279">
        <v>35078</v>
      </c>
      <c r="T187" s="216"/>
      <c r="U187" s="251" t="s">
        <v>54</v>
      </c>
      <c r="V187" s="250" t="s">
        <v>2552</v>
      </c>
      <c r="W187" s="197" t="s">
        <v>56</v>
      </c>
      <c r="X187" s="197" t="s">
        <v>57</v>
      </c>
      <c r="Y187" s="252" t="s">
        <v>1933</v>
      </c>
      <c r="Z187" s="252">
        <v>45183</v>
      </c>
      <c r="AA187" s="252"/>
      <c r="AB187" s="301"/>
      <c r="AC187" s="223"/>
      <c r="AD187" s="301"/>
      <c r="AE187" s="306"/>
      <c r="AF187" s="306"/>
      <c r="AG187" s="241"/>
      <c r="AH187" s="301"/>
      <c r="AI187" s="401"/>
      <c r="AJ187" s="255" t="s">
        <v>62</v>
      </c>
      <c r="AK187" s="242">
        <v>1</v>
      </c>
      <c r="AL187" s="123" t="s">
        <v>332</v>
      </c>
      <c r="AM187" s="123" t="s">
        <v>267</v>
      </c>
      <c r="AN187" s="124"/>
      <c r="AO187" s="124"/>
      <c r="AP187" s="115"/>
      <c r="AQ187" s="115"/>
      <c r="AR187" s="115"/>
      <c r="AS187" s="115"/>
      <c r="AT187" s="115"/>
    </row>
    <row r="188" spans="1:46" ht="39" customHeight="1" x14ac:dyDescent="0.25">
      <c r="A188" s="1468">
        <v>187</v>
      </c>
      <c r="B188" s="142">
        <v>9</v>
      </c>
      <c r="C188" s="311" t="s">
        <v>281</v>
      </c>
      <c r="D188" s="241"/>
      <c r="E188" s="312" t="s">
        <v>47</v>
      </c>
      <c r="F188" s="241"/>
      <c r="G188" s="313" t="s">
        <v>282</v>
      </c>
      <c r="H188" s="314" t="s">
        <v>283</v>
      </c>
      <c r="I188" s="350"/>
      <c r="J188" s="281">
        <v>410</v>
      </c>
      <c r="K188" s="216"/>
      <c r="L188" s="281" t="s">
        <v>1839</v>
      </c>
      <c r="M188" s="281" t="s">
        <v>1839</v>
      </c>
      <c r="N188" s="245"/>
      <c r="O188" s="634" t="s">
        <v>1840</v>
      </c>
      <c r="P188" s="484" t="s">
        <v>1828</v>
      </c>
      <c r="Q188" s="353" t="s">
        <v>283</v>
      </c>
      <c r="R188" s="1140" t="s">
        <v>1841</v>
      </c>
      <c r="S188" s="279">
        <v>24620</v>
      </c>
      <c r="T188" s="197"/>
      <c r="U188" s="251" t="s">
        <v>54</v>
      </c>
      <c r="V188" s="250" t="s">
        <v>1922</v>
      </c>
      <c r="W188" s="197" t="s">
        <v>56</v>
      </c>
      <c r="X188" s="197" t="s">
        <v>57</v>
      </c>
      <c r="Y188" s="252" t="s">
        <v>1933</v>
      </c>
      <c r="Z188" s="252">
        <v>45133</v>
      </c>
      <c r="AA188" s="252"/>
      <c r="AB188" s="281"/>
      <c r="AC188" s="223"/>
      <c r="AD188" s="281"/>
      <c r="AE188" s="252"/>
      <c r="AF188" s="252"/>
      <c r="AG188" s="241"/>
      <c r="AH188" s="283"/>
      <c r="AI188" s="422"/>
      <c r="AJ188" s="317" t="s">
        <v>47</v>
      </c>
      <c r="AK188" s="312">
        <v>2</v>
      </c>
      <c r="AL188" s="143" t="s">
        <v>332</v>
      </c>
      <c r="AM188" s="143" t="s">
        <v>267</v>
      </c>
      <c r="AN188" s="133"/>
      <c r="AO188" s="133"/>
      <c r="AP188" s="115"/>
      <c r="AQ188" s="115"/>
      <c r="AR188" s="115"/>
      <c r="AS188" s="115"/>
      <c r="AT188" s="115"/>
    </row>
    <row r="189" spans="1:46" ht="39" customHeight="1" x14ac:dyDescent="0.25">
      <c r="A189" s="1468">
        <v>188</v>
      </c>
      <c r="B189" s="142">
        <v>9</v>
      </c>
      <c r="C189" s="311" t="s">
        <v>284</v>
      </c>
      <c r="D189" s="241"/>
      <c r="E189" s="312" t="s">
        <v>47</v>
      </c>
      <c r="F189" s="241"/>
      <c r="G189" s="313" t="s">
        <v>285</v>
      </c>
      <c r="H189" s="314" t="s">
        <v>283</v>
      </c>
      <c r="I189" s="350"/>
      <c r="J189" s="281">
        <v>410</v>
      </c>
      <c r="K189" s="216" t="s">
        <v>158</v>
      </c>
      <c r="L189" s="216" t="s">
        <v>962</v>
      </c>
      <c r="M189" s="216" t="s">
        <v>962</v>
      </c>
      <c r="N189" s="281"/>
      <c r="O189" s="216" t="s">
        <v>963</v>
      </c>
      <c r="P189" s="247"/>
      <c r="Q189" s="353" t="s">
        <v>2053</v>
      </c>
      <c r="R189" s="1140" t="s">
        <v>964</v>
      </c>
      <c r="S189" s="279">
        <v>34236</v>
      </c>
      <c r="T189" s="197"/>
      <c r="U189" s="197" t="s">
        <v>2866</v>
      </c>
      <c r="V189" s="1258" t="s">
        <v>6163</v>
      </c>
      <c r="W189" s="288" t="s">
        <v>2381</v>
      </c>
      <c r="X189" s="1258" t="s">
        <v>2002</v>
      </c>
      <c r="Y189" s="1127" t="s">
        <v>6175</v>
      </c>
      <c r="Z189" s="384">
        <v>45323</v>
      </c>
      <c r="AA189" s="246">
        <v>45327</v>
      </c>
      <c r="AB189" s="282"/>
      <c r="AC189" s="223" t="s">
        <v>946</v>
      </c>
      <c r="AD189" s="282"/>
      <c r="AE189" s="286"/>
      <c r="AF189" s="327">
        <v>45193</v>
      </c>
      <c r="AG189" s="241" t="s">
        <v>61</v>
      </c>
      <c r="AH189" s="283"/>
      <c r="AI189" s="296"/>
      <c r="AJ189" s="317" t="s">
        <v>47</v>
      </c>
      <c r="AK189" s="312">
        <v>2</v>
      </c>
      <c r="AL189" s="143" t="s">
        <v>332</v>
      </c>
      <c r="AM189" s="143" t="s">
        <v>267</v>
      </c>
      <c r="AN189" s="133"/>
      <c r="AO189" s="133"/>
      <c r="AP189" s="115"/>
      <c r="AQ189" s="115"/>
      <c r="AR189" s="115"/>
      <c r="AS189" s="115"/>
      <c r="AT189" s="115"/>
    </row>
    <row r="190" spans="1:46" ht="39" customHeight="1" x14ac:dyDescent="0.25">
      <c r="A190" s="1468">
        <v>189</v>
      </c>
      <c r="B190" s="142">
        <v>6</v>
      </c>
      <c r="C190" s="311" t="s">
        <v>286</v>
      </c>
      <c r="D190" s="241"/>
      <c r="E190" s="312" t="s">
        <v>47</v>
      </c>
      <c r="F190" s="241"/>
      <c r="G190" s="313" t="s">
        <v>287</v>
      </c>
      <c r="H190" s="314" t="s">
        <v>153</v>
      </c>
      <c r="I190" s="350"/>
      <c r="J190" s="256">
        <v>400</v>
      </c>
      <c r="K190" s="216"/>
      <c r="L190" s="281"/>
      <c r="M190" s="281"/>
      <c r="N190" s="281"/>
      <c r="O190" s="216"/>
      <c r="P190" s="287"/>
      <c r="Q190" s="352"/>
      <c r="R190" s="683" t="s">
        <v>66</v>
      </c>
      <c r="S190" s="279"/>
      <c r="T190" s="250"/>
      <c r="U190" s="250"/>
      <c r="V190" s="246"/>
      <c r="W190" s="246"/>
      <c r="X190" s="246"/>
      <c r="Y190" s="246"/>
      <c r="Z190" s="246"/>
      <c r="AA190" s="246"/>
      <c r="AB190" s="282"/>
      <c r="AC190" s="223"/>
      <c r="AD190" s="282"/>
      <c r="AE190" s="258"/>
      <c r="AF190" s="258"/>
      <c r="AG190" s="241"/>
      <c r="AH190" s="282"/>
      <c r="AI190" s="284"/>
      <c r="AJ190" s="303"/>
      <c r="AK190" s="312">
        <v>2</v>
      </c>
      <c r="AL190" s="143" t="s">
        <v>332</v>
      </c>
      <c r="AM190" s="143" t="s">
        <v>267</v>
      </c>
      <c r="AN190" s="133"/>
      <c r="AO190" s="133"/>
      <c r="AP190" s="115"/>
      <c r="AQ190" s="115"/>
      <c r="AR190" s="115"/>
      <c r="AS190" s="115"/>
      <c r="AT190" s="115"/>
    </row>
    <row r="191" spans="1:46" ht="39" customHeight="1" x14ac:dyDescent="0.25">
      <c r="A191" s="1468">
        <v>190</v>
      </c>
      <c r="B191" s="141">
        <v>5</v>
      </c>
      <c r="C191" s="290" t="s">
        <v>288</v>
      </c>
      <c r="D191" s="291"/>
      <c r="E191" s="291" t="s">
        <v>47</v>
      </c>
      <c r="F191" s="291"/>
      <c r="G191" s="292" t="s">
        <v>289</v>
      </c>
      <c r="H191" s="293" t="s">
        <v>132</v>
      </c>
      <c r="I191" s="344">
        <v>144</v>
      </c>
      <c r="J191" s="256">
        <v>403</v>
      </c>
      <c r="K191" s="277"/>
      <c r="L191" s="277"/>
      <c r="M191" s="277"/>
      <c r="N191" s="280"/>
      <c r="O191" s="392" t="s">
        <v>2451</v>
      </c>
      <c r="P191" s="595"/>
      <c r="Q191" s="348" t="s">
        <v>132</v>
      </c>
      <c r="R191" s="1166" t="s">
        <v>2450</v>
      </c>
      <c r="S191" s="279">
        <v>27862</v>
      </c>
      <c r="T191" s="443"/>
      <c r="U191" s="251" t="s">
        <v>54</v>
      </c>
      <c r="V191" s="250" t="s">
        <v>2793</v>
      </c>
      <c r="W191" s="197" t="s">
        <v>56</v>
      </c>
      <c r="X191" s="197" t="s">
        <v>57</v>
      </c>
      <c r="Y191" s="197" t="s">
        <v>2609</v>
      </c>
      <c r="Z191" s="246">
        <v>45178</v>
      </c>
      <c r="AA191" s="250"/>
      <c r="AB191" s="281"/>
      <c r="AC191" s="223"/>
      <c r="AD191" s="468"/>
      <c r="AE191" s="306"/>
      <c r="AF191" s="306"/>
      <c r="AG191" s="241"/>
      <c r="AH191" s="281"/>
      <c r="AI191" s="386"/>
      <c r="AJ191" s="348" t="s">
        <v>560</v>
      </c>
      <c r="AK191" s="348">
        <v>3</v>
      </c>
      <c r="AL191" s="145" t="s">
        <v>332</v>
      </c>
      <c r="AM191" s="145" t="s">
        <v>267</v>
      </c>
      <c r="AN191" s="130"/>
      <c r="AO191" s="130"/>
      <c r="AP191" s="115"/>
      <c r="AQ191" s="115"/>
      <c r="AR191" s="115"/>
      <c r="AS191" s="115"/>
      <c r="AT191" s="115"/>
    </row>
    <row r="192" spans="1:46" ht="39" customHeight="1" x14ac:dyDescent="0.25">
      <c r="A192" s="1468">
        <v>191</v>
      </c>
      <c r="B192" s="141">
        <v>3</v>
      </c>
      <c r="C192" s="356" t="s">
        <v>290</v>
      </c>
      <c r="D192" s="241" t="s">
        <v>134</v>
      </c>
      <c r="E192" s="241"/>
      <c r="F192" s="241"/>
      <c r="G192" s="261" t="s">
        <v>291</v>
      </c>
      <c r="H192" s="262" t="s">
        <v>85</v>
      </c>
      <c r="I192" s="364"/>
      <c r="J192" s="245" t="s">
        <v>556</v>
      </c>
      <c r="K192" s="216"/>
      <c r="L192" s="385" t="s">
        <v>5916</v>
      </c>
      <c r="M192" s="385" t="s">
        <v>5916</v>
      </c>
      <c r="N192" s="385"/>
      <c r="O192" s="385" t="s">
        <v>5992</v>
      </c>
      <c r="P192" s="385"/>
      <c r="Q192" s="373" t="s">
        <v>132</v>
      </c>
      <c r="R192" s="982" t="s">
        <v>6047</v>
      </c>
      <c r="S192" s="279">
        <v>36692</v>
      </c>
      <c r="T192" s="306"/>
      <c r="U192" s="250"/>
      <c r="V192" s="250"/>
      <c r="W192" s="197"/>
      <c r="X192" s="197"/>
      <c r="Y192" s="197"/>
      <c r="Z192" s="246"/>
      <c r="AA192" s="252"/>
      <c r="AB192" s="301"/>
      <c r="AC192" s="223"/>
      <c r="AD192" s="301"/>
      <c r="AE192" s="306"/>
      <c r="AF192" s="306"/>
      <c r="AG192" s="305"/>
      <c r="AH192" s="301"/>
      <c r="AI192" s="254"/>
      <c r="AJ192" s="348" t="s">
        <v>560</v>
      </c>
      <c r="AK192" s="241">
        <v>4</v>
      </c>
      <c r="AL192" s="153" t="s">
        <v>332</v>
      </c>
      <c r="AM192" s="153" t="s">
        <v>267</v>
      </c>
      <c r="AN192" s="110" t="s">
        <v>4184</v>
      </c>
      <c r="AO192" s="110"/>
      <c r="AP192" s="115"/>
      <c r="AQ192" s="115"/>
      <c r="AR192" s="115"/>
      <c r="AS192" s="115"/>
      <c r="AT192" s="115"/>
    </row>
    <row r="193" spans="1:46" ht="39" customHeight="1" x14ac:dyDescent="0.25">
      <c r="A193" s="1468">
        <v>192</v>
      </c>
      <c r="B193" s="141">
        <v>3</v>
      </c>
      <c r="C193" s="358" t="s">
        <v>297</v>
      </c>
      <c r="D193" s="241" t="s">
        <v>134</v>
      </c>
      <c r="E193" s="241"/>
      <c r="F193" s="241"/>
      <c r="G193" s="261" t="s">
        <v>298</v>
      </c>
      <c r="H193" s="262" t="s">
        <v>85</v>
      </c>
      <c r="I193" s="357"/>
      <c r="J193" s="245" t="s">
        <v>556</v>
      </c>
      <c r="K193" s="257"/>
      <c r="L193" s="299" t="s">
        <v>2473</v>
      </c>
      <c r="M193" s="299" t="s">
        <v>2473</v>
      </c>
      <c r="N193" s="299"/>
      <c r="O193" s="634" t="s">
        <v>2472</v>
      </c>
      <c r="P193" s="300"/>
      <c r="Q193" s="348" t="s">
        <v>293</v>
      </c>
      <c r="R193" s="1166" t="s">
        <v>1544</v>
      </c>
      <c r="S193" s="279">
        <v>29062</v>
      </c>
      <c r="T193" s="289"/>
      <c r="U193" s="251" t="s">
        <v>54</v>
      </c>
      <c r="V193" s="250" t="s">
        <v>2793</v>
      </c>
      <c r="W193" s="197" t="s">
        <v>56</v>
      </c>
      <c r="X193" s="197" t="s">
        <v>57</v>
      </c>
      <c r="Y193" s="197" t="s">
        <v>2609</v>
      </c>
      <c r="Z193" s="246">
        <v>45142</v>
      </c>
      <c r="AA193" s="289"/>
      <c r="AB193" s="299"/>
      <c r="AC193" s="223"/>
      <c r="AD193" s="299"/>
      <c r="AE193" s="289"/>
      <c r="AF193" s="289"/>
      <c r="AG193" s="299"/>
      <c r="AH193" s="299"/>
      <c r="AI193" s="223"/>
      <c r="AJ193" s="348" t="s">
        <v>560</v>
      </c>
      <c r="AK193" s="241">
        <v>4</v>
      </c>
      <c r="AL193" s="153" t="s">
        <v>332</v>
      </c>
      <c r="AM193" s="153" t="s">
        <v>267</v>
      </c>
      <c r="AN193" s="110"/>
      <c r="AO193" s="110"/>
      <c r="AP193" s="115"/>
      <c r="AQ193" s="115"/>
      <c r="AR193" s="115"/>
      <c r="AS193" s="115"/>
      <c r="AT193" s="116"/>
    </row>
    <row r="194" spans="1:46" ht="39" customHeight="1" x14ac:dyDescent="0.25">
      <c r="A194" s="1468">
        <v>193</v>
      </c>
      <c r="B194" s="141">
        <v>2</v>
      </c>
      <c r="C194" s="260" t="s">
        <v>299</v>
      </c>
      <c r="D194" s="241"/>
      <c r="E194" s="241"/>
      <c r="F194" s="241"/>
      <c r="G194" s="261" t="s">
        <v>300</v>
      </c>
      <c r="H194" s="262" t="s">
        <v>87</v>
      </c>
      <c r="I194" s="357"/>
      <c r="J194" s="245" t="s">
        <v>561</v>
      </c>
      <c r="K194" s="366"/>
      <c r="L194" s="392"/>
      <c r="M194" s="392"/>
      <c r="N194" s="366"/>
      <c r="O194" s="216" t="s">
        <v>2649</v>
      </c>
      <c r="P194" s="706"/>
      <c r="Q194" s="344" t="s">
        <v>293</v>
      </c>
      <c r="R194" s="982" t="s">
        <v>2648</v>
      </c>
      <c r="S194" s="279">
        <v>33264</v>
      </c>
      <c r="T194" s="366"/>
      <c r="U194" s="251" t="s">
        <v>54</v>
      </c>
      <c r="V194" s="250" t="s">
        <v>2793</v>
      </c>
      <c r="W194" s="197" t="s">
        <v>56</v>
      </c>
      <c r="X194" s="197" t="s">
        <v>57</v>
      </c>
      <c r="Y194" s="197" t="s">
        <v>2609</v>
      </c>
      <c r="Z194" s="246">
        <v>45141</v>
      </c>
      <c r="AA194" s="366"/>
      <c r="AB194" s="1289"/>
      <c r="AC194" s="366"/>
      <c r="AD194" s="658"/>
      <c r="AE194" s="366"/>
      <c r="AF194" s="366"/>
      <c r="AG194" s="366"/>
      <c r="AH194" s="366"/>
      <c r="AI194" s="392"/>
      <c r="AJ194" s="348" t="s">
        <v>560</v>
      </c>
      <c r="AK194" s="241">
        <v>4</v>
      </c>
      <c r="AL194" s="153" t="s">
        <v>332</v>
      </c>
      <c r="AM194" s="153" t="s">
        <v>267</v>
      </c>
      <c r="AN194" s="110"/>
      <c r="AO194" s="110"/>
      <c r="AP194" s="115"/>
      <c r="AQ194" s="115"/>
      <c r="AR194" s="115"/>
      <c r="AS194" s="115"/>
      <c r="AT194" s="115"/>
    </row>
    <row r="195" spans="1:46" ht="39" customHeight="1" x14ac:dyDescent="0.25">
      <c r="A195" s="1468">
        <v>194</v>
      </c>
      <c r="B195" s="141">
        <v>2</v>
      </c>
      <c r="C195" s="503" t="s">
        <v>86</v>
      </c>
      <c r="D195" s="471"/>
      <c r="E195" s="471"/>
      <c r="F195" s="471"/>
      <c r="G195" s="472" t="s">
        <v>303</v>
      </c>
      <c r="H195" s="1302" t="s">
        <v>87</v>
      </c>
      <c r="I195" s="473"/>
      <c r="J195" s="264" t="s">
        <v>561</v>
      </c>
      <c r="K195" s="836"/>
      <c r="L195" s="438"/>
      <c r="M195" s="438"/>
      <c r="N195" s="263"/>
      <c r="O195" s="626"/>
      <c r="P195" s="817"/>
      <c r="Q195" s="743"/>
      <c r="R195" s="994" t="s">
        <v>66</v>
      </c>
      <c r="S195" s="279"/>
      <c r="T195" s="268"/>
      <c r="U195" s="250"/>
      <c r="V195" s="414"/>
      <c r="W195" s="268"/>
      <c r="X195" s="268"/>
      <c r="Y195" s="395"/>
      <c r="Z195" s="395"/>
      <c r="AA195" s="440"/>
      <c r="AB195" s="496"/>
      <c r="AC195" s="474"/>
      <c r="AD195" s="496"/>
      <c r="AE195" s="440"/>
      <c r="AF195" s="440"/>
      <c r="AG195" s="496"/>
      <c r="AH195" s="496"/>
      <c r="AI195" s="586"/>
      <c r="AJ195" s="743"/>
      <c r="AK195" s="471">
        <v>4</v>
      </c>
      <c r="AL195" s="1383" t="s">
        <v>332</v>
      </c>
      <c r="AM195" s="1383" t="s">
        <v>267</v>
      </c>
      <c r="AN195" s="179"/>
      <c r="AO195" s="179"/>
      <c r="AP195" s="115"/>
      <c r="AQ195" s="115"/>
      <c r="AR195" s="115"/>
      <c r="AS195" s="115"/>
      <c r="AT195" s="115"/>
    </row>
    <row r="196" spans="1:46" ht="39" customHeight="1" x14ac:dyDescent="0.25">
      <c r="A196" s="1468">
        <v>195</v>
      </c>
      <c r="B196" s="987"/>
      <c r="C196" s="989"/>
      <c r="D196" s="664"/>
      <c r="E196" s="664"/>
      <c r="F196" s="664"/>
      <c r="G196" s="227"/>
      <c r="H196" s="228"/>
      <c r="I196" s="228"/>
      <c r="J196" s="229"/>
      <c r="K196" s="227"/>
      <c r="L196" s="229"/>
      <c r="M196" s="229"/>
      <c r="N196" s="229"/>
      <c r="O196" s="309"/>
      <c r="P196" s="230" t="s">
        <v>304</v>
      </c>
      <c r="Q196" s="664"/>
      <c r="R196" s="324"/>
      <c r="S196" s="279"/>
      <c r="T196" s="232"/>
      <c r="U196" s="229"/>
      <c r="V196" s="232"/>
      <c r="W196" s="232"/>
      <c r="X196" s="232"/>
      <c r="Y196" s="232"/>
      <c r="Z196" s="233"/>
      <c r="AA196" s="234"/>
      <c r="AB196" s="235"/>
      <c r="AC196" s="236"/>
      <c r="AD196" s="235"/>
      <c r="AE196" s="237"/>
      <c r="AF196" s="233"/>
      <c r="AG196" s="664"/>
      <c r="AH196" s="238"/>
      <c r="AI196" s="239"/>
      <c r="AJ196" s="576"/>
      <c r="AK196" s="664"/>
      <c r="AL196" s="113"/>
      <c r="AM196" s="113"/>
      <c r="AN196" s="113"/>
      <c r="AO196" s="114"/>
      <c r="AP196" s="115"/>
      <c r="AQ196" s="115"/>
      <c r="AR196" s="115"/>
      <c r="AS196" s="115"/>
      <c r="AT196" s="116"/>
    </row>
    <row r="197" spans="1:46" ht="39" customHeight="1" x14ac:dyDescent="0.25">
      <c r="A197" s="1468">
        <v>196</v>
      </c>
      <c r="B197" s="154">
        <v>10</v>
      </c>
      <c r="C197" s="1384" t="s">
        <v>305</v>
      </c>
      <c r="D197" s="1385"/>
      <c r="E197" s="442" t="s">
        <v>47</v>
      </c>
      <c r="F197" s="1385"/>
      <c r="G197" s="1386" t="s">
        <v>91</v>
      </c>
      <c r="H197" s="758" t="s">
        <v>83</v>
      </c>
      <c r="I197" s="907"/>
      <c r="J197" s="276">
        <v>302</v>
      </c>
      <c r="K197" s="280" t="s">
        <v>50</v>
      </c>
      <c r="L197" s="277" t="s">
        <v>3965</v>
      </c>
      <c r="M197" s="277" t="s">
        <v>3965</v>
      </c>
      <c r="N197" s="276"/>
      <c r="O197" s="1477" t="s">
        <v>3173</v>
      </c>
      <c r="P197" s="905"/>
      <c r="Q197" s="728" t="s">
        <v>119</v>
      </c>
      <c r="R197" s="995" t="s">
        <v>975</v>
      </c>
      <c r="S197" s="279">
        <v>37058</v>
      </c>
      <c r="T197" s="443"/>
      <c r="U197" s="251" t="s">
        <v>54</v>
      </c>
      <c r="V197" s="280" t="s">
        <v>1415</v>
      </c>
      <c r="W197" s="280" t="s">
        <v>56</v>
      </c>
      <c r="X197" s="280" t="s">
        <v>57</v>
      </c>
      <c r="Y197" s="280" t="s">
        <v>1416</v>
      </c>
      <c r="Z197" s="486"/>
      <c r="AA197" s="486"/>
      <c r="AB197" s="441"/>
      <c r="AC197" s="488"/>
      <c r="AD197" s="443"/>
      <c r="AE197" s="494"/>
      <c r="AF197" s="494"/>
      <c r="AG197" s="476"/>
      <c r="AH197" s="489"/>
      <c r="AI197" s="712"/>
      <c r="AJ197" s="755" t="s">
        <v>62</v>
      </c>
      <c r="AK197" s="442">
        <v>1</v>
      </c>
      <c r="AL197" s="175" t="s">
        <v>332</v>
      </c>
      <c r="AM197" s="175" t="s">
        <v>267</v>
      </c>
      <c r="AN197" s="1387"/>
      <c r="AO197" s="1387"/>
      <c r="AP197" s="115"/>
      <c r="AQ197" s="115"/>
      <c r="AR197" s="115"/>
      <c r="AS197" s="115"/>
      <c r="AT197" s="115"/>
    </row>
    <row r="198" spans="1:46" ht="39" customHeight="1" x14ac:dyDescent="0.25">
      <c r="A198" s="1468">
        <v>197</v>
      </c>
      <c r="B198" s="117"/>
      <c r="C198" s="989"/>
      <c r="D198" s="664"/>
      <c r="E198" s="664"/>
      <c r="F198" s="664"/>
      <c r="G198" s="227"/>
      <c r="H198" s="228"/>
      <c r="I198" s="228"/>
      <c r="J198" s="229"/>
      <c r="K198" s="227"/>
      <c r="L198" s="229"/>
      <c r="M198" s="229"/>
      <c r="N198" s="229"/>
      <c r="O198" s="309"/>
      <c r="P198" s="230" t="s">
        <v>306</v>
      </c>
      <c r="Q198" s="664"/>
      <c r="R198" s="324"/>
      <c r="S198" s="279"/>
      <c r="T198" s="232"/>
      <c r="U198" s="229"/>
      <c r="V198" s="232"/>
      <c r="W198" s="232"/>
      <c r="X198" s="232"/>
      <c r="Y198" s="232"/>
      <c r="Z198" s="233"/>
      <c r="AA198" s="234"/>
      <c r="AB198" s="235"/>
      <c r="AC198" s="236"/>
      <c r="AD198" s="235"/>
      <c r="AE198" s="237"/>
      <c r="AF198" s="233"/>
      <c r="AG198" s="664"/>
      <c r="AH198" s="238"/>
      <c r="AI198" s="239"/>
      <c r="AJ198" s="576"/>
      <c r="AK198" s="664"/>
      <c r="AL198" s="113"/>
      <c r="AM198" s="113"/>
      <c r="AN198" s="113"/>
      <c r="AO198" s="114"/>
      <c r="AP198" s="115"/>
      <c r="AQ198" s="115"/>
      <c r="AR198" s="115"/>
      <c r="AS198" s="115"/>
      <c r="AT198" s="116"/>
    </row>
    <row r="199" spans="1:46" ht="39" customHeight="1" x14ac:dyDescent="0.25">
      <c r="A199" s="1468">
        <v>198</v>
      </c>
      <c r="B199" s="141">
        <v>7</v>
      </c>
      <c r="C199" s="290" t="s">
        <v>307</v>
      </c>
      <c r="D199" s="291"/>
      <c r="E199" s="291" t="s">
        <v>47</v>
      </c>
      <c r="F199" s="291"/>
      <c r="G199" s="292" t="s">
        <v>308</v>
      </c>
      <c r="H199" s="293" t="s">
        <v>132</v>
      </c>
      <c r="I199" s="371" t="s">
        <v>309</v>
      </c>
      <c r="J199" s="256">
        <v>403</v>
      </c>
      <c r="K199" s="216"/>
      <c r="L199" s="216" t="s">
        <v>3971</v>
      </c>
      <c r="M199" s="250" t="s">
        <v>1046</v>
      </c>
      <c r="N199" s="245"/>
      <c r="O199" s="392" t="s">
        <v>3181</v>
      </c>
      <c r="P199" s="294"/>
      <c r="Q199" s="344" t="s">
        <v>519</v>
      </c>
      <c r="R199" s="996" t="s">
        <v>1047</v>
      </c>
      <c r="S199" s="279">
        <v>30852</v>
      </c>
      <c r="T199" s="197"/>
      <c r="U199" s="251" t="s">
        <v>54</v>
      </c>
      <c r="V199" s="299" t="s">
        <v>2341</v>
      </c>
      <c r="W199" s="197" t="s">
        <v>56</v>
      </c>
      <c r="X199" s="197" t="s">
        <v>57</v>
      </c>
      <c r="Y199" s="1108" t="s">
        <v>2383</v>
      </c>
      <c r="Z199" s="289">
        <v>45170</v>
      </c>
      <c r="AA199" s="252"/>
      <c r="AB199" s="281"/>
      <c r="AC199" s="223"/>
      <c r="AD199" s="281"/>
      <c r="AE199" s="252"/>
      <c r="AF199" s="252"/>
      <c r="AG199" s="241" t="s">
        <v>61</v>
      </c>
      <c r="AH199" s="283"/>
      <c r="AI199" s="254"/>
      <c r="AJ199" s="348" t="s">
        <v>560</v>
      </c>
      <c r="AK199" s="291">
        <v>3</v>
      </c>
      <c r="AL199" s="145" t="s">
        <v>332</v>
      </c>
      <c r="AM199" s="145" t="s">
        <v>267</v>
      </c>
      <c r="AN199" s="130"/>
      <c r="AO199" s="130"/>
      <c r="AP199" s="115"/>
      <c r="AQ199" s="115"/>
      <c r="AR199" s="115"/>
      <c r="AS199" s="115"/>
      <c r="AT199" s="115"/>
    </row>
    <row r="200" spans="1:46" ht="39" customHeight="1" x14ac:dyDescent="0.25">
      <c r="A200" s="1468">
        <v>199</v>
      </c>
      <c r="B200" s="141">
        <v>3</v>
      </c>
      <c r="C200" s="356" t="s">
        <v>290</v>
      </c>
      <c r="D200" s="241" t="s">
        <v>134</v>
      </c>
      <c r="E200" s="241"/>
      <c r="F200" s="241"/>
      <c r="G200" s="261" t="s">
        <v>291</v>
      </c>
      <c r="H200" s="262" t="s">
        <v>85</v>
      </c>
      <c r="I200" s="364"/>
      <c r="J200" s="245" t="s">
        <v>556</v>
      </c>
      <c r="K200" s="434"/>
      <c r="L200" s="496" t="s">
        <v>2151</v>
      </c>
      <c r="M200" s="496" t="s">
        <v>2151</v>
      </c>
      <c r="N200" s="496"/>
      <c r="O200" s="265" t="s">
        <v>2083</v>
      </c>
      <c r="P200" s="1096"/>
      <c r="Q200" s="741" t="s">
        <v>567</v>
      </c>
      <c r="R200" s="1168" t="s">
        <v>2082</v>
      </c>
      <c r="S200" s="279">
        <v>30392</v>
      </c>
      <c r="T200" s="820"/>
      <c r="U200" s="251" t="s">
        <v>54</v>
      </c>
      <c r="V200" s="197" t="s">
        <v>3562</v>
      </c>
      <c r="W200" s="197" t="s">
        <v>56</v>
      </c>
      <c r="X200" s="268" t="s">
        <v>57</v>
      </c>
      <c r="Y200" s="197" t="s">
        <v>3563</v>
      </c>
      <c r="Z200" s="246">
        <v>45214</v>
      </c>
      <c r="AA200" s="440"/>
      <c r="AB200" s="496"/>
      <c r="AC200" s="474"/>
      <c r="AD200" s="496"/>
      <c r="AE200" s="440"/>
      <c r="AF200" s="440"/>
      <c r="AG200" s="496"/>
      <c r="AH200" s="496"/>
      <c r="AI200" s="474"/>
      <c r="AJ200" s="348" t="s">
        <v>560</v>
      </c>
      <c r="AK200" s="241">
        <v>4</v>
      </c>
      <c r="AL200" s="153" t="s">
        <v>332</v>
      </c>
      <c r="AM200" s="153" t="s">
        <v>267</v>
      </c>
      <c r="AN200" s="110" t="s">
        <v>4184</v>
      </c>
      <c r="AO200" s="110"/>
      <c r="AP200" s="115"/>
      <c r="AQ200" s="115"/>
      <c r="AR200" s="115"/>
      <c r="AS200" s="115"/>
      <c r="AT200" s="115"/>
    </row>
    <row r="201" spans="1:46" ht="39" customHeight="1" x14ac:dyDescent="0.25">
      <c r="A201" s="1468">
        <v>200</v>
      </c>
      <c r="B201" s="141">
        <v>3</v>
      </c>
      <c r="C201" s="358" t="s">
        <v>297</v>
      </c>
      <c r="D201" s="241" t="s">
        <v>134</v>
      </c>
      <c r="E201" s="241"/>
      <c r="F201" s="241"/>
      <c r="G201" s="261" t="s">
        <v>298</v>
      </c>
      <c r="H201" s="262" t="s">
        <v>85</v>
      </c>
      <c r="I201" s="364"/>
      <c r="J201" s="245" t="s">
        <v>556</v>
      </c>
      <c r="K201" s="684"/>
      <c r="L201" s="685"/>
      <c r="M201" s="685"/>
      <c r="N201" s="684"/>
      <c r="O201" s="216" t="s">
        <v>2282</v>
      </c>
      <c r="P201" s="300"/>
      <c r="Q201" s="344" t="s">
        <v>85</v>
      </c>
      <c r="R201" s="996" t="s">
        <v>2281</v>
      </c>
      <c r="S201" s="279">
        <v>37152</v>
      </c>
      <c r="T201" s="684"/>
      <c r="U201" s="251" t="s">
        <v>54</v>
      </c>
      <c r="V201" s="250" t="s">
        <v>2793</v>
      </c>
      <c r="W201" s="197" t="s">
        <v>56</v>
      </c>
      <c r="X201" s="268" t="s">
        <v>57</v>
      </c>
      <c r="Y201" s="197" t="s">
        <v>5945</v>
      </c>
      <c r="Z201" s="246">
        <v>45141</v>
      </c>
      <c r="AA201" s="684"/>
      <c r="AB201" s="1290"/>
      <c r="AC201" s="684"/>
      <c r="AD201" s="686"/>
      <c r="AE201" s="684"/>
      <c r="AF201" s="684"/>
      <c r="AG201" s="684"/>
      <c r="AH201" s="684"/>
      <c r="AI201" s="685"/>
      <c r="AJ201" s="348" t="s">
        <v>560</v>
      </c>
      <c r="AK201" s="241">
        <v>4</v>
      </c>
      <c r="AL201" s="153" t="s">
        <v>332</v>
      </c>
      <c r="AM201" s="153" t="s">
        <v>267</v>
      </c>
      <c r="AN201" s="110"/>
      <c r="AO201" s="110"/>
      <c r="AP201" s="115"/>
      <c r="AQ201" s="115"/>
      <c r="AR201" s="115"/>
      <c r="AS201" s="115"/>
      <c r="AT201" s="116"/>
    </row>
    <row r="202" spans="1:46" ht="39" customHeight="1" x14ac:dyDescent="0.25">
      <c r="A202" s="1468">
        <v>201</v>
      </c>
      <c r="B202" s="141">
        <v>2</v>
      </c>
      <c r="C202" s="260" t="s">
        <v>311</v>
      </c>
      <c r="D202" s="241"/>
      <c r="E202" s="241"/>
      <c r="F202" s="241"/>
      <c r="G202" s="261" t="s">
        <v>312</v>
      </c>
      <c r="H202" s="262" t="s">
        <v>85</v>
      </c>
      <c r="I202" s="364"/>
      <c r="J202" s="245" t="s">
        <v>556</v>
      </c>
      <c r="K202" s="216"/>
      <c r="L202" s="216"/>
      <c r="M202" s="216"/>
      <c r="N202" s="366"/>
      <c r="O202" s="385" t="s">
        <v>2248</v>
      </c>
      <c r="P202" s="374"/>
      <c r="Q202" s="373" t="s">
        <v>87</v>
      </c>
      <c r="R202" s="982" t="s">
        <v>2247</v>
      </c>
      <c r="S202" s="279">
        <v>35016</v>
      </c>
      <c r="T202" s="223"/>
      <c r="U202" s="251" t="s">
        <v>54</v>
      </c>
      <c r="V202" s="250" t="s">
        <v>2793</v>
      </c>
      <c r="W202" s="197" t="s">
        <v>56</v>
      </c>
      <c r="X202" s="197" t="s">
        <v>57</v>
      </c>
      <c r="Y202" s="197" t="s">
        <v>2609</v>
      </c>
      <c r="Z202" s="246">
        <v>45142</v>
      </c>
      <c r="AA202" s="388"/>
      <c r="AB202" s="223"/>
      <c r="AC202" s="223"/>
      <c r="AD202" s="257"/>
      <c r="AE202" s="223"/>
      <c r="AF202" s="223"/>
      <c r="AG202" s="392"/>
      <c r="AH202" s="299"/>
      <c r="AI202" s="254"/>
      <c r="AJ202" s="348" t="s">
        <v>560</v>
      </c>
      <c r="AK202" s="241">
        <v>4</v>
      </c>
      <c r="AL202" s="153" t="s">
        <v>332</v>
      </c>
      <c r="AM202" s="153" t="s">
        <v>267</v>
      </c>
      <c r="AN202" s="110"/>
      <c r="AO202" s="110"/>
      <c r="AP202" s="115"/>
      <c r="AQ202" s="115"/>
      <c r="AR202" s="115"/>
      <c r="AS202" s="115"/>
      <c r="AT202" s="115"/>
    </row>
    <row r="203" spans="1:46" ht="39" customHeight="1" x14ac:dyDescent="0.25">
      <c r="A203" s="1468">
        <v>202</v>
      </c>
      <c r="B203" s="141">
        <v>2</v>
      </c>
      <c r="C203" s="260" t="s">
        <v>317</v>
      </c>
      <c r="D203" s="241"/>
      <c r="E203" s="241"/>
      <c r="F203" s="241"/>
      <c r="G203" s="261" t="s">
        <v>318</v>
      </c>
      <c r="H203" s="262" t="s">
        <v>87</v>
      </c>
      <c r="I203" s="364"/>
      <c r="J203" s="245" t="s">
        <v>561</v>
      </c>
      <c r="K203" s="216"/>
      <c r="L203" s="281" t="s">
        <v>1824</v>
      </c>
      <c r="M203" s="281" t="s">
        <v>1824</v>
      </c>
      <c r="N203" s="366"/>
      <c r="O203" s="950" t="s">
        <v>1877</v>
      </c>
      <c r="P203" s="484" t="s">
        <v>1828</v>
      </c>
      <c r="Q203" s="344" t="s">
        <v>87</v>
      </c>
      <c r="R203" s="982" t="s">
        <v>3271</v>
      </c>
      <c r="S203" s="279">
        <v>26214</v>
      </c>
      <c r="T203" s="197"/>
      <c r="U203" s="251" t="s">
        <v>54</v>
      </c>
      <c r="V203" s="250" t="s">
        <v>1922</v>
      </c>
      <c r="W203" s="197" t="s">
        <v>56</v>
      </c>
      <c r="X203" s="197" t="s">
        <v>57</v>
      </c>
      <c r="Y203" s="252" t="s">
        <v>1933</v>
      </c>
      <c r="Z203" s="252">
        <v>45133</v>
      </c>
      <c r="AA203" s="246"/>
      <c r="AB203" s="361"/>
      <c r="AC203" s="223"/>
      <c r="AD203" s="376"/>
      <c r="AE203" s="258"/>
      <c r="AF203" s="258"/>
      <c r="AG203" s="241"/>
      <c r="AH203" s="283"/>
      <c r="AI203" s="254"/>
      <c r="AJ203" s="348" t="s">
        <v>560</v>
      </c>
      <c r="AK203" s="241">
        <v>4</v>
      </c>
      <c r="AL203" s="153" t="s">
        <v>332</v>
      </c>
      <c r="AM203" s="153" t="s">
        <v>267</v>
      </c>
      <c r="AN203" s="110"/>
      <c r="AO203" s="110"/>
      <c r="AP203" s="115"/>
      <c r="AQ203" s="115"/>
      <c r="AR203" s="115"/>
      <c r="AS203" s="115"/>
      <c r="AT203" s="115"/>
    </row>
    <row r="204" spans="1:46" ht="39" customHeight="1" x14ac:dyDescent="0.25">
      <c r="A204" s="1468">
        <v>203</v>
      </c>
      <c r="B204" s="146">
        <v>2</v>
      </c>
      <c r="C204" s="260" t="s">
        <v>319</v>
      </c>
      <c r="D204" s="241"/>
      <c r="E204" s="241"/>
      <c r="F204" s="241"/>
      <c r="G204" s="261" t="s">
        <v>320</v>
      </c>
      <c r="H204" s="262" t="s">
        <v>87</v>
      </c>
      <c r="I204" s="357"/>
      <c r="J204" s="245" t="s">
        <v>561</v>
      </c>
      <c r="K204" s="257"/>
      <c r="L204" s="299"/>
      <c r="M204" s="299"/>
      <c r="N204" s="299"/>
      <c r="O204" s="216" t="s">
        <v>2717</v>
      </c>
      <c r="P204" s="300"/>
      <c r="Q204" s="344" t="s">
        <v>87</v>
      </c>
      <c r="R204" s="982" t="s">
        <v>2716</v>
      </c>
      <c r="S204" s="279">
        <v>27221</v>
      </c>
      <c r="T204" s="289"/>
      <c r="U204" s="251" t="s">
        <v>54</v>
      </c>
      <c r="V204" s="250" t="s">
        <v>2793</v>
      </c>
      <c r="W204" s="197" t="s">
        <v>56</v>
      </c>
      <c r="X204" s="197" t="s">
        <v>57</v>
      </c>
      <c r="Y204" s="197" t="s">
        <v>2609</v>
      </c>
      <c r="Z204" s="246">
        <v>45141</v>
      </c>
      <c r="AA204" s="289"/>
      <c r="AB204" s="299"/>
      <c r="AC204" s="223"/>
      <c r="AD204" s="299"/>
      <c r="AE204" s="289"/>
      <c r="AF204" s="289"/>
      <c r="AG204" s="299"/>
      <c r="AH204" s="299"/>
      <c r="AI204" s="223"/>
      <c r="AJ204" s="491" t="s">
        <v>560</v>
      </c>
      <c r="AK204" s="241">
        <v>4</v>
      </c>
      <c r="AL204" s="153" t="s">
        <v>332</v>
      </c>
      <c r="AM204" s="153" t="s">
        <v>267</v>
      </c>
      <c r="AN204" s="110"/>
      <c r="AO204" s="110"/>
      <c r="AP204" s="115"/>
      <c r="AQ204" s="115"/>
      <c r="AR204" s="115"/>
      <c r="AS204" s="115"/>
      <c r="AT204" s="116"/>
    </row>
    <row r="205" spans="1:46" ht="39" customHeight="1" x14ac:dyDescent="0.25">
      <c r="A205" s="1468">
        <v>204</v>
      </c>
      <c r="B205" s="141">
        <v>2</v>
      </c>
      <c r="C205" s="378" t="s">
        <v>321</v>
      </c>
      <c r="D205" s="303"/>
      <c r="E205" s="241"/>
      <c r="F205" s="241"/>
      <c r="G205" s="261" t="s">
        <v>322</v>
      </c>
      <c r="H205" s="262" t="s">
        <v>87</v>
      </c>
      <c r="I205" s="357"/>
      <c r="J205" s="245" t="s">
        <v>561</v>
      </c>
      <c r="K205" s="216"/>
      <c r="L205" s="301"/>
      <c r="M205" s="216"/>
      <c r="N205" s="366"/>
      <c r="O205" s="950" t="s">
        <v>2759</v>
      </c>
      <c r="P205" s="325"/>
      <c r="Q205" s="373" t="s">
        <v>293</v>
      </c>
      <c r="R205" s="982" t="s">
        <v>2758</v>
      </c>
      <c r="S205" s="279">
        <v>27193</v>
      </c>
      <c r="T205" s="306"/>
      <c r="U205" s="251" t="s">
        <v>54</v>
      </c>
      <c r="V205" s="250" t="s">
        <v>2793</v>
      </c>
      <c r="W205" s="197" t="s">
        <v>56</v>
      </c>
      <c r="X205" s="197" t="s">
        <v>57</v>
      </c>
      <c r="Y205" s="197" t="s">
        <v>2609</v>
      </c>
      <c r="Z205" s="246">
        <v>45139</v>
      </c>
      <c r="AA205" s="246"/>
      <c r="AB205" s="301"/>
      <c r="AC205" s="223"/>
      <c r="AD205" s="301"/>
      <c r="AE205" s="306"/>
      <c r="AF205" s="306"/>
      <c r="AG205" s="301"/>
      <c r="AH205" s="301"/>
      <c r="AI205" s="386"/>
      <c r="AJ205" s="348" t="s">
        <v>560</v>
      </c>
      <c r="AK205" s="241">
        <v>4</v>
      </c>
      <c r="AL205" s="153" t="s">
        <v>332</v>
      </c>
      <c r="AM205" s="153" t="s">
        <v>267</v>
      </c>
      <c r="AN205" s="110"/>
      <c r="AO205" s="110"/>
      <c r="AP205" s="115"/>
      <c r="AQ205" s="115"/>
      <c r="AR205" s="115"/>
      <c r="AS205" s="115"/>
      <c r="AT205" s="115"/>
    </row>
    <row r="206" spans="1:46" ht="39" customHeight="1" x14ac:dyDescent="0.25">
      <c r="A206" s="1468">
        <v>205</v>
      </c>
      <c r="B206" s="141">
        <v>1</v>
      </c>
      <c r="C206" s="378" t="s">
        <v>323</v>
      </c>
      <c r="D206" s="303"/>
      <c r="E206" s="241"/>
      <c r="F206" s="241"/>
      <c r="G206" s="261" t="s">
        <v>324</v>
      </c>
      <c r="H206" s="262" t="s">
        <v>87</v>
      </c>
      <c r="I206" s="357"/>
      <c r="J206" s="245" t="s">
        <v>561</v>
      </c>
      <c r="K206" s="216"/>
      <c r="L206" s="250"/>
      <c r="M206" s="414"/>
      <c r="N206" s="404"/>
      <c r="O206" s="950" t="s">
        <v>2461</v>
      </c>
      <c r="P206" s="372"/>
      <c r="Q206" s="344" t="s">
        <v>519</v>
      </c>
      <c r="R206" s="982" t="s">
        <v>2460</v>
      </c>
      <c r="S206" s="279">
        <v>28314</v>
      </c>
      <c r="T206" s="414"/>
      <c r="U206" s="251" t="s">
        <v>54</v>
      </c>
      <c r="V206" s="250" t="s">
        <v>2793</v>
      </c>
      <c r="W206" s="197" t="s">
        <v>56</v>
      </c>
      <c r="X206" s="197" t="s">
        <v>57</v>
      </c>
      <c r="Y206" s="197" t="s">
        <v>2609</v>
      </c>
      <c r="Z206" s="246">
        <v>45142</v>
      </c>
      <c r="AA206" s="252"/>
      <c r="AB206" s="257"/>
      <c r="AC206" s="223"/>
      <c r="AD206" s="257"/>
      <c r="AE206" s="252"/>
      <c r="AF206" s="252"/>
      <c r="AG206" s="385"/>
      <c r="AH206" s="426"/>
      <c r="AI206" s="254"/>
      <c r="AJ206" s="348" t="s">
        <v>560</v>
      </c>
      <c r="AK206" s="241">
        <v>4</v>
      </c>
      <c r="AL206" s="153" t="s">
        <v>332</v>
      </c>
      <c r="AM206" s="153" t="s">
        <v>267</v>
      </c>
      <c r="AN206" s="110"/>
      <c r="AO206" s="110"/>
      <c r="AP206" s="115"/>
      <c r="AQ206" s="115"/>
      <c r="AR206" s="115"/>
      <c r="AS206" s="115"/>
      <c r="AT206" s="115"/>
    </row>
    <row r="207" spans="1:46" ht="39" customHeight="1" x14ac:dyDescent="0.25">
      <c r="A207" s="1468">
        <v>206</v>
      </c>
      <c r="B207" s="141">
        <v>1</v>
      </c>
      <c r="C207" s="260" t="s">
        <v>325</v>
      </c>
      <c r="D207" s="241"/>
      <c r="E207" s="241"/>
      <c r="F207" s="241"/>
      <c r="G207" s="261" t="s">
        <v>324</v>
      </c>
      <c r="H207" s="262" t="s">
        <v>87</v>
      </c>
      <c r="I207" s="357"/>
      <c r="J207" s="245" t="s">
        <v>561</v>
      </c>
      <c r="K207" s="216"/>
      <c r="L207" s="250" t="s">
        <v>5916</v>
      </c>
      <c r="M207" s="250" t="s">
        <v>5916</v>
      </c>
      <c r="N207" s="366"/>
      <c r="O207" s="1128" t="s">
        <v>6039</v>
      </c>
      <c r="P207" s="817"/>
      <c r="Q207" s="741" t="s">
        <v>87</v>
      </c>
      <c r="R207" s="834" t="s">
        <v>6038</v>
      </c>
      <c r="S207" s="279">
        <v>37122</v>
      </c>
      <c r="T207" s="252"/>
      <c r="U207" s="250"/>
      <c r="V207" s="250"/>
      <c r="W207" s="197"/>
      <c r="X207" s="197"/>
      <c r="Y207" s="197"/>
      <c r="Z207" s="246"/>
      <c r="AA207" s="327"/>
      <c r="AB207" s="282"/>
      <c r="AC207" s="223"/>
      <c r="AD207" s="282"/>
      <c r="AE207" s="252"/>
      <c r="AF207" s="252"/>
      <c r="AG207" s="282"/>
      <c r="AH207" s="283"/>
      <c r="AI207" s="254"/>
      <c r="AJ207" s="743" t="s">
        <v>560</v>
      </c>
      <c r="AK207" s="241">
        <v>4</v>
      </c>
      <c r="AL207" s="153" t="s">
        <v>332</v>
      </c>
      <c r="AM207" s="153" t="s">
        <v>267</v>
      </c>
      <c r="AN207" s="110"/>
      <c r="AO207" s="110"/>
      <c r="AP207" s="115"/>
      <c r="AQ207" s="115"/>
      <c r="AR207" s="115"/>
      <c r="AS207" s="115"/>
      <c r="AT207" s="115"/>
    </row>
    <row r="208" spans="1:46" ht="39" customHeight="1" x14ac:dyDescent="0.25">
      <c r="A208" s="1468">
        <v>207</v>
      </c>
      <c r="B208" s="117"/>
      <c r="C208" s="989"/>
      <c r="D208" s="664"/>
      <c r="E208" s="664"/>
      <c r="F208" s="664"/>
      <c r="G208" s="227"/>
      <c r="H208" s="228"/>
      <c r="I208" s="228"/>
      <c r="J208" s="229"/>
      <c r="K208" s="227"/>
      <c r="L208" s="229"/>
      <c r="M208" s="229"/>
      <c r="N208" s="229"/>
      <c r="O208" s="309"/>
      <c r="P208" s="230" t="s">
        <v>326</v>
      </c>
      <c r="Q208" s="664"/>
      <c r="R208" s="324"/>
      <c r="S208" s="279"/>
      <c r="T208" s="229"/>
      <c r="U208" s="229"/>
      <c r="V208" s="229"/>
      <c r="W208" s="232"/>
      <c r="X208" s="232"/>
      <c r="Y208" s="232"/>
      <c r="Z208" s="233"/>
      <c r="AA208" s="234"/>
      <c r="AB208" s="235"/>
      <c r="AC208" s="236"/>
      <c r="AD208" s="235"/>
      <c r="AE208" s="237"/>
      <c r="AF208" s="233"/>
      <c r="AG208" s="664"/>
      <c r="AH208" s="238"/>
      <c r="AI208" s="239"/>
      <c r="AJ208" s="576"/>
      <c r="AK208" s="664"/>
      <c r="AL208" s="113"/>
      <c r="AM208" s="113"/>
      <c r="AN208" s="113"/>
      <c r="AO208" s="114"/>
      <c r="AP208" s="115"/>
      <c r="AQ208" s="115"/>
      <c r="AR208" s="115"/>
      <c r="AS208" s="115"/>
      <c r="AT208" s="116"/>
    </row>
    <row r="209" spans="1:46" ht="39" customHeight="1" x14ac:dyDescent="0.25">
      <c r="A209" s="1468">
        <v>208</v>
      </c>
      <c r="B209" s="141">
        <v>5</v>
      </c>
      <c r="C209" s="290" t="s">
        <v>288</v>
      </c>
      <c r="D209" s="291"/>
      <c r="E209" s="291" t="s">
        <v>47</v>
      </c>
      <c r="F209" s="291"/>
      <c r="G209" s="292" t="s">
        <v>289</v>
      </c>
      <c r="H209" s="293" t="s">
        <v>132</v>
      </c>
      <c r="I209" s="344">
        <v>144</v>
      </c>
      <c r="J209" s="256">
        <v>403</v>
      </c>
      <c r="K209" s="257"/>
      <c r="L209" s="301" t="s">
        <v>1898</v>
      </c>
      <c r="M209" s="301" t="s">
        <v>1898</v>
      </c>
      <c r="N209" s="299"/>
      <c r="O209" s="950" t="s">
        <v>1972</v>
      </c>
      <c r="P209" s="287" t="s">
        <v>1828</v>
      </c>
      <c r="Q209" s="344" t="s">
        <v>85</v>
      </c>
      <c r="R209" s="982" t="s">
        <v>1971</v>
      </c>
      <c r="S209" s="279">
        <v>33151</v>
      </c>
      <c r="T209" s="289"/>
      <c r="U209" s="251" t="s">
        <v>54</v>
      </c>
      <c r="V209" s="250" t="s">
        <v>4628</v>
      </c>
      <c r="W209" s="197" t="s">
        <v>1301</v>
      </c>
      <c r="X209" s="197" t="s">
        <v>4629</v>
      </c>
      <c r="Y209" s="197" t="s">
        <v>4630</v>
      </c>
      <c r="Z209" s="252">
        <v>45239</v>
      </c>
      <c r="AA209" s="698"/>
      <c r="AB209" s="299"/>
      <c r="AC209" s="223"/>
      <c r="AD209" s="299"/>
      <c r="AE209" s="289"/>
      <c r="AF209" s="289"/>
      <c r="AG209" s="299"/>
      <c r="AH209" s="299"/>
      <c r="AI209" s="254"/>
      <c r="AJ209" s="348" t="s">
        <v>560</v>
      </c>
      <c r="AK209" s="348">
        <v>3</v>
      </c>
      <c r="AL209" s="145" t="s">
        <v>332</v>
      </c>
      <c r="AM209" s="145" t="s">
        <v>267</v>
      </c>
      <c r="AN209" s="130"/>
      <c r="AO209" s="130"/>
      <c r="AP209" s="156"/>
      <c r="AQ209" s="156"/>
      <c r="AR209" s="115"/>
      <c r="AS209" s="115"/>
      <c r="AT209" s="115"/>
    </row>
    <row r="210" spans="1:46" ht="39" customHeight="1" x14ac:dyDescent="0.25">
      <c r="A210" s="1468">
        <v>209</v>
      </c>
      <c r="B210" s="141">
        <v>3</v>
      </c>
      <c r="C210" s="356" t="s">
        <v>290</v>
      </c>
      <c r="D210" s="241" t="s">
        <v>134</v>
      </c>
      <c r="E210" s="241"/>
      <c r="F210" s="241"/>
      <c r="G210" s="261" t="s">
        <v>291</v>
      </c>
      <c r="H210" s="262" t="s">
        <v>85</v>
      </c>
      <c r="I210" s="357"/>
      <c r="J210" s="245" t="s">
        <v>556</v>
      </c>
      <c r="K210" s="216"/>
      <c r="L210" s="288" t="s">
        <v>1526</v>
      </c>
      <c r="M210" s="288" t="s">
        <v>1526</v>
      </c>
      <c r="N210" s="374"/>
      <c r="O210" s="385" t="s">
        <v>1553</v>
      </c>
      <c r="P210" s="374"/>
      <c r="Q210" s="373" t="s">
        <v>87</v>
      </c>
      <c r="R210" s="982" t="s">
        <v>1554</v>
      </c>
      <c r="S210" s="279">
        <v>28189</v>
      </c>
      <c r="T210" s="197"/>
      <c r="U210" s="251" t="s">
        <v>54</v>
      </c>
      <c r="V210" s="250" t="s">
        <v>2793</v>
      </c>
      <c r="W210" s="197" t="s">
        <v>56</v>
      </c>
      <c r="X210" s="197" t="s">
        <v>57</v>
      </c>
      <c r="Y210" s="197" t="s">
        <v>2609</v>
      </c>
      <c r="Z210" s="246">
        <v>45186</v>
      </c>
      <c r="AA210" s="388"/>
      <c r="AB210" s="288"/>
      <c r="AC210" s="223"/>
      <c r="AD210" s="288"/>
      <c r="AE210" s="384"/>
      <c r="AF210" s="384"/>
      <c r="AG210" s="392"/>
      <c r="AH210" s="283"/>
      <c r="AI210" s="254"/>
      <c r="AJ210" s="348" t="s">
        <v>560</v>
      </c>
      <c r="AK210" s="241">
        <v>4</v>
      </c>
      <c r="AL210" s="153" t="s">
        <v>332</v>
      </c>
      <c r="AM210" s="153" t="s">
        <v>267</v>
      </c>
      <c r="AN210" s="110" t="s">
        <v>4184</v>
      </c>
      <c r="AO210" s="110"/>
      <c r="AP210" s="115"/>
      <c r="AQ210" s="115"/>
      <c r="AR210" s="115"/>
      <c r="AS210" s="115"/>
      <c r="AT210" s="115"/>
    </row>
    <row r="211" spans="1:46" ht="39" customHeight="1" x14ac:dyDescent="0.25">
      <c r="A211" s="1468">
        <v>210</v>
      </c>
      <c r="B211" s="141">
        <v>3</v>
      </c>
      <c r="C211" s="358" t="s">
        <v>297</v>
      </c>
      <c r="D211" s="241" t="s">
        <v>134</v>
      </c>
      <c r="E211" s="241"/>
      <c r="F211" s="241"/>
      <c r="G211" s="261" t="s">
        <v>298</v>
      </c>
      <c r="H211" s="262" t="s">
        <v>85</v>
      </c>
      <c r="I211" s="357"/>
      <c r="J211" s="245" t="s">
        <v>556</v>
      </c>
      <c r="K211" s="216"/>
      <c r="L211" s="288" t="s">
        <v>1526</v>
      </c>
      <c r="M211" s="288" t="s">
        <v>1526</v>
      </c>
      <c r="N211" s="374"/>
      <c r="O211" s="385" t="s">
        <v>1557</v>
      </c>
      <c r="P211" s="374"/>
      <c r="Q211" s="373" t="s">
        <v>87</v>
      </c>
      <c r="R211" s="982" t="s">
        <v>1558</v>
      </c>
      <c r="S211" s="279">
        <v>31205</v>
      </c>
      <c r="T211" s="197"/>
      <c r="U211" s="251" t="s">
        <v>54</v>
      </c>
      <c r="V211" s="250" t="s">
        <v>1508</v>
      </c>
      <c r="W211" s="197" t="s">
        <v>56</v>
      </c>
      <c r="X211" s="197" t="s">
        <v>475</v>
      </c>
      <c r="Y211" s="197" t="s">
        <v>1677</v>
      </c>
      <c r="Z211" s="246">
        <v>45117</v>
      </c>
      <c r="AA211" s="388"/>
      <c r="AB211" s="288"/>
      <c r="AC211" s="223"/>
      <c r="AD211" s="288"/>
      <c r="AE211" s="384"/>
      <c r="AF211" s="384"/>
      <c r="AG211" s="392"/>
      <c r="AH211" s="283"/>
      <c r="AI211" s="254"/>
      <c r="AJ211" s="348" t="s">
        <v>560</v>
      </c>
      <c r="AK211" s="241">
        <v>4</v>
      </c>
      <c r="AL211" s="153" t="s">
        <v>332</v>
      </c>
      <c r="AM211" s="153" t="s">
        <v>267</v>
      </c>
      <c r="AN211" s="110"/>
      <c r="AO211" s="110"/>
      <c r="AP211" s="115"/>
      <c r="AQ211" s="115"/>
      <c r="AR211" s="115"/>
      <c r="AS211" s="115"/>
      <c r="AT211" s="116"/>
    </row>
    <row r="212" spans="1:46" ht="39" customHeight="1" x14ac:dyDescent="0.25">
      <c r="A212" s="1468">
        <v>211</v>
      </c>
      <c r="B212" s="141">
        <v>2</v>
      </c>
      <c r="C212" s="260" t="s">
        <v>311</v>
      </c>
      <c r="D212" s="241"/>
      <c r="E212" s="241"/>
      <c r="F212" s="241"/>
      <c r="G212" s="261" t="s">
        <v>312</v>
      </c>
      <c r="H212" s="262" t="s">
        <v>85</v>
      </c>
      <c r="I212" s="357"/>
      <c r="J212" s="245" t="s">
        <v>556</v>
      </c>
      <c r="K212" s="216"/>
      <c r="L212" s="216"/>
      <c r="M212" s="216"/>
      <c r="N212" s="366"/>
      <c r="O212" s="385" t="s">
        <v>2224</v>
      </c>
      <c r="P212" s="374"/>
      <c r="Q212" s="373" t="s">
        <v>87</v>
      </c>
      <c r="R212" s="982" t="s">
        <v>2223</v>
      </c>
      <c r="S212" s="279">
        <v>34367</v>
      </c>
      <c r="T212" s="250"/>
      <c r="U212" s="251" t="s">
        <v>54</v>
      </c>
      <c r="V212" s="250" t="s">
        <v>2793</v>
      </c>
      <c r="W212" s="197" t="s">
        <v>56</v>
      </c>
      <c r="X212" s="197" t="s">
        <v>57</v>
      </c>
      <c r="Y212" s="197" t="s">
        <v>2609</v>
      </c>
      <c r="Z212" s="246">
        <v>45186</v>
      </c>
      <c r="AA212" s="246"/>
      <c r="AB212" s="197"/>
      <c r="AC212" s="223"/>
      <c r="AD212" s="197"/>
      <c r="AE212" s="306"/>
      <c r="AF212" s="306"/>
      <c r="AG212" s="305"/>
      <c r="AH212" s="283"/>
      <c r="AI212" s="296"/>
      <c r="AJ212" s="348" t="s">
        <v>560</v>
      </c>
      <c r="AK212" s="241">
        <v>4</v>
      </c>
      <c r="AL212" s="153" t="s">
        <v>332</v>
      </c>
      <c r="AM212" s="153" t="s">
        <v>267</v>
      </c>
      <c r="AN212" s="110"/>
      <c r="AO212" s="110"/>
      <c r="AP212" s="115"/>
      <c r="AQ212" s="115"/>
      <c r="AR212" s="115"/>
      <c r="AS212" s="115"/>
      <c r="AT212" s="115"/>
    </row>
    <row r="213" spans="1:46" ht="39" customHeight="1" x14ac:dyDescent="0.25">
      <c r="A213" s="1468">
        <v>212</v>
      </c>
      <c r="B213" s="141">
        <v>2</v>
      </c>
      <c r="C213" s="260" t="s">
        <v>317</v>
      </c>
      <c r="D213" s="241"/>
      <c r="E213" s="241"/>
      <c r="F213" s="241"/>
      <c r="G213" s="261" t="s">
        <v>318</v>
      </c>
      <c r="H213" s="262" t="s">
        <v>87</v>
      </c>
      <c r="I213" s="357"/>
      <c r="J213" s="245" t="s">
        <v>561</v>
      </c>
      <c r="K213" s="261"/>
      <c r="L213" s="263"/>
      <c r="M213" s="263"/>
      <c r="N213" s="263"/>
      <c r="O213" s="950" t="s">
        <v>2753</v>
      </c>
      <c r="P213" s="325"/>
      <c r="Q213" s="373" t="s">
        <v>293</v>
      </c>
      <c r="R213" s="982" t="s">
        <v>2752</v>
      </c>
      <c r="S213" s="279">
        <v>26438</v>
      </c>
      <c r="T213" s="268"/>
      <c r="U213" s="251" t="s">
        <v>54</v>
      </c>
      <c r="V213" s="250" t="s">
        <v>2793</v>
      </c>
      <c r="W213" s="197" t="s">
        <v>56</v>
      </c>
      <c r="X213" s="197" t="s">
        <v>57</v>
      </c>
      <c r="Y213" s="197" t="s">
        <v>2609</v>
      </c>
      <c r="Z213" s="246">
        <v>45141</v>
      </c>
      <c r="AA213" s="337"/>
      <c r="AB213" s="245"/>
      <c r="AC213" s="223"/>
      <c r="AD213" s="245"/>
      <c r="AE213" s="269"/>
      <c r="AF213" s="246"/>
      <c r="AG213" s="241"/>
      <c r="AH213" s="253"/>
      <c r="AI213" s="254"/>
      <c r="AJ213" s="348" t="s">
        <v>560</v>
      </c>
      <c r="AK213" s="241">
        <v>4</v>
      </c>
      <c r="AL213" s="153" t="s">
        <v>332</v>
      </c>
      <c r="AM213" s="153" t="s">
        <v>267</v>
      </c>
      <c r="AN213" s="110"/>
      <c r="AO213" s="110"/>
      <c r="AP213" s="115"/>
      <c r="AQ213" s="115"/>
      <c r="AR213" s="115"/>
      <c r="AS213" s="115"/>
      <c r="AT213" s="115"/>
    </row>
    <row r="214" spans="1:46" ht="39" customHeight="1" x14ac:dyDescent="0.25">
      <c r="A214" s="1468">
        <v>213</v>
      </c>
      <c r="B214" s="146">
        <v>2</v>
      </c>
      <c r="C214" s="260" t="s">
        <v>319</v>
      </c>
      <c r="D214" s="241"/>
      <c r="E214" s="241"/>
      <c r="F214" s="241"/>
      <c r="G214" s="261" t="s">
        <v>320</v>
      </c>
      <c r="H214" s="262" t="s">
        <v>87</v>
      </c>
      <c r="I214" s="364"/>
      <c r="J214" s="245" t="s">
        <v>561</v>
      </c>
      <c r="K214" s="216"/>
      <c r="L214" s="299"/>
      <c r="M214" s="299"/>
      <c r="N214" s="245"/>
      <c r="O214" s="385" t="s">
        <v>2501</v>
      </c>
      <c r="P214" s="374"/>
      <c r="Q214" s="344" t="s">
        <v>567</v>
      </c>
      <c r="R214" s="982" t="s">
        <v>2500</v>
      </c>
      <c r="S214" s="279">
        <v>31109</v>
      </c>
      <c r="T214" s="289"/>
      <c r="U214" s="197"/>
      <c r="V214" s="250"/>
      <c r="W214" s="197"/>
      <c r="X214" s="197"/>
      <c r="Y214" s="197"/>
      <c r="Z214" s="246"/>
      <c r="AA214" s="281"/>
      <c r="AB214" s="245"/>
      <c r="AC214" s="223"/>
      <c r="AD214" s="245"/>
      <c r="AE214" s="289"/>
      <c r="AF214" s="289"/>
      <c r="AG214" s="241"/>
      <c r="AH214" s="253"/>
      <c r="AI214" s="284"/>
      <c r="AJ214" s="348" t="s">
        <v>560</v>
      </c>
      <c r="AK214" s="241">
        <v>4</v>
      </c>
      <c r="AL214" s="153" t="s">
        <v>332</v>
      </c>
      <c r="AM214" s="153" t="s">
        <v>267</v>
      </c>
      <c r="AN214" s="110"/>
      <c r="AO214" s="110"/>
      <c r="AP214" s="115"/>
      <c r="AQ214" s="115"/>
      <c r="AR214" s="115"/>
      <c r="AS214" s="115"/>
      <c r="AT214" s="116"/>
    </row>
    <row r="215" spans="1:46" ht="39" customHeight="1" x14ac:dyDescent="0.25">
      <c r="A215" s="1468">
        <v>214</v>
      </c>
      <c r="B215" s="141">
        <v>2</v>
      </c>
      <c r="C215" s="378" t="s">
        <v>321</v>
      </c>
      <c r="D215" s="303"/>
      <c r="E215" s="241"/>
      <c r="F215" s="241"/>
      <c r="G215" s="261" t="s">
        <v>322</v>
      </c>
      <c r="H215" s="262" t="s">
        <v>87</v>
      </c>
      <c r="I215" s="357"/>
      <c r="J215" s="245" t="s">
        <v>561</v>
      </c>
      <c r="K215" s="436"/>
      <c r="L215" s="397" t="s">
        <v>1860</v>
      </c>
      <c r="M215" s="397" t="s">
        <v>1860</v>
      </c>
      <c r="N215" s="412"/>
      <c r="O215" s="385" t="s">
        <v>1945</v>
      </c>
      <c r="P215" s="385" t="s">
        <v>1828</v>
      </c>
      <c r="Q215" s="373" t="s">
        <v>85</v>
      </c>
      <c r="R215" s="982" t="s">
        <v>1946</v>
      </c>
      <c r="S215" s="279">
        <v>29471</v>
      </c>
      <c r="T215" s="399"/>
      <c r="U215" s="251" t="s">
        <v>54</v>
      </c>
      <c r="V215" s="443" t="s">
        <v>1922</v>
      </c>
      <c r="W215" s="280" t="s">
        <v>56</v>
      </c>
      <c r="X215" s="280" t="s">
        <v>57</v>
      </c>
      <c r="Y215" s="398" t="s">
        <v>1933</v>
      </c>
      <c r="Z215" s="398">
        <v>45133</v>
      </c>
      <c r="AA215" s="399"/>
      <c r="AB215" s="412"/>
      <c r="AC215" s="488"/>
      <c r="AD215" s="412"/>
      <c r="AE215" s="399"/>
      <c r="AF215" s="399"/>
      <c r="AG215" s="412"/>
      <c r="AH215" s="412"/>
      <c r="AI215" s="712"/>
      <c r="AJ215" s="491" t="s">
        <v>560</v>
      </c>
      <c r="AK215" s="241">
        <v>4</v>
      </c>
      <c r="AL215" s="153" t="s">
        <v>332</v>
      </c>
      <c r="AM215" s="153" t="s">
        <v>267</v>
      </c>
      <c r="AN215" s="110"/>
      <c r="AO215" s="110"/>
      <c r="AP215" s="115"/>
      <c r="AQ215" s="115"/>
      <c r="AR215" s="115"/>
      <c r="AS215" s="115"/>
      <c r="AT215" s="115"/>
    </row>
    <row r="216" spans="1:46" ht="39" customHeight="1" x14ac:dyDescent="0.25">
      <c r="A216" s="1468">
        <v>215</v>
      </c>
      <c r="B216" s="141">
        <v>1</v>
      </c>
      <c r="C216" s="378" t="s">
        <v>323</v>
      </c>
      <c r="D216" s="303"/>
      <c r="E216" s="241"/>
      <c r="F216" s="241"/>
      <c r="G216" s="261" t="s">
        <v>324</v>
      </c>
      <c r="H216" s="262" t="s">
        <v>87</v>
      </c>
      <c r="I216" s="357"/>
      <c r="J216" s="245" t="s">
        <v>561</v>
      </c>
      <c r="K216" s="216"/>
      <c r="L216" s="216"/>
      <c r="M216" s="265"/>
      <c r="N216" s="404"/>
      <c r="O216" s="385" t="s">
        <v>2503</v>
      </c>
      <c r="P216" s="374"/>
      <c r="Q216" s="344" t="s">
        <v>293</v>
      </c>
      <c r="R216" s="982" t="s">
        <v>2502</v>
      </c>
      <c r="S216" s="279">
        <v>30274</v>
      </c>
      <c r="T216" s="414"/>
      <c r="U216" s="251" t="s">
        <v>54</v>
      </c>
      <c r="V216" s="250" t="s">
        <v>2793</v>
      </c>
      <c r="W216" s="197" t="s">
        <v>56</v>
      </c>
      <c r="X216" s="197" t="s">
        <v>57</v>
      </c>
      <c r="Y216" s="197" t="s">
        <v>2609</v>
      </c>
      <c r="Z216" s="246">
        <v>45186</v>
      </c>
      <c r="AA216" s="252"/>
      <c r="AB216" s="250"/>
      <c r="AC216" s="223"/>
      <c r="AD216" s="301"/>
      <c r="AE216" s="306"/>
      <c r="AF216" s="306"/>
      <c r="AG216" s="305"/>
      <c r="AH216" s="282"/>
      <c r="AI216" s="296"/>
      <c r="AJ216" s="491" t="s">
        <v>560</v>
      </c>
      <c r="AK216" s="241">
        <v>4</v>
      </c>
      <c r="AL216" s="153" t="s">
        <v>332</v>
      </c>
      <c r="AM216" s="153" t="s">
        <v>267</v>
      </c>
      <c r="AN216" s="110"/>
      <c r="AO216" s="110"/>
      <c r="AP216" s="115"/>
      <c r="AQ216" s="115"/>
      <c r="AR216" s="115"/>
      <c r="AS216" s="115"/>
      <c r="AT216" s="115"/>
    </row>
    <row r="217" spans="1:46" ht="39" customHeight="1" x14ac:dyDescent="0.25">
      <c r="A217" s="1468">
        <v>216</v>
      </c>
      <c r="B217" s="141">
        <v>1</v>
      </c>
      <c r="C217" s="260" t="s">
        <v>325</v>
      </c>
      <c r="D217" s="241"/>
      <c r="E217" s="241"/>
      <c r="F217" s="241"/>
      <c r="G217" s="261" t="s">
        <v>324</v>
      </c>
      <c r="H217" s="262" t="s">
        <v>87</v>
      </c>
      <c r="I217" s="357"/>
      <c r="J217" s="245" t="s">
        <v>561</v>
      </c>
      <c r="K217" s="216"/>
      <c r="L217" s="281"/>
      <c r="M217" s="281"/>
      <c r="N217" s="366"/>
      <c r="O217" s="385" t="s">
        <v>2701</v>
      </c>
      <c r="P217" s="385"/>
      <c r="Q217" s="373" t="s">
        <v>293</v>
      </c>
      <c r="R217" s="982" t="s">
        <v>2700</v>
      </c>
      <c r="S217" s="279">
        <v>30190</v>
      </c>
      <c r="T217" s="250"/>
      <c r="U217" s="251" t="s">
        <v>54</v>
      </c>
      <c r="V217" s="250" t="s">
        <v>2793</v>
      </c>
      <c r="W217" s="197" t="s">
        <v>56</v>
      </c>
      <c r="X217" s="197" t="s">
        <v>57</v>
      </c>
      <c r="Y217" s="197" t="s">
        <v>2609</v>
      </c>
      <c r="Z217" s="246">
        <v>45141</v>
      </c>
      <c r="AA217" s="252"/>
      <c r="AB217" s="282"/>
      <c r="AC217" s="223"/>
      <c r="AD217" s="301"/>
      <c r="AE217" s="306"/>
      <c r="AF217" s="306"/>
      <c r="AG217" s="305"/>
      <c r="AH217" s="282"/>
      <c r="AI217" s="386"/>
      <c r="AJ217" s="491" t="s">
        <v>560</v>
      </c>
      <c r="AK217" s="241">
        <v>4</v>
      </c>
      <c r="AL217" s="153" t="s">
        <v>332</v>
      </c>
      <c r="AM217" s="153" t="s">
        <v>267</v>
      </c>
      <c r="AN217" s="110"/>
      <c r="AO217" s="110"/>
      <c r="AP217" s="115"/>
      <c r="AQ217" s="115"/>
      <c r="AR217" s="115"/>
      <c r="AS217" s="115"/>
      <c r="AT217" s="115"/>
    </row>
    <row r="218" spans="1:46" ht="39" customHeight="1" x14ac:dyDescent="0.25">
      <c r="A218" s="1468">
        <v>217</v>
      </c>
      <c r="B218" s="117"/>
      <c r="C218" s="989"/>
      <c r="D218" s="664"/>
      <c r="E218" s="664"/>
      <c r="F218" s="664"/>
      <c r="G218" s="227"/>
      <c r="H218" s="228"/>
      <c r="I218" s="228"/>
      <c r="J218" s="229"/>
      <c r="K218" s="227"/>
      <c r="L218" s="229"/>
      <c r="M218" s="229"/>
      <c r="N218" s="229"/>
      <c r="O218" s="309"/>
      <c r="P218" s="230" t="s">
        <v>327</v>
      </c>
      <c r="Q218" s="664"/>
      <c r="R218" s="324"/>
      <c r="S218" s="279"/>
      <c r="T218" s="229"/>
      <c r="U218" s="229"/>
      <c r="V218" s="229"/>
      <c r="W218" s="232"/>
      <c r="X218" s="232"/>
      <c r="Y218" s="232"/>
      <c r="Z218" s="233"/>
      <c r="AA218" s="234"/>
      <c r="AB218" s="235"/>
      <c r="AC218" s="236"/>
      <c r="AD218" s="235"/>
      <c r="AE218" s="237"/>
      <c r="AF218" s="233"/>
      <c r="AG218" s="664"/>
      <c r="AH218" s="238"/>
      <c r="AI218" s="239"/>
      <c r="AJ218" s="576"/>
      <c r="AK218" s="664"/>
      <c r="AL218" s="113"/>
      <c r="AM218" s="113"/>
      <c r="AN218" s="113"/>
      <c r="AO218" s="114"/>
      <c r="AP218" s="115"/>
      <c r="AQ218" s="115"/>
      <c r="AR218" s="115"/>
      <c r="AS218" s="115"/>
      <c r="AT218" s="116"/>
    </row>
    <row r="219" spans="1:46" ht="39" customHeight="1" x14ac:dyDescent="0.25">
      <c r="A219" s="1468">
        <v>218</v>
      </c>
      <c r="B219" s="141">
        <v>5</v>
      </c>
      <c r="C219" s="290" t="s">
        <v>288</v>
      </c>
      <c r="D219" s="291"/>
      <c r="E219" s="291" t="s">
        <v>47</v>
      </c>
      <c r="F219" s="291"/>
      <c r="G219" s="292" t="s">
        <v>289</v>
      </c>
      <c r="H219" s="293" t="s">
        <v>132</v>
      </c>
      <c r="I219" s="344">
        <v>144</v>
      </c>
      <c r="J219" s="256">
        <v>403</v>
      </c>
      <c r="K219" s="216"/>
      <c r="L219" s="281"/>
      <c r="M219" s="281"/>
      <c r="N219" s="245"/>
      <c r="O219" s="385" t="s">
        <v>2284</v>
      </c>
      <c r="P219" s="374"/>
      <c r="Q219" s="373" t="s">
        <v>1042</v>
      </c>
      <c r="R219" s="982" t="s">
        <v>2283</v>
      </c>
      <c r="S219" s="279">
        <v>36559</v>
      </c>
      <c r="T219" s="197"/>
      <c r="U219" s="251" t="s">
        <v>54</v>
      </c>
      <c r="V219" s="250"/>
      <c r="W219" s="197" t="s">
        <v>56</v>
      </c>
      <c r="X219" s="197" t="s">
        <v>475</v>
      </c>
      <c r="Y219" s="252"/>
      <c r="Z219" s="252"/>
      <c r="AA219" s="246"/>
      <c r="AB219" s="282"/>
      <c r="AC219" s="223"/>
      <c r="AD219" s="282"/>
      <c r="AE219" s="430"/>
      <c r="AF219" s="430"/>
      <c r="AG219" s="241"/>
      <c r="AH219" s="283"/>
      <c r="AI219" s="296"/>
      <c r="AJ219" s="348" t="s">
        <v>560</v>
      </c>
      <c r="AK219" s="348">
        <v>3</v>
      </c>
      <c r="AL219" s="145" t="s">
        <v>332</v>
      </c>
      <c r="AM219" s="145" t="s">
        <v>267</v>
      </c>
      <c r="AN219" s="130"/>
      <c r="AO219" s="130"/>
      <c r="AP219" s="115"/>
      <c r="AQ219" s="115"/>
      <c r="AR219" s="115"/>
      <c r="AS219" s="115"/>
      <c r="AT219" s="115"/>
    </row>
    <row r="220" spans="1:46" ht="39" customHeight="1" x14ac:dyDescent="0.25">
      <c r="A220" s="1468">
        <v>219</v>
      </c>
      <c r="B220" s="141">
        <v>3</v>
      </c>
      <c r="C220" s="356" t="s">
        <v>290</v>
      </c>
      <c r="D220" s="241" t="s">
        <v>134</v>
      </c>
      <c r="E220" s="241"/>
      <c r="F220" s="241"/>
      <c r="G220" s="261" t="s">
        <v>291</v>
      </c>
      <c r="H220" s="262" t="s">
        <v>85</v>
      </c>
      <c r="I220" s="346"/>
      <c r="J220" s="245" t="s">
        <v>556</v>
      </c>
      <c r="K220" s="216"/>
      <c r="L220" s="288" t="s">
        <v>1526</v>
      </c>
      <c r="M220" s="288" t="s">
        <v>1526</v>
      </c>
      <c r="N220" s="374"/>
      <c r="O220" s="385" t="s">
        <v>1547</v>
      </c>
      <c r="P220" s="374"/>
      <c r="Q220" s="373" t="s">
        <v>85</v>
      </c>
      <c r="R220" s="982" t="s">
        <v>1548</v>
      </c>
      <c r="S220" s="279">
        <v>26053</v>
      </c>
      <c r="T220" s="197"/>
      <c r="U220" s="251" t="s">
        <v>54</v>
      </c>
      <c r="V220" s="250" t="s">
        <v>2793</v>
      </c>
      <c r="W220" s="197" t="s">
        <v>56</v>
      </c>
      <c r="X220" s="197" t="s">
        <v>57</v>
      </c>
      <c r="Y220" s="197" t="s">
        <v>2609</v>
      </c>
      <c r="Z220" s="246">
        <v>45141</v>
      </c>
      <c r="AA220" s="388"/>
      <c r="AB220" s="288"/>
      <c r="AC220" s="223"/>
      <c r="AD220" s="288"/>
      <c r="AE220" s="384"/>
      <c r="AF220" s="384"/>
      <c r="AG220" s="392"/>
      <c r="AH220" s="283"/>
      <c r="AI220" s="254"/>
      <c r="AJ220" s="348" t="s">
        <v>560</v>
      </c>
      <c r="AK220" s="241">
        <v>4</v>
      </c>
      <c r="AL220" s="153" t="s">
        <v>332</v>
      </c>
      <c r="AM220" s="153" t="s">
        <v>267</v>
      </c>
      <c r="AN220" s="110" t="s">
        <v>4184</v>
      </c>
      <c r="AO220" s="130"/>
      <c r="AP220" s="115"/>
      <c r="AQ220" s="115"/>
      <c r="AR220" s="115"/>
      <c r="AS220" s="115"/>
      <c r="AT220" s="115"/>
    </row>
    <row r="221" spans="1:46" ht="39" customHeight="1" x14ac:dyDescent="0.25">
      <c r="A221" s="1468">
        <v>220</v>
      </c>
      <c r="B221" s="141">
        <v>3</v>
      </c>
      <c r="C221" s="358" t="s">
        <v>297</v>
      </c>
      <c r="D221" s="241" t="s">
        <v>134</v>
      </c>
      <c r="E221" s="241"/>
      <c r="F221" s="241"/>
      <c r="G221" s="261" t="s">
        <v>298</v>
      </c>
      <c r="H221" s="262" t="s">
        <v>85</v>
      </c>
      <c r="I221" s="346"/>
      <c r="J221" s="245" t="s">
        <v>556</v>
      </c>
      <c r="K221" s="216"/>
      <c r="L221" s="685"/>
      <c r="M221" s="685"/>
      <c r="N221" s="684"/>
      <c r="O221" s="385" t="s">
        <v>2222</v>
      </c>
      <c r="P221" s="374"/>
      <c r="Q221" s="344" t="s">
        <v>85</v>
      </c>
      <c r="R221" s="982" t="s">
        <v>2221</v>
      </c>
      <c r="S221" s="279">
        <v>37205</v>
      </c>
      <c r="T221" s="684"/>
      <c r="U221" s="251" t="s">
        <v>886</v>
      </c>
      <c r="V221" s="197" t="s">
        <v>5933</v>
      </c>
      <c r="W221" s="197" t="s">
        <v>886</v>
      </c>
      <c r="X221" s="197" t="s">
        <v>886</v>
      </c>
      <c r="Y221" s="949"/>
      <c r="Z221" s="246">
        <v>45304</v>
      </c>
      <c r="AA221" s="684"/>
      <c r="AB221" s="1290"/>
      <c r="AC221" s="684"/>
      <c r="AD221" s="686"/>
      <c r="AE221" s="684"/>
      <c r="AF221" s="684"/>
      <c r="AG221" s="684"/>
      <c r="AH221" s="684"/>
      <c r="AI221" s="685"/>
      <c r="AJ221" s="348" t="s">
        <v>560</v>
      </c>
      <c r="AK221" s="241">
        <v>4</v>
      </c>
      <c r="AL221" s="153" t="s">
        <v>332</v>
      </c>
      <c r="AM221" s="153" t="s">
        <v>267</v>
      </c>
      <c r="AN221" s="130"/>
      <c r="AO221" s="130"/>
      <c r="AP221" s="115"/>
      <c r="AQ221" s="115"/>
      <c r="AR221" s="115"/>
      <c r="AS221" s="115"/>
      <c r="AT221" s="116"/>
    </row>
    <row r="222" spans="1:46" ht="39" customHeight="1" x14ac:dyDescent="0.25">
      <c r="A222" s="1468">
        <v>221</v>
      </c>
      <c r="B222" s="141">
        <v>2</v>
      </c>
      <c r="C222" s="260" t="s">
        <v>311</v>
      </c>
      <c r="D222" s="241"/>
      <c r="E222" s="241"/>
      <c r="F222" s="241"/>
      <c r="G222" s="261" t="s">
        <v>312</v>
      </c>
      <c r="H222" s="262" t="s">
        <v>85</v>
      </c>
      <c r="I222" s="346"/>
      <c r="J222" s="245" t="s">
        <v>556</v>
      </c>
      <c r="K222" s="216"/>
      <c r="L222" s="281"/>
      <c r="M222" s="281"/>
      <c r="N222" s="245"/>
      <c r="O222" s="216" t="s">
        <v>3416</v>
      </c>
      <c r="P222" s="402" t="s">
        <v>1828</v>
      </c>
      <c r="Q222" s="373" t="s">
        <v>87</v>
      </c>
      <c r="R222" s="982" t="s">
        <v>3415</v>
      </c>
      <c r="S222" s="279">
        <v>30652</v>
      </c>
      <c r="T222" s="252"/>
      <c r="U222" s="251" t="s">
        <v>54</v>
      </c>
      <c r="V222" s="197" t="s">
        <v>4047</v>
      </c>
      <c r="W222" s="268" t="s">
        <v>56</v>
      </c>
      <c r="X222" s="268" t="s">
        <v>57</v>
      </c>
      <c r="Y222" s="197" t="s">
        <v>2609</v>
      </c>
      <c r="Z222" s="246">
        <v>45231</v>
      </c>
      <c r="AA222" s="252"/>
      <c r="AB222" s="282"/>
      <c r="AC222" s="223"/>
      <c r="AD222" s="282"/>
      <c r="AE222" s="252"/>
      <c r="AF222" s="252"/>
      <c r="AG222" s="282"/>
      <c r="AH222" s="283"/>
      <c r="AI222" s="328"/>
      <c r="AJ222" s="348" t="s">
        <v>560</v>
      </c>
      <c r="AK222" s="241">
        <v>4</v>
      </c>
      <c r="AL222" s="153" t="s">
        <v>332</v>
      </c>
      <c r="AM222" s="153" t="s">
        <v>267</v>
      </c>
      <c r="AN222" s="130"/>
      <c r="AO222" s="130"/>
      <c r="AP222" s="115"/>
      <c r="AQ222" s="115"/>
      <c r="AR222" s="115"/>
      <c r="AS222" s="115"/>
      <c r="AT222" s="115"/>
    </row>
    <row r="223" spans="1:46" ht="39" customHeight="1" x14ac:dyDescent="0.25">
      <c r="A223" s="1468">
        <v>222</v>
      </c>
      <c r="B223" s="141">
        <v>2</v>
      </c>
      <c r="C223" s="260" t="s">
        <v>317</v>
      </c>
      <c r="D223" s="241"/>
      <c r="E223" s="241"/>
      <c r="F223" s="241"/>
      <c r="G223" s="261" t="s">
        <v>318</v>
      </c>
      <c r="H223" s="262" t="s">
        <v>87</v>
      </c>
      <c r="I223" s="357"/>
      <c r="J223" s="245" t="s">
        <v>561</v>
      </c>
      <c r="K223" s="257"/>
      <c r="L223" s="281" t="s">
        <v>1860</v>
      </c>
      <c r="M223" s="281" t="s">
        <v>1860</v>
      </c>
      <c r="N223" s="366"/>
      <c r="O223" s="950" t="s">
        <v>3324</v>
      </c>
      <c r="P223" s="402" t="s">
        <v>1828</v>
      </c>
      <c r="Q223" s="344" t="s">
        <v>87</v>
      </c>
      <c r="R223" s="982" t="s">
        <v>3304</v>
      </c>
      <c r="S223" s="279">
        <v>35514</v>
      </c>
      <c r="T223" s="197"/>
      <c r="U223" s="251" t="s">
        <v>54</v>
      </c>
      <c r="V223" s="250" t="s">
        <v>1922</v>
      </c>
      <c r="W223" s="197" t="s">
        <v>56</v>
      </c>
      <c r="X223" s="197" t="s">
        <v>57</v>
      </c>
      <c r="Y223" s="252" t="s">
        <v>1933</v>
      </c>
      <c r="Z223" s="252">
        <v>45133</v>
      </c>
      <c r="AA223" s="246"/>
      <c r="AB223" s="361"/>
      <c r="AC223" s="223"/>
      <c r="AD223" s="376"/>
      <c r="AE223" s="258"/>
      <c r="AF223" s="258"/>
      <c r="AG223" s="241"/>
      <c r="AH223" s="283"/>
      <c r="AI223" s="254"/>
      <c r="AJ223" s="348" t="s">
        <v>560</v>
      </c>
      <c r="AK223" s="241">
        <v>4</v>
      </c>
      <c r="AL223" s="153" t="s">
        <v>332</v>
      </c>
      <c r="AM223" s="153" t="s">
        <v>267</v>
      </c>
      <c r="AN223" s="110"/>
      <c r="AO223" s="110"/>
      <c r="AP223" s="115"/>
      <c r="AQ223" s="115"/>
      <c r="AR223" s="115"/>
      <c r="AS223" s="115"/>
      <c r="AT223" s="115"/>
    </row>
    <row r="224" spans="1:46" ht="39" customHeight="1" x14ac:dyDescent="0.25">
      <c r="A224" s="1468">
        <v>223</v>
      </c>
      <c r="B224" s="146">
        <v>2</v>
      </c>
      <c r="C224" s="260" t="s">
        <v>319</v>
      </c>
      <c r="D224" s="241"/>
      <c r="E224" s="241"/>
      <c r="F224" s="241"/>
      <c r="G224" s="261" t="s">
        <v>320</v>
      </c>
      <c r="H224" s="262" t="s">
        <v>87</v>
      </c>
      <c r="I224" s="357"/>
      <c r="J224" s="245" t="s">
        <v>561</v>
      </c>
      <c r="K224" s="197"/>
      <c r="L224" s="301"/>
      <c r="M224" s="216"/>
      <c r="N224" s="366"/>
      <c r="O224" s="950" t="s">
        <v>2483</v>
      </c>
      <c r="P224" s="402"/>
      <c r="Q224" s="485" t="s">
        <v>293</v>
      </c>
      <c r="R224" s="998" t="s">
        <v>2482</v>
      </c>
      <c r="S224" s="279">
        <v>34158</v>
      </c>
      <c r="T224" s="250"/>
      <c r="U224" s="251" t="s">
        <v>54</v>
      </c>
      <c r="V224" s="250" t="s">
        <v>2793</v>
      </c>
      <c r="W224" s="197" t="s">
        <v>56</v>
      </c>
      <c r="X224" s="197" t="s">
        <v>57</v>
      </c>
      <c r="Y224" s="197" t="s">
        <v>2609</v>
      </c>
      <c r="Z224" s="246">
        <v>45186</v>
      </c>
      <c r="AA224" s="252"/>
      <c r="AB224" s="197"/>
      <c r="AC224" s="223"/>
      <c r="AD224" s="197"/>
      <c r="AE224" s="252"/>
      <c r="AF224" s="252"/>
      <c r="AG224" s="282"/>
      <c r="AH224" s="283"/>
      <c r="AI224" s="386"/>
      <c r="AJ224" s="348" t="s">
        <v>560</v>
      </c>
      <c r="AK224" s="241">
        <v>4</v>
      </c>
      <c r="AL224" s="153" t="s">
        <v>332</v>
      </c>
      <c r="AM224" s="153" t="s">
        <v>267</v>
      </c>
      <c r="AN224" s="110"/>
      <c r="AO224" s="110"/>
      <c r="AP224" s="115"/>
      <c r="AQ224" s="115"/>
      <c r="AR224" s="115"/>
      <c r="AS224" s="115"/>
      <c r="AT224" s="116"/>
    </row>
    <row r="225" spans="1:46" ht="39" customHeight="1" x14ac:dyDescent="0.25">
      <c r="A225" s="1468">
        <v>224</v>
      </c>
      <c r="B225" s="141">
        <v>2</v>
      </c>
      <c r="C225" s="378" t="s">
        <v>321</v>
      </c>
      <c r="D225" s="303"/>
      <c r="E225" s="241"/>
      <c r="F225" s="241"/>
      <c r="G225" s="261" t="s">
        <v>322</v>
      </c>
      <c r="H225" s="262" t="s">
        <v>87</v>
      </c>
      <c r="I225" s="357"/>
      <c r="J225" s="245" t="s">
        <v>561</v>
      </c>
      <c r="K225" s="257"/>
      <c r="L225" s="299"/>
      <c r="M225" s="299"/>
      <c r="N225" s="299"/>
      <c r="O225" s="216" t="s">
        <v>2732</v>
      </c>
      <c r="P225" s="484" t="s">
        <v>1828</v>
      </c>
      <c r="Q225" s="344" t="s">
        <v>293</v>
      </c>
      <c r="R225" s="982" t="s">
        <v>2731</v>
      </c>
      <c r="S225" s="279">
        <v>28502</v>
      </c>
      <c r="T225" s="289"/>
      <c r="U225" s="251" t="s">
        <v>54</v>
      </c>
      <c r="V225" s="250" t="s">
        <v>2793</v>
      </c>
      <c r="W225" s="197" t="s">
        <v>56</v>
      </c>
      <c r="X225" s="197" t="s">
        <v>57</v>
      </c>
      <c r="Y225" s="197" t="s">
        <v>2609</v>
      </c>
      <c r="Z225" s="246">
        <v>45145</v>
      </c>
      <c r="AA225" s="289"/>
      <c r="AB225" s="299"/>
      <c r="AC225" s="223"/>
      <c r="AD225" s="299"/>
      <c r="AE225" s="289"/>
      <c r="AF225" s="289"/>
      <c r="AG225" s="299"/>
      <c r="AH225" s="299"/>
      <c r="AI225" s="223"/>
      <c r="AJ225" s="348" t="s">
        <v>560</v>
      </c>
      <c r="AK225" s="241">
        <v>4</v>
      </c>
      <c r="AL225" s="153" t="s">
        <v>332</v>
      </c>
      <c r="AM225" s="153" t="s">
        <v>267</v>
      </c>
      <c r="AN225" s="110"/>
      <c r="AO225" s="110"/>
      <c r="AP225" s="115"/>
      <c r="AQ225" s="115"/>
      <c r="AR225" s="115"/>
      <c r="AS225" s="115"/>
      <c r="AT225" s="115"/>
    </row>
    <row r="226" spans="1:46" ht="39" customHeight="1" x14ac:dyDescent="0.25">
      <c r="A226" s="1468">
        <v>225</v>
      </c>
      <c r="B226" s="141">
        <v>1</v>
      </c>
      <c r="C226" s="378" t="s">
        <v>323</v>
      </c>
      <c r="D226" s="303"/>
      <c r="E226" s="241"/>
      <c r="F226" s="241"/>
      <c r="G226" s="261" t="s">
        <v>324</v>
      </c>
      <c r="H226" s="262" t="s">
        <v>87</v>
      </c>
      <c r="I226" s="357"/>
      <c r="J226" s="245" t="s">
        <v>561</v>
      </c>
      <c r="K226" s="257"/>
      <c r="L226" s="301" t="s">
        <v>1860</v>
      </c>
      <c r="M226" s="301" t="s">
        <v>1860</v>
      </c>
      <c r="N226" s="299"/>
      <c r="O226" s="950" t="s">
        <v>1941</v>
      </c>
      <c r="P226" s="484" t="s">
        <v>1828</v>
      </c>
      <c r="Q226" s="344" t="s">
        <v>293</v>
      </c>
      <c r="R226" s="982" t="s">
        <v>1942</v>
      </c>
      <c r="S226" s="279">
        <v>23394</v>
      </c>
      <c r="T226" s="289"/>
      <c r="U226" s="251" t="s">
        <v>54</v>
      </c>
      <c r="V226" s="250" t="s">
        <v>1922</v>
      </c>
      <c r="W226" s="197" t="s">
        <v>56</v>
      </c>
      <c r="X226" s="197" t="s">
        <v>57</v>
      </c>
      <c r="Y226" s="252" t="s">
        <v>1933</v>
      </c>
      <c r="Z226" s="252">
        <v>45133</v>
      </c>
      <c r="AA226" s="289"/>
      <c r="AB226" s="299"/>
      <c r="AC226" s="223"/>
      <c r="AD226" s="299"/>
      <c r="AE226" s="289"/>
      <c r="AF226" s="289"/>
      <c r="AG226" s="299"/>
      <c r="AH226" s="299"/>
      <c r="AI226" s="254"/>
      <c r="AJ226" s="348" t="s">
        <v>560</v>
      </c>
      <c r="AK226" s="241">
        <v>4</v>
      </c>
      <c r="AL226" s="153" t="s">
        <v>332</v>
      </c>
      <c r="AM226" s="153" t="s">
        <v>267</v>
      </c>
      <c r="AN226" s="120"/>
      <c r="AO226" s="1154"/>
      <c r="AP226" s="1155"/>
      <c r="AQ226" s="164"/>
      <c r="AR226" s="115"/>
      <c r="AS226" s="115"/>
      <c r="AT226" s="115"/>
    </row>
    <row r="227" spans="1:46" ht="39" customHeight="1" x14ac:dyDescent="0.25">
      <c r="A227" s="1468">
        <v>226</v>
      </c>
      <c r="B227" s="141">
        <v>1</v>
      </c>
      <c r="C227" s="260" t="s">
        <v>325</v>
      </c>
      <c r="D227" s="241"/>
      <c r="E227" s="241"/>
      <c r="F227" s="241"/>
      <c r="G227" s="261" t="s">
        <v>324</v>
      </c>
      <c r="H227" s="262" t="s">
        <v>87</v>
      </c>
      <c r="I227" s="357"/>
      <c r="J227" s="245" t="s">
        <v>561</v>
      </c>
      <c r="K227" s="197"/>
      <c r="L227" s="281" t="s">
        <v>1848</v>
      </c>
      <c r="M227" s="281" t="s">
        <v>1848</v>
      </c>
      <c r="N227" s="299"/>
      <c r="O227" s="950" t="s">
        <v>1879</v>
      </c>
      <c r="P227" s="484" t="s">
        <v>1828</v>
      </c>
      <c r="Q227" s="373" t="s">
        <v>87</v>
      </c>
      <c r="R227" s="982" t="s">
        <v>1878</v>
      </c>
      <c r="S227" s="279">
        <v>31668</v>
      </c>
      <c r="T227" s="197"/>
      <c r="U227" s="251" t="s">
        <v>54</v>
      </c>
      <c r="V227" s="250" t="s">
        <v>1922</v>
      </c>
      <c r="W227" s="197" t="s">
        <v>56</v>
      </c>
      <c r="X227" s="197" t="s">
        <v>57</v>
      </c>
      <c r="Y227" s="252" t="s">
        <v>1933</v>
      </c>
      <c r="Z227" s="252">
        <v>45133</v>
      </c>
      <c r="AA227" s="289"/>
      <c r="AB227" s="299"/>
      <c r="AC227" s="223"/>
      <c r="AD227" s="299"/>
      <c r="AE227" s="289"/>
      <c r="AF227" s="289"/>
      <c r="AG227" s="299"/>
      <c r="AH227" s="299"/>
      <c r="AI227" s="296"/>
      <c r="AJ227" s="348" t="s">
        <v>560</v>
      </c>
      <c r="AK227" s="241">
        <v>4</v>
      </c>
      <c r="AL227" s="153" t="s">
        <v>332</v>
      </c>
      <c r="AM227" s="153" t="s">
        <v>267</v>
      </c>
      <c r="AN227" s="110"/>
      <c r="AO227" s="110"/>
      <c r="AP227" s="115"/>
      <c r="AQ227" s="115"/>
      <c r="AR227" s="115"/>
      <c r="AS227" s="115"/>
      <c r="AT227" s="115"/>
    </row>
    <row r="228" spans="1:46" ht="39" customHeight="1" x14ac:dyDescent="0.25">
      <c r="A228" s="1468">
        <v>227</v>
      </c>
      <c r="B228" s="117"/>
      <c r="C228" s="989"/>
      <c r="D228" s="664"/>
      <c r="E228" s="664"/>
      <c r="F228" s="664"/>
      <c r="G228" s="227"/>
      <c r="H228" s="228"/>
      <c r="I228" s="228"/>
      <c r="J228" s="229"/>
      <c r="K228" s="227"/>
      <c r="L228" s="229"/>
      <c r="M228" s="229"/>
      <c r="N228" s="229"/>
      <c r="O228" s="309"/>
      <c r="P228" s="230" t="s">
        <v>328</v>
      </c>
      <c r="Q228" s="664"/>
      <c r="R228" s="324"/>
      <c r="S228" s="279"/>
      <c r="T228" s="229"/>
      <c r="U228" s="229"/>
      <c r="V228" s="229"/>
      <c r="W228" s="232"/>
      <c r="X228" s="232"/>
      <c r="Y228" s="232"/>
      <c r="Z228" s="233"/>
      <c r="AA228" s="234"/>
      <c r="AB228" s="235"/>
      <c r="AC228" s="236"/>
      <c r="AD228" s="235"/>
      <c r="AE228" s="237"/>
      <c r="AF228" s="233"/>
      <c r="AG228" s="664"/>
      <c r="AH228" s="238"/>
      <c r="AI228" s="239"/>
      <c r="AJ228" s="576"/>
      <c r="AK228" s="664"/>
      <c r="AL228" s="113"/>
      <c r="AM228" s="113"/>
      <c r="AN228" s="113"/>
      <c r="AO228" s="114"/>
      <c r="AP228" s="115"/>
      <c r="AQ228" s="115"/>
      <c r="AR228" s="115"/>
      <c r="AS228" s="115"/>
      <c r="AT228" s="116"/>
    </row>
    <row r="229" spans="1:46" ht="39" customHeight="1" x14ac:dyDescent="0.25">
      <c r="A229" s="1468">
        <v>228</v>
      </c>
      <c r="B229" s="141">
        <v>10</v>
      </c>
      <c r="C229" s="240" t="s">
        <v>305</v>
      </c>
      <c r="D229" s="242"/>
      <c r="E229" s="242" t="s">
        <v>47</v>
      </c>
      <c r="F229" s="242"/>
      <c r="G229" s="243" t="s">
        <v>91</v>
      </c>
      <c r="H229" s="244" t="s">
        <v>83</v>
      </c>
      <c r="I229" s="340"/>
      <c r="J229" s="245">
        <v>302</v>
      </c>
      <c r="K229" s="197" t="s">
        <v>50</v>
      </c>
      <c r="L229" s="281" t="s">
        <v>2093</v>
      </c>
      <c r="M229" s="281" t="s">
        <v>2093</v>
      </c>
      <c r="N229" s="245"/>
      <c r="O229" s="216" t="s">
        <v>3344</v>
      </c>
      <c r="P229" s="247"/>
      <c r="Q229" s="242" t="s">
        <v>83</v>
      </c>
      <c r="R229" s="990" t="s">
        <v>2091</v>
      </c>
      <c r="S229" s="279">
        <v>31384</v>
      </c>
      <c r="T229" s="250"/>
      <c r="U229" s="251" t="s">
        <v>54</v>
      </c>
      <c r="V229" s="197" t="s">
        <v>2378</v>
      </c>
      <c r="W229" s="819" t="s">
        <v>56</v>
      </c>
      <c r="X229" s="819" t="s">
        <v>57</v>
      </c>
      <c r="Y229" s="949" t="s">
        <v>2379</v>
      </c>
      <c r="Z229" s="246">
        <v>45177</v>
      </c>
      <c r="AA229" s="252"/>
      <c r="AB229" s="245"/>
      <c r="AC229" s="223"/>
      <c r="AD229" s="281"/>
      <c r="AE229" s="252"/>
      <c r="AF229" s="252"/>
      <c r="AG229" s="282"/>
      <c r="AH229" s="283"/>
      <c r="AI229" s="296"/>
      <c r="AJ229" s="255" t="s">
        <v>62</v>
      </c>
      <c r="AK229" s="242">
        <v>1</v>
      </c>
      <c r="AL229" s="123" t="s">
        <v>332</v>
      </c>
      <c r="AM229" s="123" t="s">
        <v>267</v>
      </c>
      <c r="AN229" s="124"/>
      <c r="AO229" s="124"/>
      <c r="AP229" s="115"/>
      <c r="AQ229" s="115"/>
      <c r="AR229" s="115"/>
      <c r="AS229" s="115"/>
      <c r="AT229" s="115"/>
    </row>
    <row r="230" spans="1:46" ht="39" customHeight="1" x14ac:dyDescent="0.25">
      <c r="A230" s="1468">
        <v>229</v>
      </c>
      <c r="B230" s="117"/>
      <c r="C230" s="989"/>
      <c r="D230" s="664"/>
      <c r="E230" s="664"/>
      <c r="F230" s="664"/>
      <c r="G230" s="227"/>
      <c r="H230" s="228"/>
      <c r="I230" s="228"/>
      <c r="J230" s="229"/>
      <c r="K230" s="227"/>
      <c r="L230" s="229"/>
      <c r="M230" s="229"/>
      <c r="N230" s="229"/>
      <c r="O230" s="309"/>
      <c r="P230" s="230" t="s">
        <v>306</v>
      </c>
      <c r="Q230" s="664"/>
      <c r="R230" s="324"/>
      <c r="S230" s="279"/>
      <c r="T230" s="229"/>
      <c r="U230" s="229"/>
      <c r="V230" s="229"/>
      <c r="W230" s="232"/>
      <c r="X230" s="232"/>
      <c r="Y230" s="232"/>
      <c r="Z230" s="233"/>
      <c r="AA230" s="234"/>
      <c r="AB230" s="235"/>
      <c r="AC230" s="236"/>
      <c r="AD230" s="235"/>
      <c r="AE230" s="237"/>
      <c r="AF230" s="233"/>
      <c r="AG230" s="664"/>
      <c r="AH230" s="238"/>
      <c r="AI230" s="239"/>
      <c r="AJ230" s="576"/>
      <c r="AK230" s="664"/>
      <c r="AL230" s="113"/>
      <c r="AM230" s="113"/>
      <c r="AN230" s="113"/>
      <c r="AO230" s="114"/>
      <c r="AP230" s="115"/>
      <c r="AQ230" s="115"/>
      <c r="AR230" s="115"/>
      <c r="AS230" s="115"/>
      <c r="AT230" s="116"/>
    </row>
    <row r="231" spans="1:46" ht="39" customHeight="1" x14ac:dyDescent="0.25">
      <c r="A231" s="1468">
        <v>230</v>
      </c>
      <c r="B231" s="141">
        <v>7</v>
      </c>
      <c r="C231" s="290" t="s">
        <v>307</v>
      </c>
      <c r="D231" s="291"/>
      <c r="E231" s="291" t="s">
        <v>47</v>
      </c>
      <c r="F231" s="291"/>
      <c r="G231" s="292" t="s">
        <v>308</v>
      </c>
      <c r="H231" s="293" t="s">
        <v>132</v>
      </c>
      <c r="I231" s="371" t="s">
        <v>309</v>
      </c>
      <c r="J231" s="256">
        <v>403</v>
      </c>
      <c r="K231" s="257"/>
      <c r="L231" s="299"/>
      <c r="M231" s="299"/>
      <c r="N231" s="299"/>
      <c r="O231" s="216"/>
      <c r="P231" s="300"/>
      <c r="Q231" s="344"/>
      <c r="R231" s="683" t="s">
        <v>66</v>
      </c>
      <c r="S231" s="279"/>
      <c r="T231" s="684"/>
      <c r="U231" s="250"/>
      <c r="V231" s="250"/>
      <c r="W231" s="197"/>
      <c r="X231" s="197"/>
      <c r="Y231" s="197"/>
      <c r="Z231" s="246"/>
      <c r="AA231" s="684"/>
      <c r="AB231" s="1290"/>
      <c r="AC231" s="684"/>
      <c r="AD231" s="686"/>
      <c r="AE231" s="684"/>
      <c r="AF231" s="684"/>
      <c r="AG231" s="684"/>
      <c r="AH231" s="684"/>
      <c r="AI231" s="685"/>
      <c r="AJ231" s="348"/>
      <c r="AK231" s="348">
        <v>3</v>
      </c>
      <c r="AL231" s="145" t="s">
        <v>332</v>
      </c>
      <c r="AM231" s="145" t="s">
        <v>267</v>
      </c>
      <c r="AN231" s="130"/>
      <c r="AO231" s="130"/>
      <c r="AP231" s="115"/>
      <c r="AQ231" s="115"/>
      <c r="AR231" s="115"/>
      <c r="AS231" s="115"/>
      <c r="AT231" s="115"/>
    </row>
    <row r="232" spans="1:46" ht="39" customHeight="1" x14ac:dyDescent="0.25">
      <c r="A232" s="1468">
        <v>231</v>
      </c>
      <c r="B232" s="141">
        <v>3</v>
      </c>
      <c r="C232" s="356" t="s">
        <v>290</v>
      </c>
      <c r="D232" s="241" t="s">
        <v>134</v>
      </c>
      <c r="E232" s="241"/>
      <c r="F232" s="241"/>
      <c r="G232" s="261" t="s">
        <v>291</v>
      </c>
      <c r="H232" s="262" t="s">
        <v>85</v>
      </c>
      <c r="I232" s="346"/>
      <c r="J232" s="245" t="s">
        <v>556</v>
      </c>
      <c r="K232" s="301"/>
      <c r="L232" s="288" t="s">
        <v>2374</v>
      </c>
      <c r="M232" s="288" t="s">
        <v>2374</v>
      </c>
      <c r="N232" s="305"/>
      <c r="O232" s="392" t="s">
        <v>3182</v>
      </c>
      <c r="P232" s="301"/>
      <c r="Q232" s="485" t="s">
        <v>87</v>
      </c>
      <c r="R232" s="982" t="s">
        <v>3273</v>
      </c>
      <c r="S232" s="279">
        <v>35814</v>
      </c>
      <c r="T232" s="306"/>
      <c r="U232" s="251" t="s">
        <v>54</v>
      </c>
      <c r="V232" s="197" t="s">
        <v>2378</v>
      </c>
      <c r="W232" s="819" t="s">
        <v>56</v>
      </c>
      <c r="X232" s="819" t="s">
        <v>57</v>
      </c>
      <c r="Y232" s="949" t="s">
        <v>2379</v>
      </c>
      <c r="Z232" s="246">
        <v>45177</v>
      </c>
      <c r="AA232" s="301"/>
      <c r="AB232" s="301"/>
      <c r="AC232" s="223"/>
      <c r="AD232" s="306"/>
      <c r="AE232" s="306"/>
      <c r="AF232" s="306"/>
      <c r="AG232" s="305"/>
      <c r="AH232" s="283"/>
      <c r="AI232" s="296"/>
      <c r="AJ232" s="348" t="s">
        <v>560</v>
      </c>
      <c r="AK232" s="241">
        <v>4</v>
      </c>
      <c r="AL232" s="153" t="s">
        <v>332</v>
      </c>
      <c r="AM232" s="153" t="s">
        <v>267</v>
      </c>
      <c r="AN232" s="110" t="s">
        <v>4184</v>
      </c>
      <c r="AO232" s="130"/>
      <c r="AP232" s="115"/>
      <c r="AQ232" s="115"/>
      <c r="AR232" s="115"/>
      <c r="AS232" s="115"/>
      <c r="AT232" s="115"/>
    </row>
    <row r="233" spans="1:46" ht="39" customHeight="1" x14ac:dyDescent="0.25">
      <c r="A233" s="1468">
        <v>232</v>
      </c>
      <c r="B233" s="141">
        <v>3</v>
      </c>
      <c r="C233" s="358" t="s">
        <v>297</v>
      </c>
      <c r="D233" s="241" t="s">
        <v>134</v>
      </c>
      <c r="E233" s="241"/>
      <c r="F233" s="241"/>
      <c r="G233" s="261" t="s">
        <v>298</v>
      </c>
      <c r="H233" s="262" t="s">
        <v>85</v>
      </c>
      <c r="I233" s="346"/>
      <c r="J233" s="245" t="s">
        <v>556</v>
      </c>
      <c r="K233" s="257"/>
      <c r="L233" s="299"/>
      <c r="M233" s="299"/>
      <c r="N233" s="299"/>
      <c r="O233" s="216" t="s">
        <v>2292</v>
      </c>
      <c r="P233" s="359"/>
      <c r="Q233" s="344" t="s">
        <v>85</v>
      </c>
      <c r="R233" s="982" t="s">
        <v>2291</v>
      </c>
      <c r="S233" s="279">
        <v>36865</v>
      </c>
      <c r="T233" s="289"/>
      <c r="U233" s="251" t="s">
        <v>54</v>
      </c>
      <c r="V233" s="250" t="s">
        <v>2793</v>
      </c>
      <c r="W233" s="197" t="s">
        <v>56</v>
      </c>
      <c r="X233" s="197" t="s">
        <v>57</v>
      </c>
      <c r="Y233" s="197" t="s">
        <v>2609</v>
      </c>
      <c r="Z233" s="246">
        <v>45139</v>
      </c>
      <c r="AA233" s="289"/>
      <c r="AB233" s="299"/>
      <c r="AC233" s="223"/>
      <c r="AD233" s="299"/>
      <c r="AE233" s="289"/>
      <c r="AF233" s="289"/>
      <c r="AG233" s="299"/>
      <c r="AH233" s="299"/>
      <c r="AI233" s="223"/>
      <c r="AJ233" s="348" t="s">
        <v>560</v>
      </c>
      <c r="AK233" s="241">
        <v>4</v>
      </c>
      <c r="AL233" s="153" t="s">
        <v>332</v>
      </c>
      <c r="AM233" s="153" t="s">
        <v>267</v>
      </c>
      <c r="AN233" s="130"/>
      <c r="AO233" s="130"/>
      <c r="AP233" s="115"/>
      <c r="AQ233" s="115"/>
      <c r="AR233" s="115"/>
      <c r="AS233" s="115"/>
      <c r="AT233" s="116"/>
    </row>
    <row r="234" spans="1:46" ht="39" customHeight="1" x14ac:dyDescent="0.25">
      <c r="A234" s="1468">
        <v>233</v>
      </c>
      <c r="B234" s="141">
        <v>2</v>
      </c>
      <c r="C234" s="260" t="s">
        <v>311</v>
      </c>
      <c r="D234" s="241"/>
      <c r="E234" s="241"/>
      <c r="F234" s="241"/>
      <c r="G234" s="261" t="s">
        <v>312</v>
      </c>
      <c r="H234" s="262" t="s">
        <v>85</v>
      </c>
      <c r="I234" s="346"/>
      <c r="J234" s="245" t="s">
        <v>556</v>
      </c>
      <c r="K234" s="216"/>
      <c r="L234" s="299"/>
      <c r="M234" s="299"/>
      <c r="N234" s="245"/>
      <c r="O234" s="385" t="s">
        <v>3410</v>
      </c>
      <c r="P234" s="402" t="s">
        <v>1828</v>
      </c>
      <c r="Q234" s="344" t="s">
        <v>293</v>
      </c>
      <c r="R234" s="982" t="s">
        <v>3409</v>
      </c>
      <c r="S234" s="279">
        <v>29685</v>
      </c>
      <c r="T234" s="289"/>
      <c r="U234" s="251" t="s">
        <v>54</v>
      </c>
      <c r="V234" s="197" t="s">
        <v>4047</v>
      </c>
      <c r="W234" s="268" t="s">
        <v>56</v>
      </c>
      <c r="X234" s="268" t="s">
        <v>57</v>
      </c>
      <c r="Y234" s="197" t="s">
        <v>2609</v>
      </c>
      <c r="Z234" s="246">
        <v>45231</v>
      </c>
      <c r="AA234" s="281"/>
      <c r="AB234" s="245"/>
      <c r="AC234" s="223"/>
      <c r="AD234" s="245"/>
      <c r="AE234" s="289"/>
      <c r="AF234" s="289"/>
      <c r="AG234" s="241"/>
      <c r="AH234" s="253"/>
      <c r="AI234" s="284"/>
      <c r="AJ234" s="348" t="s">
        <v>560</v>
      </c>
      <c r="AK234" s="241">
        <v>4</v>
      </c>
      <c r="AL234" s="153" t="s">
        <v>332</v>
      </c>
      <c r="AM234" s="153" t="s">
        <v>267</v>
      </c>
      <c r="AN234" s="130"/>
      <c r="AO234" s="130"/>
      <c r="AP234" s="115"/>
      <c r="AQ234" s="115"/>
      <c r="AR234" s="115"/>
      <c r="AS234" s="115"/>
      <c r="AT234" s="115"/>
    </row>
    <row r="235" spans="1:46" ht="39" customHeight="1" x14ac:dyDescent="0.25">
      <c r="A235" s="1468">
        <v>234</v>
      </c>
      <c r="B235" s="141">
        <v>2</v>
      </c>
      <c r="C235" s="260" t="s">
        <v>317</v>
      </c>
      <c r="D235" s="241"/>
      <c r="E235" s="241"/>
      <c r="F235" s="241"/>
      <c r="G235" s="261" t="s">
        <v>318</v>
      </c>
      <c r="H235" s="262" t="s">
        <v>87</v>
      </c>
      <c r="I235" s="357"/>
      <c r="J235" s="245" t="s">
        <v>561</v>
      </c>
      <c r="K235" s="684"/>
      <c r="L235" s="685"/>
      <c r="M235" s="685"/>
      <c r="N235" s="684"/>
      <c r="O235" s="216" t="s">
        <v>2667</v>
      </c>
      <c r="P235" s="359"/>
      <c r="Q235" s="344" t="s">
        <v>87</v>
      </c>
      <c r="R235" s="982" t="s">
        <v>2666</v>
      </c>
      <c r="S235" s="279">
        <v>28029</v>
      </c>
      <c r="T235" s="684"/>
      <c r="U235" s="251" t="s">
        <v>54</v>
      </c>
      <c r="V235" s="250" t="s">
        <v>2793</v>
      </c>
      <c r="W235" s="197" t="s">
        <v>56</v>
      </c>
      <c r="X235" s="197" t="s">
        <v>57</v>
      </c>
      <c r="Y235" s="197" t="s">
        <v>2609</v>
      </c>
      <c r="Z235" s="246">
        <v>45141</v>
      </c>
      <c r="AA235" s="684"/>
      <c r="AB235" s="1290"/>
      <c r="AC235" s="684"/>
      <c r="AD235" s="686"/>
      <c r="AE235" s="684"/>
      <c r="AF235" s="684"/>
      <c r="AG235" s="684"/>
      <c r="AH235" s="684"/>
      <c r="AI235" s="685"/>
      <c r="AJ235" s="348" t="s">
        <v>560</v>
      </c>
      <c r="AK235" s="241">
        <v>4</v>
      </c>
      <c r="AL235" s="153" t="s">
        <v>332</v>
      </c>
      <c r="AM235" s="153" t="s">
        <v>267</v>
      </c>
      <c r="AN235" s="110"/>
      <c r="AO235" s="110"/>
      <c r="AP235" s="115"/>
      <c r="AQ235" s="115"/>
      <c r="AR235" s="115"/>
      <c r="AS235" s="115"/>
      <c r="AT235" s="115"/>
    </row>
    <row r="236" spans="1:46" ht="39" customHeight="1" x14ac:dyDescent="0.25">
      <c r="A236" s="1468">
        <v>235</v>
      </c>
      <c r="B236" s="146">
        <v>2</v>
      </c>
      <c r="C236" s="260" t="s">
        <v>319</v>
      </c>
      <c r="D236" s="241"/>
      <c r="E236" s="241"/>
      <c r="F236" s="241"/>
      <c r="G236" s="261" t="s">
        <v>320</v>
      </c>
      <c r="H236" s="262" t="s">
        <v>87</v>
      </c>
      <c r="I236" s="357"/>
      <c r="J236" s="245" t="s">
        <v>561</v>
      </c>
      <c r="K236" s="216"/>
      <c r="L236" s="281"/>
      <c r="M236" s="281"/>
      <c r="N236" s="245"/>
      <c r="O236" s="216" t="s">
        <v>3426</v>
      </c>
      <c r="P236" s="402" t="s">
        <v>1828</v>
      </c>
      <c r="Q236" s="373" t="s">
        <v>87</v>
      </c>
      <c r="R236" s="982" t="s">
        <v>3425</v>
      </c>
      <c r="S236" s="279">
        <v>32351</v>
      </c>
      <c r="T236" s="252"/>
      <c r="U236" s="251" t="s">
        <v>54</v>
      </c>
      <c r="V236" s="197" t="s">
        <v>4047</v>
      </c>
      <c r="W236" s="268" t="s">
        <v>56</v>
      </c>
      <c r="X236" s="268" t="s">
        <v>57</v>
      </c>
      <c r="Y236" s="197" t="s">
        <v>2609</v>
      </c>
      <c r="Z236" s="246">
        <v>45231</v>
      </c>
      <c r="AA236" s="252"/>
      <c r="AB236" s="282"/>
      <c r="AC236" s="223"/>
      <c r="AD236" s="282"/>
      <c r="AE236" s="252"/>
      <c r="AF236" s="252"/>
      <c r="AG236" s="282"/>
      <c r="AH236" s="283"/>
      <c r="AI236" s="328"/>
      <c r="AJ236" s="348" t="s">
        <v>560</v>
      </c>
      <c r="AK236" s="241">
        <v>4</v>
      </c>
      <c r="AL236" s="153" t="s">
        <v>332</v>
      </c>
      <c r="AM236" s="153" t="s">
        <v>267</v>
      </c>
      <c r="AN236" s="110"/>
      <c r="AO236" s="110"/>
      <c r="AP236" s="115"/>
      <c r="AQ236" s="115"/>
      <c r="AR236" s="115"/>
      <c r="AS236" s="115"/>
      <c r="AT236" s="116"/>
    </row>
    <row r="237" spans="1:46" ht="39" customHeight="1" x14ac:dyDescent="0.25">
      <c r="A237" s="1468">
        <v>236</v>
      </c>
      <c r="B237" s="141">
        <v>2</v>
      </c>
      <c r="C237" s="378" t="s">
        <v>321</v>
      </c>
      <c r="D237" s="303"/>
      <c r="E237" s="241"/>
      <c r="F237" s="241"/>
      <c r="G237" s="261" t="s">
        <v>322</v>
      </c>
      <c r="H237" s="262" t="s">
        <v>87</v>
      </c>
      <c r="I237" s="357"/>
      <c r="J237" s="245" t="s">
        <v>561</v>
      </c>
      <c r="K237" s="257"/>
      <c r="L237" s="299"/>
      <c r="M237" s="412"/>
      <c r="N237" s="412"/>
      <c r="O237" s="216" t="s">
        <v>2734</v>
      </c>
      <c r="P237" s="706"/>
      <c r="Q237" s="344" t="s">
        <v>87</v>
      </c>
      <c r="R237" s="982" t="s">
        <v>2733</v>
      </c>
      <c r="S237" s="279">
        <v>31514</v>
      </c>
      <c r="T237" s="399"/>
      <c r="U237" s="251" t="s">
        <v>54</v>
      </c>
      <c r="V237" s="250" t="s">
        <v>2793</v>
      </c>
      <c r="W237" s="197" t="s">
        <v>56</v>
      </c>
      <c r="X237" s="197" t="s">
        <v>57</v>
      </c>
      <c r="Y237" s="197" t="s">
        <v>2609</v>
      </c>
      <c r="Z237" s="246">
        <v>45141</v>
      </c>
      <c r="AA237" s="289"/>
      <c r="AB237" s="299"/>
      <c r="AC237" s="223"/>
      <c r="AD237" s="299"/>
      <c r="AE237" s="289"/>
      <c r="AF237" s="289"/>
      <c r="AG237" s="299"/>
      <c r="AH237" s="299"/>
      <c r="AI237" s="223"/>
      <c r="AJ237" s="491" t="s">
        <v>560</v>
      </c>
      <c r="AK237" s="241">
        <v>4</v>
      </c>
      <c r="AL237" s="153" t="s">
        <v>332</v>
      </c>
      <c r="AM237" s="153" t="s">
        <v>267</v>
      </c>
      <c r="AN237" s="110"/>
      <c r="AO237" s="110"/>
      <c r="AP237" s="115"/>
      <c r="AQ237" s="115"/>
      <c r="AR237" s="115"/>
      <c r="AS237" s="115"/>
      <c r="AT237" s="115"/>
    </row>
    <row r="238" spans="1:46" ht="39" customHeight="1" x14ac:dyDescent="0.25">
      <c r="A238" s="1468">
        <v>237</v>
      </c>
      <c r="B238" s="141">
        <v>1</v>
      </c>
      <c r="C238" s="378" t="s">
        <v>323</v>
      </c>
      <c r="D238" s="303"/>
      <c r="E238" s="241"/>
      <c r="F238" s="241"/>
      <c r="G238" s="261" t="s">
        <v>324</v>
      </c>
      <c r="H238" s="262" t="s">
        <v>87</v>
      </c>
      <c r="I238" s="357"/>
      <c r="J238" s="245" t="s">
        <v>561</v>
      </c>
      <c r="K238" s="216"/>
      <c r="L238" s="216"/>
      <c r="M238" s="265"/>
      <c r="N238" s="404"/>
      <c r="O238" s="950" t="s">
        <v>2505</v>
      </c>
      <c r="P238" s="484"/>
      <c r="Q238" s="344" t="s">
        <v>567</v>
      </c>
      <c r="R238" s="982" t="s">
        <v>2504</v>
      </c>
      <c r="S238" s="279">
        <v>27134</v>
      </c>
      <c r="T238" s="434"/>
      <c r="U238" s="251" t="s">
        <v>54</v>
      </c>
      <c r="V238" s="250" t="s">
        <v>2793</v>
      </c>
      <c r="W238" s="197" t="s">
        <v>56</v>
      </c>
      <c r="X238" s="197" t="s">
        <v>57</v>
      </c>
      <c r="Y238" s="197" t="s">
        <v>2609</v>
      </c>
      <c r="Z238" s="246">
        <v>45186</v>
      </c>
      <c r="AA238" s="252"/>
      <c r="AB238" s="257"/>
      <c r="AC238" s="223"/>
      <c r="AD238" s="257"/>
      <c r="AE238" s="289"/>
      <c r="AF238" s="289"/>
      <c r="AG238" s="282"/>
      <c r="AH238" s="281"/>
      <c r="AI238" s="296"/>
      <c r="AJ238" s="348" t="s">
        <v>560</v>
      </c>
      <c r="AK238" s="241">
        <v>4</v>
      </c>
      <c r="AL238" s="153" t="s">
        <v>332</v>
      </c>
      <c r="AM238" s="153" t="s">
        <v>267</v>
      </c>
      <c r="AN238" s="110"/>
      <c r="AO238" s="110"/>
      <c r="AP238" s="115"/>
      <c r="AQ238" s="115"/>
      <c r="AR238" s="115"/>
      <c r="AS238" s="115"/>
      <c r="AT238" s="115"/>
    </row>
    <row r="239" spans="1:46" ht="39" customHeight="1" x14ac:dyDescent="0.25">
      <c r="A239" s="1468">
        <v>238</v>
      </c>
      <c r="B239" s="141">
        <v>1</v>
      </c>
      <c r="C239" s="260" t="s">
        <v>325</v>
      </c>
      <c r="D239" s="241"/>
      <c r="E239" s="241"/>
      <c r="F239" s="241"/>
      <c r="G239" s="261" t="s">
        <v>324</v>
      </c>
      <c r="H239" s="262" t="s">
        <v>87</v>
      </c>
      <c r="I239" s="357"/>
      <c r="J239" s="245" t="s">
        <v>561</v>
      </c>
      <c r="K239" s="216"/>
      <c r="L239" s="250"/>
      <c r="M239" s="250"/>
      <c r="N239" s="366"/>
      <c r="O239" s="950"/>
      <c r="P239" s="484"/>
      <c r="Q239" s="344"/>
      <c r="R239" s="982" t="s">
        <v>66</v>
      </c>
      <c r="S239" s="279"/>
      <c r="T239" s="257"/>
      <c r="U239" s="250"/>
      <c r="V239" s="250"/>
      <c r="W239" s="1127"/>
      <c r="X239" s="197"/>
      <c r="Y239" s="981"/>
      <c r="Z239" s="246"/>
      <c r="AA239" s="1442"/>
      <c r="AB239" s="257"/>
      <c r="AC239" s="223"/>
      <c r="AD239" s="257"/>
      <c r="AE239" s="289"/>
      <c r="AF239" s="289"/>
      <c r="AG239" s="241"/>
      <c r="AH239" s="389"/>
      <c r="AI239" s="223"/>
      <c r="AJ239" s="348"/>
      <c r="AK239" s="241">
        <v>4</v>
      </c>
      <c r="AL239" s="153" t="s">
        <v>332</v>
      </c>
      <c r="AM239" s="153" t="s">
        <v>267</v>
      </c>
      <c r="AN239" s="110"/>
      <c r="AO239" s="110"/>
      <c r="AP239" s="115"/>
      <c r="AQ239" s="115"/>
      <c r="AR239" s="115"/>
      <c r="AS239" s="115"/>
      <c r="AT239" s="115"/>
    </row>
    <row r="240" spans="1:46" ht="39" customHeight="1" x14ac:dyDescent="0.25">
      <c r="A240" s="1468">
        <v>239</v>
      </c>
      <c r="B240" s="117"/>
      <c r="C240" s="989"/>
      <c r="D240" s="664"/>
      <c r="E240" s="664"/>
      <c r="F240" s="664"/>
      <c r="G240" s="227"/>
      <c r="H240" s="228"/>
      <c r="I240" s="228"/>
      <c r="J240" s="229"/>
      <c r="K240" s="227"/>
      <c r="L240" s="229"/>
      <c r="M240" s="229"/>
      <c r="N240" s="229"/>
      <c r="O240" s="309"/>
      <c r="P240" s="230" t="s">
        <v>326</v>
      </c>
      <c r="Q240" s="664"/>
      <c r="R240" s="324"/>
      <c r="S240" s="279"/>
      <c r="T240" s="232"/>
      <c r="U240" s="229"/>
      <c r="V240" s="232"/>
      <c r="W240" s="232"/>
      <c r="X240" s="232"/>
      <c r="Y240" s="232"/>
      <c r="Z240" s="233"/>
      <c r="AA240" s="234"/>
      <c r="AB240" s="235"/>
      <c r="AC240" s="236"/>
      <c r="AD240" s="235"/>
      <c r="AE240" s="237"/>
      <c r="AF240" s="233"/>
      <c r="AG240" s="664"/>
      <c r="AH240" s="238"/>
      <c r="AI240" s="239"/>
      <c r="AJ240" s="576"/>
      <c r="AK240" s="664"/>
      <c r="AL240" s="113"/>
      <c r="AM240" s="113"/>
      <c r="AN240" s="113"/>
      <c r="AO240" s="114"/>
      <c r="AP240" s="115"/>
      <c r="AQ240" s="115"/>
      <c r="AR240" s="115"/>
      <c r="AS240" s="115"/>
      <c r="AT240" s="116"/>
    </row>
    <row r="241" spans="1:46" ht="39" customHeight="1" x14ac:dyDescent="0.25">
      <c r="A241" s="1468">
        <v>240</v>
      </c>
      <c r="B241" s="146">
        <v>5</v>
      </c>
      <c r="C241" s="290" t="s">
        <v>288</v>
      </c>
      <c r="D241" s="291"/>
      <c r="E241" s="291" t="s">
        <v>47</v>
      </c>
      <c r="F241" s="291"/>
      <c r="G241" s="292" t="s">
        <v>289</v>
      </c>
      <c r="H241" s="370" t="s">
        <v>132</v>
      </c>
      <c r="I241" s="344">
        <v>144</v>
      </c>
      <c r="J241" s="256">
        <v>403</v>
      </c>
      <c r="K241" s="216"/>
      <c r="L241" s="281"/>
      <c r="M241" s="281"/>
      <c r="N241" s="245"/>
      <c r="O241" s="385" t="s">
        <v>2313</v>
      </c>
      <c r="P241" s="374"/>
      <c r="Q241" s="344" t="s">
        <v>567</v>
      </c>
      <c r="R241" s="982" t="s">
        <v>2312</v>
      </c>
      <c r="S241" s="279">
        <v>32099</v>
      </c>
      <c r="T241" s="252"/>
      <c r="U241" s="251" t="s">
        <v>54</v>
      </c>
      <c r="V241" s="250" t="s">
        <v>2793</v>
      </c>
      <c r="W241" s="197" t="s">
        <v>56</v>
      </c>
      <c r="X241" s="197" t="s">
        <v>57</v>
      </c>
      <c r="Y241" s="197" t="s">
        <v>2609</v>
      </c>
      <c r="Z241" s="246">
        <v>45141</v>
      </c>
      <c r="AA241" s="245"/>
      <c r="AB241" s="282"/>
      <c r="AC241" s="223"/>
      <c r="AD241" s="282"/>
      <c r="AE241" s="252"/>
      <c r="AF241" s="252"/>
      <c r="AG241" s="282"/>
      <c r="AH241" s="283"/>
      <c r="AI241" s="328"/>
      <c r="AJ241" s="348" t="s">
        <v>560</v>
      </c>
      <c r="AK241" s="348">
        <v>3</v>
      </c>
      <c r="AL241" s="145" t="s">
        <v>332</v>
      </c>
      <c r="AM241" s="145" t="s">
        <v>267</v>
      </c>
      <c r="AN241" s="130"/>
      <c r="AO241" s="130"/>
      <c r="AP241" s="115"/>
      <c r="AQ241" s="115"/>
      <c r="AR241" s="115"/>
      <c r="AS241" s="115"/>
      <c r="AT241" s="115"/>
    </row>
    <row r="242" spans="1:46" ht="39" customHeight="1" x14ac:dyDescent="0.25">
      <c r="A242" s="1468">
        <v>241</v>
      </c>
      <c r="B242" s="141">
        <v>3</v>
      </c>
      <c r="C242" s="356" t="s">
        <v>290</v>
      </c>
      <c r="D242" s="241" t="s">
        <v>134</v>
      </c>
      <c r="E242" s="241"/>
      <c r="F242" s="241"/>
      <c r="G242" s="261" t="s">
        <v>291</v>
      </c>
      <c r="H242" s="262" t="s">
        <v>85</v>
      </c>
      <c r="I242" s="357"/>
      <c r="J242" s="245" t="s">
        <v>556</v>
      </c>
      <c r="K242" s="216"/>
      <c r="L242" s="288"/>
      <c r="M242" s="288"/>
      <c r="N242" s="374"/>
      <c r="O242" s="385"/>
      <c r="P242" s="374"/>
      <c r="Q242" s="344"/>
      <c r="R242" s="683" t="s">
        <v>66</v>
      </c>
      <c r="S242" s="279"/>
      <c r="T242" s="197"/>
      <c r="U242" s="250"/>
      <c r="V242" s="250"/>
      <c r="W242" s="197"/>
      <c r="X242" s="197"/>
      <c r="Y242" s="197"/>
      <c r="Z242" s="246"/>
      <c r="AA242" s="388"/>
      <c r="AB242" s="288"/>
      <c r="AC242" s="223"/>
      <c r="AD242" s="288"/>
      <c r="AE242" s="384"/>
      <c r="AF242" s="384"/>
      <c r="AG242" s="392"/>
      <c r="AH242" s="283"/>
      <c r="AI242" s="254"/>
      <c r="AJ242" s="348"/>
      <c r="AK242" s="241">
        <v>4</v>
      </c>
      <c r="AL242" s="153" t="s">
        <v>332</v>
      </c>
      <c r="AM242" s="153" t="s">
        <v>267</v>
      </c>
      <c r="AN242" s="110" t="s">
        <v>4184</v>
      </c>
      <c r="AO242" s="110"/>
      <c r="AP242" s="115"/>
      <c r="AQ242" s="115"/>
      <c r="AR242" s="115"/>
      <c r="AS242" s="115"/>
      <c r="AT242" s="115"/>
    </row>
    <row r="243" spans="1:46" ht="39" customHeight="1" x14ac:dyDescent="0.25">
      <c r="A243" s="1468">
        <v>242</v>
      </c>
      <c r="B243" s="141">
        <v>3</v>
      </c>
      <c r="C243" s="358" t="s">
        <v>297</v>
      </c>
      <c r="D243" s="241" t="s">
        <v>134</v>
      </c>
      <c r="E243" s="241"/>
      <c r="F243" s="241"/>
      <c r="G243" s="261" t="s">
        <v>298</v>
      </c>
      <c r="H243" s="262" t="s">
        <v>85</v>
      </c>
      <c r="I243" s="357"/>
      <c r="J243" s="245" t="s">
        <v>556</v>
      </c>
      <c r="K243" s="216"/>
      <c r="L243" s="288" t="s">
        <v>1526</v>
      </c>
      <c r="M243" s="288" t="s">
        <v>1526</v>
      </c>
      <c r="N243" s="374"/>
      <c r="O243" s="385" t="s">
        <v>1551</v>
      </c>
      <c r="P243" s="247"/>
      <c r="Q243" s="373" t="s">
        <v>87</v>
      </c>
      <c r="R243" s="982" t="s">
        <v>1552</v>
      </c>
      <c r="S243" s="279">
        <v>35149</v>
      </c>
      <c r="T243" s="197"/>
      <c r="U243" s="251" t="s">
        <v>54</v>
      </c>
      <c r="V243" s="250" t="s">
        <v>2793</v>
      </c>
      <c r="W243" s="197" t="s">
        <v>56</v>
      </c>
      <c r="X243" s="197" t="s">
        <v>57</v>
      </c>
      <c r="Y243" s="197" t="s">
        <v>2609</v>
      </c>
      <c r="Z243" s="246">
        <v>45141</v>
      </c>
      <c r="AA243" s="388"/>
      <c r="AB243" s="288"/>
      <c r="AC243" s="223"/>
      <c r="AD243" s="288"/>
      <c r="AE243" s="384"/>
      <c r="AF243" s="384"/>
      <c r="AG243" s="392"/>
      <c r="AH243" s="283"/>
      <c r="AI243" s="254"/>
      <c r="AJ243" s="348" t="s">
        <v>560</v>
      </c>
      <c r="AK243" s="241">
        <v>4</v>
      </c>
      <c r="AL243" s="153" t="s">
        <v>332</v>
      </c>
      <c r="AM243" s="153" t="s">
        <v>267</v>
      </c>
      <c r="AN243" s="110"/>
      <c r="AO243" s="110"/>
      <c r="AP243" s="115"/>
      <c r="AQ243" s="115"/>
      <c r="AR243" s="115"/>
      <c r="AS243" s="115"/>
      <c r="AT243" s="116"/>
    </row>
    <row r="244" spans="1:46" ht="39" customHeight="1" x14ac:dyDescent="0.25">
      <c r="A244" s="1468">
        <v>243</v>
      </c>
      <c r="B244" s="141">
        <v>2</v>
      </c>
      <c r="C244" s="260" t="s">
        <v>311</v>
      </c>
      <c r="D244" s="241"/>
      <c r="E244" s="241"/>
      <c r="F244" s="241"/>
      <c r="G244" s="261" t="s">
        <v>312</v>
      </c>
      <c r="H244" s="262" t="s">
        <v>85</v>
      </c>
      <c r="I244" s="357"/>
      <c r="J244" s="245" t="s">
        <v>556</v>
      </c>
      <c r="K244" s="257"/>
      <c r="L244" s="299"/>
      <c r="M244" s="299"/>
      <c r="N244" s="299"/>
      <c r="O244" s="950" t="s">
        <v>2274</v>
      </c>
      <c r="P244" s="402"/>
      <c r="Q244" s="344" t="s">
        <v>519</v>
      </c>
      <c r="R244" s="982" t="s">
        <v>2273</v>
      </c>
      <c r="S244" s="279">
        <v>31459</v>
      </c>
      <c r="T244" s="289"/>
      <c r="U244" s="251" t="s">
        <v>54</v>
      </c>
      <c r="V244" s="250" t="s">
        <v>2793</v>
      </c>
      <c r="W244" s="197" t="s">
        <v>56</v>
      </c>
      <c r="X244" s="197" t="s">
        <v>57</v>
      </c>
      <c r="Y244" s="197" t="s">
        <v>2609</v>
      </c>
      <c r="Z244" s="246">
        <v>45186</v>
      </c>
      <c r="AA244" s="289"/>
      <c r="AB244" s="299"/>
      <c r="AC244" s="223"/>
      <c r="AD244" s="299"/>
      <c r="AE244" s="289"/>
      <c r="AF244" s="289"/>
      <c r="AG244" s="299"/>
      <c r="AH244" s="299"/>
      <c r="AI244" s="223"/>
      <c r="AJ244" s="348" t="s">
        <v>560</v>
      </c>
      <c r="AK244" s="241">
        <v>4</v>
      </c>
      <c r="AL244" s="153" t="s">
        <v>332</v>
      </c>
      <c r="AM244" s="153" t="s">
        <v>267</v>
      </c>
      <c r="AN244" s="110"/>
      <c r="AO244" s="110"/>
      <c r="AP244" s="115"/>
      <c r="AQ244" s="115"/>
      <c r="AR244" s="115"/>
      <c r="AS244" s="115"/>
      <c r="AT244" s="115"/>
    </row>
    <row r="245" spans="1:46" ht="39" customHeight="1" x14ac:dyDescent="0.25">
      <c r="A245" s="1468">
        <v>244</v>
      </c>
      <c r="B245" s="141">
        <v>2</v>
      </c>
      <c r="C245" s="260" t="s">
        <v>317</v>
      </c>
      <c r="D245" s="241"/>
      <c r="E245" s="241"/>
      <c r="F245" s="241"/>
      <c r="G245" s="261" t="s">
        <v>318</v>
      </c>
      <c r="H245" s="262" t="s">
        <v>87</v>
      </c>
      <c r="I245" s="357"/>
      <c r="J245" s="245" t="s">
        <v>561</v>
      </c>
      <c r="K245" s="277"/>
      <c r="L245" s="441"/>
      <c r="M245" s="441"/>
      <c r="N245" s="276"/>
      <c r="O245" s="951"/>
      <c r="P245" s="484"/>
      <c r="Q245" s="485"/>
      <c r="R245" s="998" t="s">
        <v>66</v>
      </c>
      <c r="S245" s="279"/>
      <c r="T245" s="443"/>
      <c r="U245" s="250"/>
      <c r="V245" s="250"/>
      <c r="W245" s="197"/>
      <c r="X245" s="197"/>
      <c r="Y245" s="197"/>
      <c r="Z245" s="252"/>
      <c r="AA245" s="252"/>
      <c r="AB245" s="376"/>
      <c r="AC245" s="223"/>
      <c r="AD245" s="282"/>
      <c r="AE245" s="252"/>
      <c r="AF245" s="252"/>
      <c r="AG245" s="241"/>
      <c r="AH245" s="283"/>
      <c r="AI245" s="296"/>
      <c r="AJ245" s="348"/>
      <c r="AK245" s="241">
        <v>4</v>
      </c>
      <c r="AL245" s="153" t="s">
        <v>332</v>
      </c>
      <c r="AM245" s="153" t="s">
        <v>267</v>
      </c>
      <c r="AN245" s="110"/>
      <c r="AO245" s="110"/>
      <c r="AP245" s="115"/>
      <c r="AQ245" s="115"/>
      <c r="AR245" s="115"/>
      <c r="AS245" s="115"/>
      <c r="AT245" s="115"/>
    </row>
    <row r="246" spans="1:46" ht="39" customHeight="1" x14ac:dyDescent="0.25">
      <c r="A246" s="1468">
        <v>245</v>
      </c>
      <c r="B246" s="146">
        <v>2</v>
      </c>
      <c r="C246" s="260" t="s">
        <v>319</v>
      </c>
      <c r="D246" s="241"/>
      <c r="E246" s="241"/>
      <c r="F246" s="241"/>
      <c r="G246" s="261" t="s">
        <v>320</v>
      </c>
      <c r="H246" s="262" t="s">
        <v>87</v>
      </c>
      <c r="I246" s="357"/>
      <c r="J246" s="245" t="s">
        <v>561</v>
      </c>
      <c r="K246" s="684"/>
      <c r="L246" s="281" t="s">
        <v>1925</v>
      </c>
      <c r="M246" s="281" t="s">
        <v>1925</v>
      </c>
      <c r="N246" s="684"/>
      <c r="O246" s="286" t="s">
        <v>2446</v>
      </c>
      <c r="P246" s="320" t="s">
        <v>1828</v>
      </c>
      <c r="Q246" s="348" t="s">
        <v>2447</v>
      </c>
      <c r="R246" s="1166" t="s">
        <v>2445</v>
      </c>
      <c r="S246" s="279">
        <v>29760</v>
      </c>
      <c r="T246" s="684"/>
      <c r="U246" s="251" t="s">
        <v>54</v>
      </c>
      <c r="V246" s="197" t="s">
        <v>5857</v>
      </c>
      <c r="W246" s="197" t="s">
        <v>56</v>
      </c>
      <c r="X246" s="197" t="s">
        <v>57</v>
      </c>
      <c r="Y246" s="197" t="s">
        <v>2609</v>
      </c>
      <c r="Z246" s="405">
        <v>45301</v>
      </c>
      <c r="AA246" s="405"/>
      <c r="AB246" s="1290"/>
      <c r="AC246" s="684"/>
      <c r="AD246" s="686"/>
      <c r="AE246" s="684"/>
      <c r="AF246" s="684"/>
      <c r="AG246" s="684"/>
      <c r="AH246" s="684"/>
      <c r="AI246" s="685"/>
      <c r="AJ246" s="348" t="s">
        <v>560</v>
      </c>
      <c r="AK246" s="241">
        <v>4</v>
      </c>
      <c r="AL246" s="153" t="s">
        <v>332</v>
      </c>
      <c r="AM246" s="153" t="s">
        <v>267</v>
      </c>
      <c r="AN246" s="110"/>
      <c r="AO246" s="110"/>
      <c r="AP246" s="115"/>
      <c r="AQ246" s="115"/>
      <c r="AR246" s="115"/>
      <c r="AS246" s="115"/>
      <c r="AT246" s="116"/>
    </row>
    <row r="247" spans="1:46" ht="39" customHeight="1" x14ac:dyDescent="0.25">
      <c r="A247" s="1468">
        <v>246</v>
      </c>
      <c r="B247" s="141">
        <v>2</v>
      </c>
      <c r="C247" s="378" t="s">
        <v>321</v>
      </c>
      <c r="D247" s="303"/>
      <c r="E247" s="241"/>
      <c r="F247" s="241"/>
      <c r="G247" s="261" t="s">
        <v>322</v>
      </c>
      <c r="H247" s="262" t="s">
        <v>87</v>
      </c>
      <c r="I247" s="357"/>
      <c r="J247" s="245" t="s">
        <v>561</v>
      </c>
      <c r="K247" s="216"/>
      <c r="L247" s="216"/>
      <c r="M247" s="216"/>
      <c r="N247" s="197"/>
      <c r="O247" s="216" t="s">
        <v>2691</v>
      </c>
      <c r="P247" s="300"/>
      <c r="Q247" s="344" t="s">
        <v>293</v>
      </c>
      <c r="R247" s="982" t="s">
        <v>2690</v>
      </c>
      <c r="S247" s="279">
        <v>26048</v>
      </c>
      <c r="T247" s="250"/>
      <c r="U247" s="251" t="s">
        <v>54</v>
      </c>
      <c r="V247" s="250" t="s">
        <v>2793</v>
      </c>
      <c r="W247" s="197" t="s">
        <v>56</v>
      </c>
      <c r="X247" s="197" t="s">
        <v>57</v>
      </c>
      <c r="Y247" s="197" t="s">
        <v>2609</v>
      </c>
      <c r="Z247" s="246">
        <v>45141</v>
      </c>
      <c r="AA247" s="250"/>
      <c r="AB247" s="281"/>
      <c r="AC247" s="223"/>
      <c r="AD247" s="468"/>
      <c r="AE247" s="306"/>
      <c r="AF247" s="306"/>
      <c r="AG247" s="241"/>
      <c r="AH247" s="281"/>
      <c r="AI247" s="386"/>
      <c r="AJ247" s="348" t="s">
        <v>560</v>
      </c>
      <c r="AK247" s="241">
        <v>4</v>
      </c>
      <c r="AL247" s="153" t="s">
        <v>332</v>
      </c>
      <c r="AM247" s="153" t="s">
        <v>267</v>
      </c>
      <c r="AN247" s="110"/>
      <c r="AO247" s="110"/>
      <c r="AP247" s="115"/>
      <c r="AQ247" s="115"/>
      <c r="AR247" s="115"/>
      <c r="AS247" s="115"/>
      <c r="AT247" s="115"/>
    </row>
    <row r="248" spans="1:46" ht="39" customHeight="1" x14ac:dyDescent="0.25">
      <c r="A248" s="1468">
        <v>247</v>
      </c>
      <c r="B248" s="141">
        <v>1</v>
      </c>
      <c r="C248" s="378" t="s">
        <v>323</v>
      </c>
      <c r="D248" s="303"/>
      <c r="E248" s="241"/>
      <c r="F248" s="241"/>
      <c r="G248" s="261" t="s">
        <v>324</v>
      </c>
      <c r="H248" s="262" t="s">
        <v>87</v>
      </c>
      <c r="I248" s="357"/>
      <c r="J248" s="245" t="s">
        <v>561</v>
      </c>
      <c r="K248" s="277"/>
      <c r="L248" s="756"/>
      <c r="M248" s="756"/>
      <c r="N248" s="454"/>
      <c r="O248" s="906"/>
      <c r="P248" s="454"/>
      <c r="Q248" s="485"/>
      <c r="R248" s="998" t="s">
        <v>66</v>
      </c>
      <c r="S248" s="279"/>
      <c r="T248" s="280"/>
      <c r="U248" s="250"/>
      <c r="V248" s="250"/>
      <c r="W248" s="197"/>
      <c r="X248" s="197"/>
      <c r="Y248" s="197"/>
      <c r="Z248" s="246"/>
      <c r="AA248" s="388"/>
      <c r="AB248" s="288"/>
      <c r="AC248" s="223"/>
      <c r="AD248" s="288"/>
      <c r="AE248" s="384"/>
      <c r="AF248" s="384"/>
      <c r="AG248" s="392"/>
      <c r="AH248" s="283"/>
      <c r="AI248" s="254"/>
      <c r="AJ248" s="348"/>
      <c r="AK248" s="241">
        <v>4</v>
      </c>
      <c r="AL248" s="153" t="s">
        <v>332</v>
      </c>
      <c r="AM248" s="153" t="s">
        <v>267</v>
      </c>
      <c r="AN248" s="110"/>
      <c r="AO248" s="110"/>
      <c r="AP248" s="115"/>
      <c r="AQ248" s="115"/>
      <c r="AR248" s="115"/>
      <c r="AS248" s="115"/>
      <c r="AT248" s="115"/>
    </row>
    <row r="249" spans="1:46" ht="39" customHeight="1" x14ac:dyDescent="0.25">
      <c r="A249" s="1468">
        <v>248</v>
      </c>
      <c r="B249" s="141">
        <v>1</v>
      </c>
      <c r="C249" s="260" t="s">
        <v>325</v>
      </c>
      <c r="D249" s="241"/>
      <c r="E249" s="241"/>
      <c r="F249" s="241"/>
      <c r="G249" s="261" t="s">
        <v>324</v>
      </c>
      <c r="H249" s="262" t="s">
        <v>87</v>
      </c>
      <c r="I249" s="357"/>
      <c r="J249" s="245" t="s">
        <v>561</v>
      </c>
      <c r="K249" s="197"/>
      <c r="L249" s="256"/>
      <c r="M249" s="256"/>
      <c r="N249" s="245"/>
      <c r="O249" s="950"/>
      <c r="P249" s="402"/>
      <c r="Q249" s="344"/>
      <c r="R249" s="683" t="s">
        <v>66</v>
      </c>
      <c r="S249" s="279"/>
      <c r="T249" s="250"/>
      <c r="U249" s="250"/>
      <c r="V249" s="250"/>
      <c r="W249" s="197"/>
      <c r="X249" s="197"/>
      <c r="Y249" s="197"/>
      <c r="Z249" s="246"/>
      <c r="AA249" s="252"/>
      <c r="AB249" s="281"/>
      <c r="AC249" s="281"/>
      <c r="AD249" s="281"/>
      <c r="AE249" s="252"/>
      <c r="AF249" s="252"/>
      <c r="AG249" s="282"/>
      <c r="AH249" s="282"/>
      <c r="AI249" s="296"/>
      <c r="AJ249" s="348"/>
      <c r="AK249" s="241">
        <v>4</v>
      </c>
      <c r="AL249" s="153" t="s">
        <v>332</v>
      </c>
      <c r="AM249" s="153" t="s">
        <v>267</v>
      </c>
      <c r="AN249" s="110"/>
      <c r="AO249" s="110"/>
      <c r="AP249" s="115"/>
      <c r="AQ249" s="115"/>
      <c r="AR249" s="115"/>
      <c r="AS249" s="115"/>
      <c r="AT249" s="115"/>
    </row>
    <row r="250" spans="1:46" ht="39" customHeight="1" x14ac:dyDescent="0.25">
      <c r="A250" s="1468">
        <v>249</v>
      </c>
      <c r="B250" s="117"/>
      <c r="C250" s="989"/>
      <c r="D250" s="664"/>
      <c r="E250" s="664"/>
      <c r="F250" s="664"/>
      <c r="G250" s="227"/>
      <c r="H250" s="228"/>
      <c r="I250" s="228"/>
      <c r="J250" s="229"/>
      <c r="K250" s="227"/>
      <c r="L250" s="229"/>
      <c r="M250" s="229"/>
      <c r="N250" s="229"/>
      <c r="O250" s="309"/>
      <c r="P250" s="230" t="s">
        <v>327</v>
      </c>
      <c r="Q250" s="664"/>
      <c r="R250" s="324"/>
      <c r="S250" s="279"/>
      <c r="T250" s="232"/>
      <c r="U250" s="229"/>
      <c r="V250" s="232"/>
      <c r="W250" s="232"/>
      <c r="X250" s="232"/>
      <c r="Y250" s="232"/>
      <c r="Z250" s="233"/>
      <c r="AA250" s="234"/>
      <c r="AB250" s="235"/>
      <c r="AC250" s="236"/>
      <c r="AD250" s="235"/>
      <c r="AE250" s="237"/>
      <c r="AF250" s="233"/>
      <c r="AG250" s="664"/>
      <c r="AH250" s="238"/>
      <c r="AI250" s="239"/>
      <c r="AJ250" s="576"/>
      <c r="AK250" s="664"/>
      <c r="AL250" s="113"/>
      <c r="AM250" s="113"/>
      <c r="AN250" s="113"/>
      <c r="AO250" s="114"/>
      <c r="AP250" s="115"/>
      <c r="AQ250" s="115"/>
      <c r="AR250" s="115"/>
      <c r="AS250" s="115"/>
      <c r="AT250" s="116"/>
    </row>
    <row r="251" spans="1:46" ht="39" customHeight="1" x14ac:dyDescent="0.25">
      <c r="A251" s="1468">
        <v>250</v>
      </c>
      <c r="B251" s="141">
        <v>2</v>
      </c>
      <c r="C251" s="290" t="s">
        <v>288</v>
      </c>
      <c r="D251" s="291"/>
      <c r="E251" s="291" t="s">
        <v>47</v>
      </c>
      <c r="F251" s="291"/>
      <c r="G251" s="292" t="s">
        <v>289</v>
      </c>
      <c r="H251" s="293" t="s">
        <v>132</v>
      </c>
      <c r="I251" s="344">
        <v>144</v>
      </c>
      <c r="J251" s="256">
        <v>403</v>
      </c>
      <c r="K251" s="216" t="s">
        <v>313</v>
      </c>
      <c r="L251" s="216" t="s">
        <v>1289</v>
      </c>
      <c r="M251" s="216" t="s">
        <v>1289</v>
      </c>
      <c r="N251" s="245"/>
      <c r="O251" s="216" t="s">
        <v>1290</v>
      </c>
      <c r="P251" s="247"/>
      <c r="Q251" s="344" t="s">
        <v>570</v>
      </c>
      <c r="R251" s="982" t="s">
        <v>1291</v>
      </c>
      <c r="S251" s="279">
        <v>37735</v>
      </c>
      <c r="T251" s="306"/>
      <c r="U251" s="251" t="s">
        <v>54</v>
      </c>
      <c r="V251" s="197" t="s">
        <v>1415</v>
      </c>
      <c r="W251" s="197" t="s">
        <v>56</v>
      </c>
      <c r="X251" s="197" t="s">
        <v>57</v>
      </c>
      <c r="Y251" s="197" t="s">
        <v>1416</v>
      </c>
      <c r="Z251" s="246">
        <v>45097</v>
      </c>
      <c r="AA251" s="252"/>
      <c r="AB251" s="281"/>
      <c r="AC251" s="223" t="s">
        <v>946</v>
      </c>
      <c r="AD251" s="281"/>
      <c r="AE251" s="252"/>
      <c r="AF251" s="252">
        <v>45741</v>
      </c>
      <c r="AG251" s="282" t="s">
        <v>61</v>
      </c>
      <c r="AH251" s="283"/>
      <c r="AI251" s="296"/>
      <c r="AJ251" s="348" t="s">
        <v>560</v>
      </c>
      <c r="AK251" s="291">
        <v>3</v>
      </c>
      <c r="AL251" s="145" t="s">
        <v>332</v>
      </c>
      <c r="AM251" s="145" t="s">
        <v>267</v>
      </c>
      <c r="AN251" s="130"/>
      <c r="AO251" s="130"/>
      <c r="AP251" s="115"/>
      <c r="AQ251" s="115"/>
      <c r="AR251" s="115"/>
      <c r="AS251" s="115"/>
      <c r="AT251" s="115"/>
    </row>
    <row r="252" spans="1:46" ht="39" customHeight="1" x14ac:dyDescent="0.25">
      <c r="A252" s="1468">
        <v>251</v>
      </c>
      <c r="B252" s="141">
        <v>3</v>
      </c>
      <c r="C252" s="356" t="s">
        <v>290</v>
      </c>
      <c r="D252" s="241" t="s">
        <v>134</v>
      </c>
      <c r="E252" s="241"/>
      <c r="F252" s="241"/>
      <c r="G252" s="261" t="s">
        <v>291</v>
      </c>
      <c r="H252" s="262" t="s">
        <v>85</v>
      </c>
      <c r="I252" s="346"/>
      <c r="J252" s="245" t="s">
        <v>556</v>
      </c>
      <c r="K252" s="216"/>
      <c r="L252" s="288"/>
      <c r="M252" s="288"/>
      <c r="N252" s="374"/>
      <c r="O252" s="385"/>
      <c r="P252" s="374"/>
      <c r="Q252" s="373"/>
      <c r="R252" s="683" t="s">
        <v>66</v>
      </c>
      <c r="S252" s="279"/>
      <c r="T252" s="197"/>
      <c r="U252" s="250"/>
      <c r="V252" s="250"/>
      <c r="W252" s="197"/>
      <c r="X252" s="197"/>
      <c r="Y252" s="197"/>
      <c r="Z252" s="246"/>
      <c r="AA252" s="388"/>
      <c r="AB252" s="288"/>
      <c r="AC252" s="223"/>
      <c r="AD252" s="288"/>
      <c r="AE252" s="384"/>
      <c r="AF252" s="384"/>
      <c r="AG252" s="392"/>
      <c r="AH252" s="283"/>
      <c r="AI252" s="254"/>
      <c r="AJ252" s="348"/>
      <c r="AK252" s="241">
        <v>4</v>
      </c>
      <c r="AL252" s="153" t="s">
        <v>332</v>
      </c>
      <c r="AM252" s="153" t="s">
        <v>267</v>
      </c>
      <c r="AN252" s="110" t="s">
        <v>4184</v>
      </c>
      <c r="AO252" s="130"/>
      <c r="AP252" s="115"/>
      <c r="AQ252" s="115"/>
      <c r="AR252" s="115"/>
      <c r="AS252" s="115"/>
      <c r="AT252" s="115"/>
    </row>
    <row r="253" spans="1:46" ht="39" customHeight="1" x14ac:dyDescent="0.25">
      <c r="A253" s="1468">
        <v>252</v>
      </c>
      <c r="B253" s="141">
        <v>3</v>
      </c>
      <c r="C253" s="358" t="s">
        <v>297</v>
      </c>
      <c r="D253" s="241" t="s">
        <v>134</v>
      </c>
      <c r="E253" s="241"/>
      <c r="F253" s="241"/>
      <c r="G253" s="261" t="s">
        <v>298</v>
      </c>
      <c r="H253" s="262" t="s">
        <v>85</v>
      </c>
      <c r="I253" s="346"/>
      <c r="J253" s="245" t="s">
        <v>556</v>
      </c>
      <c r="K253" s="216"/>
      <c r="L253" s="288" t="s">
        <v>1526</v>
      </c>
      <c r="M253" s="288" t="s">
        <v>1526</v>
      </c>
      <c r="N253" s="374"/>
      <c r="O253" s="385" t="s">
        <v>1539</v>
      </c>
      <c r="P253" s="374"/>
      <c r="Q253" s="344" t="s">
        <v>87</v>
      </c>
      <c r="R253" s="982" t="s">
        <v>2794</v>
      </c>
      <c r="S253" s="279">
        <v>32414</v>
      </c>
      <c r="T253" s="197"/>
      <c r="U253" s="251" t="s">
        <v>54</v>
      </c>
      <c r="V253" s="250" t="s">
        <v>2793</v>
      </c>
      <c r="W253" s="197" t="s">
        <v>56</v>
      </c>
      <c r="X253" s="197" t="s">
        <v>57</v>
      </c>
      <c r="Y253" s="197" t="s">
        <v>2609</v>
      </c>
      <c r="Z253" s="246">
        <v>45186</v>
      </c>
      <c r="AA253" s="388"/>
      <c r="AB253" s="288"/>
      <c r="AC253" s="223"/>
      <c r="AD253" s="288"/>
      <c r="AE253" s="384"/>
      <c r="AF253" s="384"/>
      <c r="AG253" s="392"/>
      <c r="AH253" s="283"/>
      <c r="AI253" s="254"/>
      <c r="AJ253" s="348" t="s">
        <v>560</v>
      </c>
      <c r="AK253" s="241">
        <v>4</v>
      </c>
      <c r="AL253" s="153" t="s">
        <v>332</v>
      </c>
      <c r="AM253" s="153" t="s">
        <v>267</v>
      </c>
      <c r="AN253" s="130"/>
      <c r="AO253" s="130"/>
      <c r="AP253" s="115"/>
      <c r="AQ253" s="115"/>
      <c r="AR253" s="115"/>
      <c r="AS253" s="115"/>
      <c r="AT253" s="116"/>
    </row>
    <row r="254" spans="1:46" ht="39" customHeight="1" x14ac:dyDescent="0.25">
      <c r="A254" s="1468">
        <v>253</v>
      </c>
      <c r="B254" s="141">
        <v>2</v>
      </c>
      <c r="C254" s="260" t="s">
        <v>311</v>
      </c>
      <c r="D254" s="241"/>
      <c r="E254" s="241"/>
      <c r="F254" s="241"/>
      <c r="G254" s="261" t="s">
        <v>312</v>
      </c>
      <c r="H254" s="262" t="s">
        <v>85</v>
      </c>
      <c r="I254" s="346"/>
      <c r="J254" s="245" t="s">
        <v>556</v>
      </c>
      <c r="K254" s="257"/>
      <c r="L254" s="299"/>
      <c r="M254" s="299"/>
      <c r="N254" s="299"/>
      <c r="O254" s="385"/>
      <c r="P254" s="374"/>
      <c r="Q254" s="344"/>
      <c r="R254" s="683" t="s">
        <v>66</v>
      </c>
      <c r="S254" s="279"/>
      <c r="T254" s="289"/>
      <c r="U254" s="250"/>
      <c r="V254" s="250"/>
      <c r="W254" s="197"/>
      <c r="X254" s="197"/>
      <c r="Y254" s="197"/>
      <c r="Z254" s="246"/>
      <c r="AA254" s="289"/>
      <c r="AB254" s="299"/>
      <c r="AC254" s="223"/>
      <c r="AD254" s="299"/>
      <c r="AE254" s="289"/>
      <c r="AF254" s="289"/>
      <c r="AG254" s="299"/>
      <c r="AH254" s="299"/>
      <c r="AI254" s="223"/>
      <c r="AJ254" s="348"/>
      <c r="AK254" s="241">
        <v>4</v>
      </c>
      <c r="AL254" s="153" t="s">
        <v>332</v>
      </c>
      <c r="AM254" s="153" t="s">
        <v>267</v>
      </c>
      <c r="AN254" s="130"/>
      <c r="AO254" s="130"/>
      <c r="AP254" s="115"/>
      <c r="AQ254" s="115"/>
      <c r="AR254" s="115"/>
      <c r="AS254" s="115"/>
      <c r="AT254" s="115"/>
    </row>
    <row r="255" spans="1:46" ht="39" customHeight="1" x14ac:dyDescent="0.25">
      <c r="A255" s="1468">
        <v>254</v>
      </c>
      <c r="B255" s="141">
        <v>2</v>
      </c>
      <c r="C255" s="260" t="s">
        <v>317</v>
      </c>
      <c r="D255" s="241"/>
      <c r="E255" s="241"/>
      <c r="F255" s="241"/>
      <c r="G255" s="261" t="s">
        <v>318</v>
      </c>
      <c r="H255" s="262" t="s">
        <v>87</v>
      </c>
      <c r="I255" s="364"/>
      <c r="J255" s="245" t="s">
        <v>561</v>
      </c>
      <c r="K255" s="277"/>
      <c r="L255" s="756"/>
      <c r="M255" s="756"/>
      <c r="N255" s="454"/>
      <c r="O255" s="906"/>
      <c r="P255" s="454"/>
      <c r="Q255" s="485"/>
      <c r="R255" s="998" t="s">
        <v>66</v>
      </c>
      <c r="S255" s="279"/>
      <c r="T255" s="280"/>
      <c r="U255" s="250"/>
      <c r="V255" s="250"/>
      <c r="W255" s="197"/>
      <c r="X255" s="197"/>
      <c r="Y255" s="197"/>
      <c r="Z255" s="246"/>
      <c r="AA255" s="388"/>
      <c r="AB255" s="288"/>
      <c r="AC255" s="223"/>
      <c r="AD255" s="288"/>
      <c r="AE255" s="384"/>
      <c r="AF255" s="384"/>
      <c r="AG255" s="392"/>
      <c r="AH255" s="283"/>
      <c r="AI255" s="254"/>
      <c r="AJ255" s="348"/>
      <c r="AK255" s="241">
        <v>4</v>
      </c>
      <c r="AL255" s="153" t="s">
        <v>332</v>
      </c>
      <c r="AM255" s="153" t="s">
        <v>267</v>
      </c>
      <c r="AN255" s="110"/>
      <c r="AO255" s="110"/>
      <c r="AP255" s="115"/>
      <c r="AQ255" s="115"/>
      <c r="AR255" s="115"/>
      <c r="AS255" s="115"/>
      <c r="AT255" s="115"/>
    </row>
    <row r="256" spans="1:46" ht="39" customHeight="1" x14ac:dyDescent="0.25">
      <c r="A256" s="1468">
        <v>255</v>
      </c>
      <c r="B256" s="146">
        <v>2</v>
      </c>
      <c r="C256" s="260" t="s">
        <v>319</v>
      </c>
      <c r="D256" s="241"/>
      <c r="E256" s="241"/>
      <c r="F256" s="241"/>
      <c r="G256" s="261" t="s">
        <v>320</v>
      </c>
      <c r="H256" s="262" t="s">
        <v>87</v>
      </c>
      <c r="I256" s="357"/>
      <c r="J256" s="245" t="s">
        <v>561</v>
      </c>
      <c r="K256" s="257"/>
      <c r="L256" s="301" t="s">
        <v>1860</v>
      </c>
      <c r="M256" s="301" t="s">
        <v>1860</v>
      </c>
      <c r="N256" s="299"/>
      <c r="O256" s="950" t="s">
        <v>1943</v>
      </c>
      <c r="P256" s="484" t="s">
        <v>1828</v>
      </c>
      <c r="Q256" s="344" t="s">
        <v>293</v>
      </c>
      <c r="R256" s="982" t="s">
        <v>1944</v>
      </c>
      <c r="S256" s="279">
        <v>27116</v>
      </c>
      <c r="T256" s="289"/>
      <c r="U256" s="251" t="s">
        <v>178</v>
      </c>
      <c r="V256" s="250" t="s">
        <v>5890</v>
      </c>
      <c r="W256" s="197" t="s">
        <v>1955</v>
      </c>
      <c r="X256" s="197" t="s">
        <v>3477</v>
      </c>
      <c r="Y256" s="252" t="s">
        <v>5860</v>
      </c>
      <c r="Z256" s="252">
        <v>45289</v>
      </c>
      <c r="AA256" s="289">
        <v>45333</v>
      </c>
      <c r="AB256" s="299"/>
      <c r="AC256" s="223"/>
      <c r="AD256" s="299"/>
      <c r="AE256" s="289"/>
      <c r="AF256" s="289"/>
      <c r="AG256" s="299"/>
      <c r="AH256" s="299"/>
      <c r="AI256" s="254"/>
      <c r="AJ256" s="348" t="s">
        <v>560</v>
      </c>
      <c r="AK256" s="241">
        <v>4</v>
      </c>
      <c r="AL256" s="153" t="s">
        <v>332</v>
      </c>
      <c r="AM256" s="153" t="s">
        <v>267</v>
      </c>
      <c r="AN256" s="110"/>
      <c r="AO256" s="110"/>
      <c r="AP256" s="115"/>
      <c r="AQ256" s="115"/>
      <c r="AR256" s="115"/>
      <c r="AS256" s="115"/>
      <c r="AT256" s="116"/>
    </row>
    <row r="257" spans="1:46" ht="39" customHeight="1" x14ac:dyDescent="0.25">
      <c r="A257" s="1468">
        <v>256</v>
      </c>
      <c r="B257" s="141">
        <v>2</v>
      </c>
      <c r="C257" s="378" t="s">
        <v>321</v>
      </c>
      <c r="D257" s="303"/>
      <c r="E257" s="241"/>
      <c r="F257" s="241"/>
      <c r="G257" s="261" t="s">
        <v>322</v>
      </c>
      <c r="H257" s="262" t="s">
        <v>87</v>
      </c>
      <c r="I257" s="357"/>
      <c r="J257" s="245" t="s">
        <v>561</v>
      </c>
      <c r="K257" s="288"/>
      <c r="L257" s="288"/>
      <c r="M257" s="288"/>
      <c r="N257" s="366"/>
      <c r="O257" s="950" t="s">
        <v>2266</v>
      </c>
      <c r="P257" s="484"/>
      <c r="Q257" s="344" t="s">
        <v>570</v>
      </c>
      <c r="R257" s="982" t="s">
        <v>2265</v>
      </c>
      <c r="S257" s="279">
        <v>37001</v>
      </c>
      <c r="T257" s="252"/>
      <c r="U257" s="251" t="s">
        <v>54</v>
      </c>
      <c r="V257" s="250" t="s">
        <v>2793</v>
      </c>
      <c r="W257" s="197" t="s">
        <v>56</v>
      </c>
      <c r="X257" s="197" t="s">
        <v>57</v>
      </c>
      <c r="Y257" s="197" t="s">
        <v>2609</v>
      </c>
      <c r="Z257" s="246">
        <v>45186</v>
      </c>
      <c r="AA257" s="252"/>
      <c r="AB257" s="282"/>
      <c r="AC257" s="223"/>
      <c r="AD257" s="282"/>
      <c r="AE257" s="252"/>
      <c r="AF257" s="252"/>
      <c r="AG257" s="241"/>
      <c r="AH257" s="283"/>
      <c r="AI257" s="254"/>
      <c r="AJ257" s="348" t="s">
        <v>560</v>
      </c>
      <c r="AK257" s="241">
        <v>4</v>
      </c>
      <c r="AL257" s="153" t="s">
        <v>332</v>
      </c>
      <c r="AM257" s="153" t="s">
        <v>267</v>
      </c>
      <c r="AN257" s="110"/>
      <c r="AO257" s="110"/>
      <c r="AP257" s="115"/>
      <c r="AQ257" s="115"/>
      <c r="AR257" s="115"/>
      <c r="AS257" s="115"/>
      <c r="AT257" s="115"/>
    </row>
    <row r="258" spans="1:46" ht="39" customHeight="1" x14ac:dyDescent="0.25">
      <c r="A258" s="1468">
        <v>257</v>
      </c>
      <c r="B258" s="141">
        <v>1</v>
      </c>
      <c r="C258" s="378" t="s">
        <v>323</v>
      </c>
      <c r="D258" s="303"/>
      <c r="E258" s="241"/>
      <c r="F258" s="241"/>
      <c r="G258" s="261" t="s">
        <v>324</v>
      </c>
      <c r="H258" s="262" t="s">
        <v>87</v>
      </c>
      <c r="I258" s="357"/>
      <c r="J258" s="245" t="s">
        <v>561</v>
      </c>
      <c r="K258" s="216"/>
      <c r="L258" s="299"/>
      <c r="M258" s="288"/>
      <c r="N258" s="245"/>
      <c r="O258" s="385" t="s">
        <v>3414</v>
      </c>
      <c r="P258" s="374"/>
      <c r="Q258" s="344" t="s">
        <v>570</v>
      </c>
      <c r="R258" s="982" t="s">
        <v>3413</v>
      </c>
      <c r="S258" s="279">
        <v>27431</v>
      </c>
      <c r="T258" s="289"/>
      <c r="U258" s="251" t="s">
        <v>54</v>
      </c>
      <c r="V258" s="197" t="s">
        <v>4047</v>
      </c>
      <c r="W258" s="268" t="s">
        <v>56</v>
      </c>
      <c r="X258" s="268" t="s">
        <v>57</v>
      </c>
      <c r="Y258" s="197" t="s">
        <v>2609</v>
      </c>
      <c r="Z258" s="246">
        <v>45231</v>
      </c>
      <c r="AA258" s="281"/>
      <c r="AB258" s="245"/>
      <c r="AC258" s="223"/>
      <c r="AD258" s="245"/>
      <c r="AE258" s="289"/>
      <c r="AF258" s="289"/>
      <c r="AG258" s="241"/>
      <c r="AH258" s="253"/>
      <c r="AI258" s="284"/>
      <c r="AJ258" s="348" t="s">
        <v>560</v>
      </c>
      <c r="AK258" s="241">
        <v>4</v>
      </c>
      <c r="AL258" s="153" t="s">
        <v>332</v>
      </c>
      <c r="AM258" s="153" t="s">
        <v>267</v>
      </c>
      <c r="AN258" s="110"/>
      <c r="AO258" s="110"/>
      <c r="AP258" s="115"/>
      <c r="AQ258" s="115"/>
      <c r="AR258" s="115"/>
      <c r="AS258" s="115"/>
      <c r="AT258" s="115"/>
    </row>
    <row r="259" spans="1:46" ht="39" customHeight="1" x14ac:dyDescent="0.25">
      <c r="A259" s="1468">
        <v>258</v>
      </c>
      <c r="B259" s="141">
        <v>1</v>
      </c>
      <c r="C259" s="260" t="s">
        <v>325</v>
      </c>
      <c r="D259" s="241"/>
      <c r="E259" s="241"/>
      <c r="F259" s="241"/>
      <c r="G259" s="261" t="s">
        <v>324</v>
      </c>
      <c r="H259" s="262" t="s">
        <v>87</v>
      </c>
      <c r="I259" s="357"/>
      <c r="J259" s="245" t="s">
        <v>561</v>
      </c>
      <c r="K259" s="216"/>
      <c r="L259" s="301"/>
      <c r="M259" s="301"/>
      <c r="N259" s="366"/>
      <c r="O259" s="385"/>
      <c r="P259" s="484"/>
      <c r="Q259" s="344"/>
      <c r="R259" s="982" t="s">
        <v>66</v>
      </c>
      <c r="S259" s="279"/>
      <c r="T259" s="250"/>
      <c r="U259" s="250"/>
      <c r="V259" s="250"/>
      <c r="W259" s="197"/>
      <c r="X259" s="197"/>
      <c r="Y259" s="197"/>
      <c r="Z259" s="246"/>
      <c r="AA259" s="246"/>
      <c r="AB259" s="281"/>
      <c r="AC259" s="223"/>
      <c r="AD259" s="306"/>
      <c r="AE259" s="306"/>
      <c r="AF259" s="306"/>
      <c r="AG259" s="301"/>
      <c r="AH259" s="301"/>
      <c r="AI259" s="254"/>
      <c r="AJ259" s="348"/>
      <c r="AK259" s="241">
        <v>4</v>
      </c>
      <c r="AL259" s="153" t="s">
        <v>332</v>
      </c>
      <c r="AM259" s="153" t="s">
        <v>267</v>
      </c>
      <c r="AN259" s="110"/>
      <c r="AO259" s="110"/>
      <c r="AP259" s="115"/>
      <c r="AQ259" s="115"/>
      <c r="AR259" s="115"/>
      <c r="AS259" s="115"/>
      <c r="AT259" s="115"/>
    </row>
    <row r="260" spans="1:46" ht="39" customHeight="1" x14ac:dyDescent="0.25">
      <c r="A260" s="1468">
        <v>259</v>
      </c>
      <c r="B260" s="117"/>
      <c r="C260" s="989"/>
      <c r="D260" s="664"/>
      <c r="E260" s="664"/>
      <c r="F260" s="664"/>
      <c r="G260" s="227"/>
      <c r="H260" s="228"/>
      <c r="I260" s="228"/>
      <c r="J260" s="229"/>
      <c r="K260" s="227"/>
      <c r="L260" s="229"/>
      <c r="M260" s="229"/>
      <c r="N260" s="229"/>
      <c r="O260" s="309"/>
      <c r="P260" s="230" t="s">
        <v>330</v>
      </c>
      <c r="Q260" s="664"/>
      <c r="R260" s="324"/>
      <c r="S260" s="279"/>
      <c r="T260" s="232"/>
      <c r="U260" s="229"/>
      <c r="V260" s="232"/>
      <c r="W260" s="232"/>
      <c r="X260" s="232"/>
      <c r="Y260" s="232"/>
      <c r="Z260" s="233"/>
      <c r="AA260" s="234"/>
      <c r="AB260" s="235"/>
      <c r="AC260" s="236"/>
      <c r="AD260" s="235"/>
      <c r="AE260" s="237"/>
      <c r="AF260" s="233"/>
      <c r="AG260" s="664"/>
      <c r="AH260" s="238"/>
      <c r="AI260" s="239"/>
      <c r="AJ260" s="576"/>
      <c r="AK260" s="664"/>
      <c r="AL260" s="113"/>
      <c r="AM260" s="113"/>
      <c r="AN260" s="113"/>
      <c r="AO260" s="114"/>
      <c r="AP260" s="115"/>
      <c r="AQ260" s="115"/>
      <c r="AR260" s="115"/>
      <c r="AS260" s="115"/>
      <c r="AT260" s="116"/>
    </row>
    <row r="261" spans="1:46" ht="39" customHeight="1" x14ac:dyDescent="0.25">
      <c r="A261" s="1468">
        <v>260</v>
      </c>
      <c r="B261" s="141">
        <v>10</v>
      </c>
      <c r="C261" s="240" t="s">
        <v>305</v>
      </c>
      <c r="D261" s="242"/>
      <c r="E261" s="242" t="s">
        <v>47</v>
      </c>
      <c r="F261" s="242"/>
      <c r="G261" s="243" t="s">
        <v>91</v>
      </c>
      <c r="H261" s="244" t="s">
        <v>83</v>
      </c>
      <c r="I261" s="340"/>
      <c r="J261" s="245">
        <v>302</v>
      </c>
      <c r="K261" s="216" t="s">
        <v>50</v>
      </c>
      <c r="L261" s="281" t="s">
        <v>956</v>
      </c>
      <c r="M261" s="281" t="s">
        <v>956</v>
      </c>
      <c r="N261" s="245"/>
      <c r="O261" s="1476" t="s">
        <v>3183</v>
      </c>
      <c r="P261" s="247"/>
      <c r="Q261" s="338" t="s">
        <v>119</v>
      </c>
      <c r="R261" s="259" t="s">
        <v>1055</v>
      </c>
      <c r="S261" s="279">
        <v>36603</v>
      </c>
      <c r="T261" s="250"/>
      <c r="U261" s="251" t="s">
        <v>54</v>
      </c>
      <c r="V261" s="282" t="s">
        <v>958</v>
      </c>
      <c r="W261" s="197" t="s">
        <v>56</v>
      </c>
      <c r="X261" s="197" t="s">
        <v>57</v>
      </c>
      <c r="Y261" s="197" t="s">
        <v>951</v>
      </c>
      <c r="Z261" s="327">
        <v>44810</v>
      </c>
      <c r="AA261" s="252"/>
      <c r="AB261" s="245"/>
      <c r="AC261" s="223" t="s">
        <v>946</v>
      </c>
      <c r="AD261" s="281"/>
      <c r="AE261" s="252"/>
      <c r="AF261" s="252"/>
      <c r="AG261" s="282" t="s">
        <v>61</v>
      </c>
      <c r="AH261" s="283"/>
      <c r="AI261" s="296"/>
      <c r="AJ261" s="255" t="s">
        <v>62</v>
      </c>
      <c r="AK261" s="242">
        <v>1</v>
      </c>
      <c r="AL261" s="123" t="s">
        <v>332</v>
      </c>
      <c r="AM261" s="123" t="s">
        <v>267</v>
      </c>
      <c r="AN261" s="124"/>
      <c r="AO261" s="124"/>
      <c r="AP261" s="115"/>
      <c r="AQ261" s="115"/>
      <c r="AR261" s="115"/>
      <c r="AS261" s="115"/>
      <c r="AT261" s="115"/>
    </row>
    <row r="262" spans="1:46" ht="39" customHeight="1" x14ac:dyDescent="0.25">
      <c r="A262" s="1468">
        <v>261</v>
      </c>
      <c r="B262" s="117"/>
      <c r="C262" s="989"/>
      <c r="D262" s="664"/>
      <c r="E262" s="664"/>
      <c r="F262" s="664"/>
      <c r="G262" s="227"/>
      <c r="H262" s="228"/>
      <c r="I262" s="228"/>
      <c r="J262" s="229"/>
      <c r="K262" s="227"/>
      <c r="L262" s="229"/>
      <c r="M262" s="229"/>
      <c r="N262" s="229"/>
      <c r="O262" s="309"/>
      <c r="P262" s="230" t="s">
        <v>306</v>
      </c>
      <c r="Q262" s="664"/>
      <c r="R262" s="324"/>
      <c r="S262" s="279"/>
      <c r="T262" s="232"/>
      <c r="U262" s="229"/>
      <c r="V262" s="232"/>
      <c r="W262" s="232"/>
      <c r="X262" s="232"/>
      <c r="Y262" s="232"/>
      <c r="Z262" s="233"/>
      <c r="AA262" s="234"/>
      <c r="AB262" s="235"/>
      <c r="AC262" s="236"/>
      <c r="AD262" s="235"/>
      <c r="AE262" s="237"/>
      <c r="AF262" s="233"/>
      <c r="AG262" s="664"/>
      <c r="AH262" s="238"/>
      <c r="AI262" s="239"/>
      <c r="AJ262" s="576"/>
      <c r="AK262" s="664"/>
      <c r="AL262" s="113"/>
      <c r="AM262" s="113"/>
      <c r="AN262" s="113"/>
      <c r="AO262" s="114"/>
      <c r="AP262" s="115"/>
      <c r="AQ262" s="115"/>
      <c r="AR262" s="115"/>
      <c r="AS262" s="115"/>
      <c r="AT262" s="116"/>
    </row>
    <row r="263" spans="1:46" ht="39" customHeight="1" x14ac:dyDescent="0.25">
      <c r="A263" s="1468">
        <v>262</v>
      </c>
      <c r="B263" s="146">
        <v>7</v>
      </c>
      <c r="C263" s="290" t="s">
        <v>307</v>
      </c>
      <c r="D263" s="291"/>
      <c r="E263" s="291" t="s">
        <v>47</v>
      </c>
      <c r="F263" s="291"/>
      <c r="G263" s="292" t="s">
        <v>308</v>
      </c>
      <c r="H263" s="370" t="s">
        <v>132</v>
      </c>
      <c r="I263" s="371" t="s">
        <v>309</v>
      </c>
      <c r="J263" s="256">
        <v>403</v>
      </c>
      <c r="K263" s="216"/>
      <c r="L263" s="301"/>
      <c r="M263" s="301"/>
      <c r="N263" s="245"/>
      <c r="O263" s="950"/>
      <c r="P263" s="325"/>
      <c r="Q263" s="344"/>
      <c r="R263" s="1166" t="s">
        <v>66</v>
      </c>
      <c r="S263" s="279"/>
      <c r="T263" s="250"/>
      <c r="U263" s="229"/>
      <c r="V263" s="250"/>
      <c r="W263" s="197"/>
      <c r="X263" s="197"/>
      <c r="Y263" s="252"/>
      <c r="Z263" s="252"/>
      <c r="AA263" s="305"/>
      <c r="AB263" s="288"/>
      <c r="AC263" s="223"/>
      <c r="AD263" s="306"/>
      <c r="AE263" s="384"/>
      <c r="AF263" s="307"/>
      <c r="AG263" s="305"/>
      <c r="AH263" s="305"/>
      <c r="AI263" s="254"/>
      <c r="AJ263" s="348"/>
      <c r="AK263" s="348">
        <v>3</v>
      </c>
      <c r="AL263" s="145" t="s">
        <v>332</v>
      </c>
      <c r="AM263" s="145" t="s">
        <v>267</v>
      </c>
      <c r="AN263" s="130"/>
      <c r="AO263" s="130"/>
      <c r="AP263" s="115"/>
      <c r="AQ263" s="115"/>
      <c r="AR263" s="115"/>
      <c r="AS263" s="115"/>
      <c r="AT263" s="115"/>
    </row>
    <row r="264" spans="1:46" ht="39" customHeight="1" x14ac:dyDescent="0.25">
      <c r="A264" s="1468">
        <v>263</v>
      </c>
      <c r="B264" s="141">
        <v>3</v>
      </c>
      <c r="C264" s="356" t="s">
        <v>290</v>
      </c>
      <c r="D264" s="241" t="s">
        <v>134</v>
      </c>
      <c r="E264" s="241"/>
      <c r="F264" s="241"/>
      <c r="G264" s="261" t="s">
        <v>291</v>
      </c>
      <c r="H264" s="262" t="s">
        <v>85</v>
      </c>
      <c r="I264" s="371"/>
      <c r="J264" s="245" t="s">
        <v>556</v>
      </c>
      <c r="K264" s="1035"/>
      <c r="L264" s="1036"/>
      <c r="M264" s="1036"/>
      <c r="N264" s="1036"/>
      <c r="O264" s="265" t="s">
        <v>2296</v>
      </c>
      <c r="P264" s="1037"/>
      <c r="Q264" s="344" t="s">
        <v>293</v>
      </c>
      <c r="R264" s="834" t="s">
        <v>2295</v>
      </c>
      <c r="S264" s="279">
        <v>37856</v>
      </c>
      <c r="T264" s="820"/>
      <c r="U264" s="251" t="s">
        <v>886</v>
      </c>
      <c r="V264" s="268" t="s">
        <v>5934</v>
      </c>
      <c r="W264" s="197" t="s">
        <v>886</v>
      </c>
      <c r="X264" s="197" t="s">
        <v>886</v>
      </c>
      <c r="Y264" s="1038"/>
      <c r="Z264" s="405">
        <v>45304</v>
      </c>
      <c r="AA264" s="440"/>
      <c r="AB264" s="496"/>
      <c r="AC264" s="474"/>
      <c r="AD264" s="496"/>
      <c r="AE264" s="440"/>
      <c r="AF264" s="440"/>
      <c r="AG264" s="496"/>
      <c r="AH264" s="496"/>
      <c r="AI264" s="474"/>
      <c r="AJ264" s="743" t="s">
        <v>560</v>
      </c>
      <c r="AK264" s="241">
        <v>4</v>
      </c>
      <c r="AL264" s="153" t="s">
        <v>332</v>
      </c>
      <c r="AM264" s="153" t="s">
        <v>267</v>
      </c>
      <c r="AN264" s="110" t="s">
        <v>4184</v>
      </c>
      <c r="AO264" s="130"/>
      <c r="AP264" s="115"/>
      <c r="AQ264" s="115"/>
      <c r="AR264" s="115"/>
      <c r="AS264" s="115"/>
      <c r="AT264" s="115"/>
    </row>
    <row r="265" spans="1:46" ht="39" customHeight="1" x14ac:dyDescent="0.25">
      <c r="A265" s="1468">
        <v>264</v>
      </c>
      <c r="B265" s="141">
        <v>3</v>
      </c>
      <c r="C265" s="358" t="s">
        <v>297</v>
      </c>
      <c r="D265" s="241" t="s">
        <v>134</v>
      </c>
      <c r="E265" s="241"/>
      <c r="F265" s="241"/>
      <c r="G265" s="261" t="s">
        <v>298</v>
      </c>
      <c r="H265" s="262" t="s">
        <v>85</v>
      </c>
      <c r="I265" s="371"/>
      <c r="J265" s="245" t="s">
        <v>556</v>
      </c>
      <c r="K265" s="216"/>
      <c r="L265" s="288" t="s">
        <v>1526</v>
      </c>
      <c r="M265" s="288" t="s">
        <v>1526</v>
      </c>
      <c r="N265" s="374"/>
      <c r="O265" s="385" t="s">
        <v>1586</v>
      </c>
      <c r="P265" s="247"/>
      <c r="Q265" s="344" t="s">
        <v>87</v>
      </c>
      <c r="R265" s="982" t="s">
        <v>1587</v>
      </c>
      <c r="S265" s="279">
        <v>26163</v>
      </c>
      <c r="T265" s="197"/>
      <c r="U265" s="251" t="s">
        <v>54</v>
      </c>
      <c r="V265" s="250" t="s">
        <v>2793</v>
      </c>
      <c r="W265" s="197" t="s">
        <v>56</v>
      </c>
      <c r="X265" s="197" t="s">
        <v>57</v>
      </c>
      <c r="Y265" s="197" t="s">
        <v>2609</v>
      </c>
      <c r="Z265" s="246">
        <v>45141</v>
      </c>
      <c r="AA265" s="388"/>
      <c r="AB265" s="288"/>
      <c r="AC265" s="223"/>
      <c r="AD265" s="288"/>
      <c r="AE265" s="384"/>
      <c r="AF265" s="384"/>
      <c r="AG265" s="392"/>
      <c r="AH265" s="283"/>
      <c r="AI265" s="254"/>
      <c r="AJ265" s="348" t="s">
        <v>560</v>
      </c>
      <c r="AK265" s="241">
        <v>4</v>
      </c>
      <c r="AL265" s="153" t="s">
        <v>332</v>
      </c>
      <c r="AM265" s="153" t="s">
        <v>267</v>
      </c>
      <c r="AN265" s="130"/>
      <c r="AO265" s="130"/>
      <c r="AP265" s="115"/>
      <c r="AQ265" s="115"/>
      <c r="AR265" s="115"/>
      <c r="AS265" s="115"/>
      <c r="AT265" s="116"/>
    </row>
    <row r="266" spans="1:46" ht="39" customHeight="1" x14ac:dyDescent="0.25">
      <c r="A266" s="1468">
        <v>265</v>
      </c>
      <c r="B266" s="141">
        <v>2</v>
      </c>
      <c r="C266" s="260" t="s">
        <v>311</v>
      </c>
      <c r="D266" s="241"/>
      <c r="E266" s="241"/>
      <c r="F266" s="241"/>
      <c r="G266" s="261" t="s">
        <v>312</v>
      </c>
      <c r="H266" s="262" t="s">
        <v>85</v>
      </c>
      <c r="I266" s="371"/>
      <c r="J266" s="245" t="s">
        <v>556</v>
      </c>
      <c r="K266" s="257"/>
      <c r="L266" s="299" t="s">
        <v>1925</v>
      </c>
      <c r="M266" s="299" t="s">
        <v>1925</v>
      </c>
      <c r="N266" s="299"/>
      <c r="O266" s="216" t="s">
        <v>2300</v>
      </c>
      <c r="P266" s="484" t="s">
        <v>1828</v>
      </c>
      <c r="Q266" s="344" t="s">
        <v>293</v>
      </c>
      <c r="R266" s="982" t="s">
        <v>2299</v>
      </c>
      <c r="S266" s="279">
        <v>29071</v>
      </c>
      <c r="T266" s="289"/>
      <c r="U266" s="251" t="s">
        <v>54</v>
      </c>
      <c r="V266" s="250" t="s">
        <v>1922</v>
      </c>
      <c r="W266" s="197" t="s">
        <v>56</v>
      </c>
      <c r="X266" s="197" t="s">
        <v>57</v>
      </c>
      <c r="Y266" s="252" t="s">
        <v>1933</v>
      </c>
      <c r="Z266" s="252">
        <v>45133</v>
      </c>
      <c r="AA266" s="289"/>
      <c r="AB266" s="299"/>
      <c r="AC266" s="223"/>
      <c r="AD266" s="299"/>
      <c r="AE266" s="289"/>
      <c r="AF266" s="289"/>
      <c r="AG266" s="299"/>
      <c r="AH266" s="299"/>
      <c r="AI266" s="223"/>
      <c r="AJ266" s="348" t="s">
        <v>560</v>
      </c>
      <c r="AK266" s="241">
        <v>4</v>
      </c>
      <c r="AL266" s="153" t="s">
        <v>332</v>
      </c>
      <c r="AM266" s="153" t="s">
        <v>267</v>
      </c>
      <c r="AN266" s="130"/>
      <c r="AO266" s="130"/>
      <c r="AP266" s="115"/>
      <c r="AQ266" s="115"/>
      <c r="AR266" s="115"/>
      <c r="AS266" s="115"/>
      <c r="AT266" s="115"/>
    </row>
    <row r="267" spans="1:46" ht="39" customHeight="1" x14ac:dyDescent="0.25">
      <c r="A267" s="1468">
        <v>266</v>
      </c>
      <c r="B267" s="141">
        <v>2</v>
      </c>
      <c r="C267" s="260" t="s">
        <v>317</v>
      </c>
      <c r="D267" s="241"/>
      <c r="E267" s="241"/>
      <c r="F267" s="241"/>
      <c r="G267" s="261" t="s">
        <v>318</v>
      </c>
      <c r="H267" s="262" t="s">
        <v>87</v>
      </c>
      <c r="I267" s="357"/>
      <c r="J267" s="245" t="s">
        <v>561</v>
      </c>
      <c r="K267" s="1457"/>
      <c r="L267" s="277" t="s">
        <v>5152</v>
      </c>
      <c r="M267" s="277" t="s">
        <v>5152</v>
      </c>
      <c r="N267" s="299"/>
      <c r="O267" s="1457" t="s">
        <v>5451</v>
      </c>
      <c r="P267" s="300" t="s">
        <v>1828</v>
      </c>
      <c r="Q267" s="344" t="s">
        <v>87</v>
      </c>
      <c r="R267" s="982" t="s">
        <v>5450</v>
      </c>
      <c r="S267" s="279">
        <v>30329</v>
      </c>
      <c r="T267" s="289"/>
      <c r="U267" s="251" t="s">
        <v>54</v>
      </c>
      <c r="V267" s="1457" t="s">
        <v>5447</v>
      </c>
      <c r="W267" s="280" t="s">
        <v>56</v>
      </c>
      <c r="X267" s="280" t="s">
        <v>57</v>
      </c>
      <c r="Y267" s="949" t="s">
        <v>4631</v>
      </c>
      <c r="Z267" s="246">
        <v>45270</v>
      </c>
      <c r="AA267" s="289"/>
      <c r="AB267" s="288"/>
      <c r="AC267" s="626"/>
      <c r="AD267" s="288"/>
      <c r="AE267" s="494"/>
      <c r="AF267" s="494"/>
      <c r="AG267" s="299"/>
      <c r="AH267" s="299"/>
      <c r="AI267" s="254"/>
      <c r="AJ267" s="348" t="s">
        <v>560</v>
      </c>
      <c r="AK267" s="241">
        <v>4</v>
      </c>
      <c r="AL267" s="153" t="s">
        <v>332</v>
      </c>
      <c r="AM267" s="153" t="s">
        <v>267</v>
      </c>
      <c r="AN267" s="110"/>
      <c r="AO267" s="110"/>
      <c r="AP267" s="115"/>
      <c r="AQ267" s="115"/>
      <c r="AR267" s="115"/>
      <c r="AS267" s="115"/>
      <c r="AT267" s="115"/>
    </row>
    <row r="268" spans="1:46" ht="39" customHeight="1" x14ac:dyDescent="0.25">
      <c r="A268" s="1468">
        <v>267</v>
      </c>
      <c r="B268" s="146">
        <v>2</v>
      </c>
      <c r="C268" s="260" t="s">
        <v>319</v>
      </c>
      <c r="D268" s="241"/>
      <c r="E268" s="241"/>
      <c r="F268" s="241"/>
      <c r="G268" s="261" t="s">
        <v>320</v>
      </c>
      <c r="H268" s="262" t="s">
        <v>87</v>
      </c>
      <c r="I268" s="364"/>
      <c r="J268" s="245" t="s">
        <v>561</v>
      </c>
      <c r="K268" s="216"/>
      <c r="L268" s="216" t="s">
        <v>1490</v>
      </c>
      <c r="M268" s="216" t="s">
        <v>1490</v>
      </c>
      <c r="N268" s="366"/>
      <c r="O268" s="216" t="s">
        <v>1485</v>
      </c>
      <c r="P268" s="320" t="s">
        <v>1828</v>
      </c>
      <c r="Q268" s="373" t="s">
        <v>132</v>
      </c>
      <c r="R268" s="982" t="s">
        <v>1484</v>
      </c>
      <c r="S268" s="279">
        <v>26689</v>
      </c>
      <c r="T268" s="197"/>
      <c r="U268" s="251" t="s">
        <v>54</v>
      </c>
      <c r="V268" s="250" t="s">
        <v>5909</v>
      </c>
      <c r="W268" s="280" t="s">
        <v>56</v>
      </c>
      <c r="X268" s="280" t="s">
        <v>57</v>
      </c>
      <c r="Y268" s="1461" t="s">
        <v>4631</v>
      </c>
      <c r="Z268" s="246">
        <v>45304</v>
      </c>
      <c r="AA268" s="252"/>
      <c r="AB268" s="301"/>
      <c r="AC268" s="223"/>
      <c r="AD268" s="301"/>
      <c r="AE268" s="306"/>
      <c r="AF268" s="306"/>
      <c r="AG268" s="282"/>
      <c r="AH268" s="301"/>
      <c r="AI268" s="223"/>
      <c r="AJ268" s="348" t="s">
        <v>560</v>
      </c>
      <c r="AK268" s="241">
        <v>4</v>
      </c>
      <c r="AL268" s="153" t="s">
        <v>332</v>
      </c>
      <c r="AM268" s="153" t="s">
        <v>267</v>
      </c>
      <c r="AN268" s="110"/>
      <c r="AO268" s="110"/>
      <c r="AP268" s="115"/>
      <c r="AQ268" s="115"/>
      <c r="AR268" s="115"/>
      <c r="AS268" s="115"/>
      <c r="AT268" s="116"/>
    </row>
    <row r="269" spans="1:46" ht="39" customHeight="1" x14ac:dyDescent="0.25">
      <c r="A269" s="1468">
        <v>268</v>
      </c>
      <c r="B269" s="141">
        <v>2</v>
      </c>
      <c r="C269" s="378" t="s">
        <v>321</v>
      </c>
      <c r="D269" s="303"/>
      <c r="E269" s="241"/>
      <c r="F269" s="241"/>
      <c r="G269" s="261" t="s">
        <v>322</v>
      </c>
      <c r="H269" s="262" t="s">
        <v>87</v>
      </c>
      <c r="I269" s="357"/>
      <c r="J269" s="245" t="s">
        <v>561</v>
      </c>
      <c r="K269" s="216"/>
      <c r="L269" s="299"/>
      <c r="M269" s="299"/>
      <c r="N269" s="245"/>
      <c r="O269" s="385" t="s">
        <v>3442</v>
      </c>
      <c r="P269" s="374"/>
      <c r="Q269" s="344" t="s">
        <v>293</v>
      </c>
      <c r="R269" s="982" t="s">
        <v>3441</v>
      </c>
      <c r="S269" s="279">
        <v>32863</v>
      </c>
      <c r="T269" s="289"/>
      <c r="U269" s="197"/>
      <c r="V269" s="197"/>
      <c r="W269" s="197"/>
      <c r="X269" s="197"/>
      <c r="Y269" s="197"/>
      <c r="Z269" s="246"/>
      <c r="AA269" s="281"/>
      <c r="AB269" s="245"/>
      <c r="AC269" s="223"/>
      <c r="AD269" s="245"/>
      <c r="AE269" s="289"/>
      <c r="AF269" s="289"/>
      <c r="AG269" s="241"/>
      <c r="AH269" s="253"/>
      <c r="AI269" s="284"/>
      <c r="AJ269" s="348" t="s">
        <v>560</v>
      </c>
      <c r="AK269" s="241">
        <v>4</v>
      </c>
      <c r="AL269" s="153" t="s">
        <v>332</v>
      </c>
      <c r="AM269" s="153" t="s">
        <v>267</v>
      </c>
      <c r="AN269" s="110"/>
      <c r="AO269" s="110"/>
      <c r="AP269" s="115"/>
      <c r="AQ269" s="115"/>
      <c r="AR269" s="115"/>
      <c r="AS269" s="115"/>
      <c r="AT269" s="115"/>
    </row>
    <row r="270" spans="1:46" ht="39" customHeight="1" x14ac:dyDescent="0.25">
      <c r="A270" s="1468">
        <v>269</v>
      </c>
      <c r="B270" s="141">
        <v>1</v>
      </c>
      <c r="C270" s="378" t="s">
        <v>323</v>
      </c>
      <c r="D270" s="303"/>
      <c r="E270" s="241"/>
      <c r="F270" s="241"/>
      <c r="G270" s="261" t="s">
        <v>324</v>
      </c>
      <c r="H270" s="262" t="s">
        <v>87</v>
      </c>
      <c r="I270" s="357"/>
      <c r="J270" s="245" t="s">
        <v>561</v>
      </c>
      <c r="K270" s="197"/>
      <c r="L270" s="301"/>
      <c r="M270" s="301"/>
      <c r="N270" s="245"/>
      <c r="O270" s="385" t="s">
        <v>3446</v>
      </c>
      <c r="P270" s="374"/>
      <c r="Q270" s="344" t="s">
        <v>132</v>
      </c>
      <c r="R270" s="982" t="s">
        <v>3445</v>
      </c>
      <c r="S270" s="279">
        <v>29056</v>
      </c>
      <c r="T270" s="250"/>
      <c r="U270" s="251" t="s">
        <v>54</v>
      </c>
      <c r="V270" s="250"/>
      <c r="W270" s="197" t="s">
        <v>56</v>
      </c>
      <c r="X270" s="197" t="s">
        <v>57</v>
      </c>
      <c r="Y270" s="595"/>
      <c r="Z270" s="698"/>
      <c r="AA270" s="698"/>
      <c r="AB270" s="281"/>
      <c r="AC270" s="281"/>
      <c r="AD270" s="281"/>
      <c r="AE270" s="252"/>
      <c r="AF270" s="252"/>
      <c r="AG270" s="282"/>
      <c r="AH270" s="282"/>
      <c r="AI270" s="254"/>
      <c r="AJ270" s="348" t="s">
        <v>560</v>
      </c>
      <c r="AK270" s="241">
        <v>4</v>
      </c>
      <c r="AL270" s="153" t="s">
        <v>332</v>
      </c>
      <c r="AM270" s="153" t="s">
        <v>267</v>
      </c>
      <c r="AN270" s="110"/>
      <c r="AO270" s="110"/>
      <c r="AP270" s="115"/>
      <c r="AQ270" s="115"/>
      <c r="AR270" s="115"/>
      <c r="AS270" s="115"/>
      <c r="AT270" s="115"/>
    </row>
    <row r="271" spans="1:46" ht="39" customHeight="1" x14ac:dyDescent="0.25">
      <c r="A271" s="1468">
        <v>270</v>
      </c>
      <c r="B271" s="141">
        <v>1</v>
      </c>
      <c r="C271" s="260" t="s">
        <v>325</v>
      </c>
      <c r="D271" s="241"/>
      <c r="E271" s="241"/>
      <c r="F271" s="241"/>
      <c r="G271" s="261" t="s">
        <v>324</v>
      </c>
      <c r="H271" s="262" t="s">
        <v>87</v>
      </c>
      <c r="I271" s="357"/>
      <c r="J271" s="245" t="s">
        <v>561</v>
      </c>
      <c r="K271" s="216"/>
      <c r="L271" s="301"/>
      <c r="M271" s="301"/>
      <c r="N271" s="281"/>
      <c r="O271" s="1357" t="s">
        <v>3450</v>
      </c>
      <c r="P271" s="304" t="s">
        <v>1828</v>
      </c>
      <c r="Q271" s="344" t="s">
        <v>87</v>
      </c>
      <c r="R271" s="982" t="s">
        <v>3449</v>
      </c>
      <c r="S271" s="279">
        <v>28956</v>
      </c>
      <c r="T271" s="252"/>
      <c r="U271" s="251" t="s">
        <v>54</v>
      </c>
      <c r="V271" s="1357" t="s">
        <v>4047</v>
      </c>
      <c r="W271" s="197" t="s">
        <v>56</v>
      </c>
      <c r="X271" s="197" t="s">
        <v>57</v>
      </c>
      <c r="Y271" s="979" t="s">
        <v>4631</v>
      </c>
      <c r="Z271" s="289">
        <v>45231</v>
      </c>
      <c r="AA271" s="327"/>
      <c r="AB271" s="282"/>
      <c r="AC271" s="223"/>
      <c r="AD271" s="282"/>
      <c r="AE271" s="252"/>
      <c r="AF271" s="252"/>
      <c r="AG271" s="282"/>
      <c r="AH271" s="283"/>
      <c r="AI271" s="254"/>
      <c r="AJ271" s="348" t="s">
        <v>560</v>
      </c>
      <c r="AK271" s="241">
        <v>4</v>
      </c>
      <c r="AL271" s="153" t="s">
        <v>332</v>
      </c>
      <c r="AM271" s="153" t="s">
        <v>267</v>
      </c>
      <c r="AN271" s="110"/>
      <c r="AO271" s="110"/>
      <c r="AP271" s="115"/>
      <c r="AQ271" s="115"/>
      <c r="AR271" s="115"/>
      <c r="AS271" s="115"/>
      <c r="AT271" s="115"/>
    </row>
    <row r="272" spans="1:46" ht="39" customHeight="1" x14ac:dyDescent="0.25">
      <c r="A272" s="1468">
        <v>271</v>
      </c>
      <c r="B272" s="117"/>
      <c r="C272" s="989"/>
      <c r="D272" s="664"/>
      <c r="E272" s="664"/>
      <c r="F272" s="664"/>
      <c r="G272" s="227"/>
      <c r="H272" s="228"/>
      <c r="I272" s="228"/>
      <c r="J272" s="229"/>
      <c r="K272" s="227"/>
      <c r="L272" s="229"/>
      <c r="M272" s="229"/>
      <c r="N272" s="229"/>
      <c r="O272" s="309"/>
      <c r="P272" s="230" t="s">
        <v>326</v>
      </c>
      <c r="Q272" s="664"/>
      <c r="R272" s="324"/>
      <c r="S272" s="279"/>
      <c r="T272" s="332"/>
      <c r="U272" s="332"/>
      <c r="V272" s="332"/>
      <c r="W272" s="232"/>
      <c r="X272" s="232"/>
      <c r="Y272" s="232"/>
      <c r="Z272" s="233"/>
      <c r="AA272" s="234"/>
      <c r="AB272" s="235"/>
      <c r="AC272" s="236"/>
      <c r="AD272" s="235"/>
      <c r="AE272" s="237"/>
      <c r="AF272" s="233"/>
      <c r="AG272" s="664"/>
      <c r="AH272" s="238"/>
      <c r="AI272" s="239"/>
      <c r="AJ272" s="576"/>
      <c r="AK272" s="664"/>
      <c r="AL272" s="113"/>
      <c r="AM272" s="113"/>
      <c r="AN272" s="113"/>
      <c r="AO272" s="114"/>
      <c r="AP272" s="115"/>
      <c r="AQ272" s="115"/>
      <c r="AR272" s="115"/>
      <c r="AS272" s="115"/>
      <c r="AT272" s="116"/>
    </row>
    <row r="273" spans="1:46" ht="39" customHeight="1" x14ac:dyDescent="0.25">
      <c r="A273" s="1468">
        <v>272</v>
      </c>
      <c r="B273" s="141">
        <v>5</v>
      </c>
      <c r="C273" s="290" t="s">
        <v>288</v>
      </c>
      <c r="D273" s="291"/>
      <c r="E273" s="291" t="s">
        <v>47</v>
      </c>
      <c r="F273" s="291"/>
      <c r="G273" s="292" t="s">
        <v>289</v>
      </c>
      <c r="H273" s="293" t="s">
        <v>132</v>
      </c>
      <c r="I273" s="344">
        <v>144</v>
      </c>
      <c r="J273" s="256">
        <v>403</v>
      </c>
      <c r="K273" s="197"/>
      <c r="L273" s="281"/>
      <c r="M273" s="281"/>
      <c r="N273" s="366"/>
      <c r="O273" s="216" t="s">
        <v>2449</v>
      </c>
      <c r="P273" s="247"/>
      <c r="Q273" s="375" t="s">
        <v>2447</v>
      </c>
      <c r="R273" s="982" t="s">
        <v>2448</v>
      </c>
      <c r="S273" s="279">
        <v>25128</v>
      </c>
      <c r="T273" s="197"/>
      <c r="U273" s="251" t="s">
        <v>54</v>
      </c>
      <c r="V273" s="250" t="s">
        <v>2793</v>
      </c>
      <c r="W273" s="197" t="s">
        <v>56</v>
      </c>
      <c r="X273" s="197" t="s">
        <v>57</v>
      </c>
      <c r="Y273" s="197" t="s">
        <v>2609</v>
      </c>
      <c r="Z273" s="246">
        <v>45178</v>
      </c>
      <c r="AA273" s="281"/>
      <c r="AB273" s="245"/>
      <c r="AC273" s="223"/>
      <c r="AD273" s="245"/>
      <c r="AE273" s="289"/>
      <c r="AF273" s="289"/>
      <c r="AG273" s="241"/>
      <c r="AH273" s="253"/>
      <c r="AI273" s="284"/>
      <c r="AJ273" s="348" t="s">
        <v>560</v>
      </c>
      <c r="AK273" s="348">
        <v>3</v>
      </c>
      <c r="AL273" s="145" t="s">
        <v>332</v>
      </c>
      <c r="AM273" s="145" t="s">
        <v>267</v>
      </c>
      <c r="AN273" s="130"/>
      <c r="AO273" s="130"/>
      <c r="AP273" s="115"/>
      <c r="AQ273" s="115"/>
      <c r="AR273" s="115"/>
      <c r="AS273" s="115"/>
      <c r="AT273" s="115"/>
    </row>
    <row r="274" spans="1:46" ht="39" customHeight="1" x14ac:dyDescent="0.25">
      <c r="A274" s="1468">
        <v>273</v>
      </c>
      <c r="B274" s="141">
        <v>3</v>
      </c>
      <c r="C274" s="356" t="s">
        <v>290</v>
      </c>
      <c r="D274" s="241" t="s">
        <v>134</v>
      </c>
      <c r="E274" s="241"/>
      <c r="F274" s="241"/>
      <c r="G274" s="261" t="s">
        <v>291</v>
      </c>
      <c r="H274" s="262" t="s">
        <v>85</v>
      </c>
      <c r="I274" s="346"/>
      <c r="J274" s="245" t="s">
        <v>556</v>
      </c>
      <c r="K274" s="436"/>
      <c r="L274" s="412"/>
      <c r="M274" s="412"/>
      <c r="N274" s="412"/>
      <c r="O274" s="277" t="s">
        <v>1583</v>
      </c>
      <c r="P274" s="413"/>
      <c r="Q274" s="291" t="s">
        <v>570</v>
      </c>
      <c r="R274" s="982" t="s">
        <v>2329</v>
      </c>
      <c r="S274" s="279">
        <v>26522</v>
      </c>
      <c r="T274" s="399"/>
      <c r="U274" s="251" t="s">
        <v>54</v>
      </c>
      <c r="V274" s="250" t="s">
        <v>2793</v>
      </c>
      <c r="W274" s="197" t="s">
        <v>56</v>
      </c>
      <c r="X274" s="197" t="s">
        <v>57</v>
      </c>
      <c r="Y274" s="197" t="s">
        <v>2609</v>
      </c>
      <c r="Z274" s="246">
        <v>45141</v>
      </c>
      <c r="AA274" s="289"/>
      <c r="AB274" s="299"/>
      <c r="AC274" s="223"/>
      <c r="AD274" s="299"/>
      <c r="AE274" s="289"/>
      <c r="AF274" s="289"/>
      <c r="AG274" s="299"/>
      <c r="AH274" s="299"/>
      <c r="AI274" s="223"/>
      <c r="AJ274" s="348" t="s">
        <v>560</v>
      </c>
      <c r="AK274" s="241">
        <v>4</v>
      </c>
      <c r="AL274" s="153" t="s">
        <v>332</v>
      </c>
      <c r="AM274" s="153" t="s">
        <v>267</v>
      </c>
      <c r="AN274" s="110" t="s">
        <v>4184</v>
      </c>
      <c r="AO274" s="130"/>
      <c r="AP274" s="115"/>
      <c r="AQ274" s="115"/>
      <c r="AR274" s="115"/>
      <c r="AS274" s="115"/>
      <c r="AT274" s="115"/>
    </row>
    <row r="275" spans="1:46" ht="39" customHeight="1" x14ac:dyDescent="0.25">
      <c r="A275" s="1468">
        <v>274</v>
      </c>
      <c r="B275" s="141">
        <v>3</v>
      </c>
      <c r="C275" s="358" t="s">
        <v>297</v>
      </c>
      <c r="D275" s="241" t="s">
        <v>134</v>
      </c>
      <c r="E275" s="241"/>
      <c r="F275" s="241"/>
      <c r="G275" s="261" t="s">
        <v>298</v>
      </c>
      <c r="H275" s="262" t="s">
        <v>85</v>
      </c>
      <c r="I275" s="346"/>
      <c r="J275" s="245" t="s">
        <v>556</v>
      </c>
      <c r="K275" s="216"/>
      <c r="L275" s="288" t="s">
        <v>1526</v>
      </c>
      <c r="M275" s="288" t="s">
        <v>1526</v>
      </c>
      <c r="N275" s="374"/>
      <c r="O275" s="385" t="s">
        <v>1588</v>
      </c>
      <c r="P275" s="374"/>
      <c r="Q275" s="373" t="s">
        <v>87</v>
      </c>
      <c r="R275" s="982" t="s">
        <v>1589</v>
      </c>
      <c r="S275" s="279">
        <v>34169</v>
      </c>
      <c r="T275" s="197"/>
      <c r="U275" s="251" t="s">
        <v>54</v>
      </c>
      <c r="V275" s="250" t="s">
        <v>1922</v>
      </c>
      <c r="W275" s="197" t="s">
        <v>56</v>
      </c>
      <c r="X275" s="197" t="s">
        <v>57</v>
      </c>
      <c r="Y275" s="252" t="s">
        <v>1933</v>
      </c>
      <c r="Z275" s="252">
        <v>45133</v>
      </c>
      <c r="AA275" s="388"/>
      <c r="AB275" s="288"/>
      <c r="AC275" s="223"/>
      <c r="AD275" s="288"/>
      <c r="AE275" s="384"/>
      <c r="AF275" s="384"/>
      <c r="AG275" s="392"/>
      <c r="AH275" s="283"/>
      <c r="AI275" s="254"/>
      <c r="AJ275" s="348" t="s">
        <v>560</v>
      </c>
      <c r="AK275" s="241">
        <v>4</v>
      </c>
      <c r="AL275" s="153" t="s">
        <v>332</v>
      </c>
      <c r="AM275" s="153" t="s">
        <v>267</v>
      </c>
      <c r="AN275" s="130"/>
      <c r="AO275" s="130"/>
      <c r="AP275" s="115"/>
      <c r="AQ275" s="115"/>
      <c r="AR275" s="115"/>
      <c r="AS275" s="115"/>
      <c r="AT275" s="116"/>
    </row>
    <row r="276" spans="1:46" ht="39" customHeight="1" x14ac:dyDescent="0.25">
      <c r="A276" s="1468">
        <v>275</v>
      </c>
      <c r="B276" s="141">
        <v>2</v>
      </c>
      <c r="C276" s="260" t="s">
        <v>311</v>
      </c>
      <c r="D276" s="241"/>
      <c r="E276" s="241"/>
      <c r="F276" s="241"/>
      <c r="G276" s="261" t="s">
        <v>312</v>
      </c>
      <c r="H276" s="262" t="s">
        <v>85</v>
      </c>
      <c r="I276" s="346"/>
      <c r="J276" s="245" t="s">
        <v>556</v>
      </c>
      <c r="K276" s="305"/>
      <c r="L276" s="245"/>
      <c r="M276" s="245"/>
      <c r="N276" s="366"/>
      <c r="O276" s="277" t="s">
        <v>2465</v>
      </c>
      <c r="P276" s="413"/>
      <c r="Q276" s="291" t="s">
        <v>293</v>
      </c>
      <c r="R276" s="982" t="s">
        <v>2464</v>
      </c>
      <c r="S276" s="279">
        <v>37488</v>
      </c>
      <c r="T276" s="306"/>
      <c r="U276" s="251" t="s">
        <v>54</v>
      </c>
      <c r="V276" s="250" t="s">
        <v>2793</v>
      </c>
      <c r="W276" s="197" t="s">
        <v>56</v>
      </c>
      <c r="X276" s="197" t="s">
        <v>57</v>
      </c>
      <c r="Y276" s="197" t="s">
        <v>2609</v>
      </c>
      <c r="Z276" s="246">
        <v>45186</v>
      </c>
      <c r="AA276" s="305"/>
      <c r="AB276" s="305"/>
      <c r="AC276" s="223"/>
      <c r="AD276" s="306"/>
      <c r="AE276" s="246"/>
      <c r="AF276" s="246"/>
      <c r="AG276" s="301"/>
      <c r="AH276" s="281"/>
      <c r="AI276" s="254"/>
      <c r="AJ276" s="348" t="s">
        <v>560</v>
      </c>
      <c r="AK276" s="241">
        <v>4</v>
      </c>
      <c r="AL276" s="153" t="s">
        <v>332</v>
      </c>
      <c r="AM276" s="153" t="s">
        <v>267</v>
      </c>
      <c r="AN276" s="130"/>
      <c r="AO276" s="130"/>
      <c r="AP276" s="115"/>
      <c r="AQ276" s="115"/>
      <c r="AR276" s="115"/>
      <c r="AS276" s="115"/>
      <c r="AT276" s="115"/>
    </row>
    <row r="277" spans="1:46" ht="39" customHeight="1" x14ac:dyDescent="0.25">
      <c r="A277" s="1468">
        <v>276</v>
      </c>
      <c r="B277" s="141">
        <v>2</v>
      </c>
      <c r="C277" s="260" t="s">
        <v>317</v>
      </c>
      <c r="D277" s="241"/>
      <c r="E277" s="241"/>
      <c r="F277" s="241"/>
      <c r="G277" s="261" t="s">
        <v>318</v>
      </c>
      <c r="H277" s="262" t="s">
        <v>87</v>
      </c>
      <c r="I277" s="357"/>
      <c r="J277" s="245" t="s">
        <v>561</v>
      </c>
      <c r="K277" s="307"/>
      <c r="L277" s="289"/>
      <c r="M277" s="289"/>
      <c r="N277" s="366"/>
      <c r="O277" s="1357" t="s">
        <v>3187</v>
      </c>
      <c r="P277" s="374"/>
      <c r="Q277" s="344" t="s">
        <v>293</v>
      </c>
      <c r="R277" s="982" t="s">
        <v>3188</v>
      </c>
      <c r="S277" s="279">
        <v>29553</v>
      </c>
      <c r="T277" s="223"/>
      <c r="U277" s="251" t="s">
        <v>54</v>
      </c>
      <c r="V277" s="250" t="s">
        <v>2793</v>
      </c>
      <c r="W277" s="197" t="s">
        <v>56</v>
      </c>
      <c r="X277" s="197" t="s">
        <v>57</v>
      </c>
      <c r="Y277" s="197" t="s">
        <v>2609</v>
      </c>
      <c r="Z277" s="246">
        <v>45148</v>
      </c>
      <c r="AA277" s="374"/>
      <c r="AB277" s="223"/>
      <c r="AC277" s="223"/>
      <c r="AD277" s="306"/>
      <c r="AE277" s="223"/>
      <c r="AF277" s="223"/>
      <c r="AG277" s="241"/>
      <c r="AH277" s="299"/>
      <c r="AI277" s="254"/>
      <c r="AJ277" s="348" t="s">
        <v>560</v>
      </c>
      <c r="AK277" s="241">
        <v>4</v>
      </c>
      <c r="AL277" s="153" t="s">
        <v>332</v>
      </c>
      <c r="AM277" s="153" t="s">
        <v>267</v>
      </c>
      <c r="AN277" s="110"/>
      <c r="AO277" s="110"/>
      <c r="AP277" s="115"/>
      <c r="AQ277" s="115"/>
      <c r="AR277" s="115"/>
      <c r="AS277" s="115"/>
      <c r="AT277" s="115"/>
    </row>
    <row r="278" spans="1:46" ht="39" customHeight="1" x14ac:dyDescent="0.25">
      <c r="A278" s="1468">
        <v>277</v>
      </c>
      <c r="B278" s="146">
        <v>2</v>
      </c>
      <c r="C278" s="260" t="s">
        <v>319</v>
      </c>
      <c r="D278" s="241"/>
      <c r="E278" s="241"/>
      <c r="F278" s="241"/>
      <c r="G278" s="261" t="s">
        <v>320</v>
      </c>
      <c r="H278" s="262" t="s">
        <v>87</v>
      </c>
      <c r="I278" s="357"/>
      <c r="J278" s="245" t="s">
        <v>561</v>
      </c>
      <c r="K278" s="685"/>
      <c r="L278" s="685"/>
      <c r="M278" s="685"/>
      <c r="N278" s="685"/>
      <c r="O278" s="385" t="s">
        <v>2495</v>
      </c>
      <c r="P278" s="385"/>
      <c r="Q278" s="344" t="s">
        <v>293</v>
      </c>
      <c r="R278" s="982" t="s">
        <v>2494</v>
      </c>
      <c r="S278" s="279">
        <v>27723</v>
      </c>
      <c r="T278" s="685"/>
      <c r="U278" s="251" t="s">
        <v>54</v>
      </c>
      <c r="V278" s="250" t="s">
        <v>2793</v>
      </c>
      <c r="W278" s="197" t="s">
        <v>56</v>
      </c>
      <c r="X278" s="197" t="s">
        <v>57</v>
      </c>
      <c r="Y278" s="197" t="s">
        <v>2609</v>
      </c>
      <c r="Z278" s="246">
        <v>45151</v>
      </c>
      <c r="AA278" s="685"/>
      <c r="AB278" s="685"/>
      <c r="AC278" s="685"/>
      <c r="AD278" s="1032"/>
      <c r="AE278" s="685"/>
      <c r="AF278" s="685"/>
      <c r="AG278" s="685"/>
      <c r="AH278" s="685"/>
      <c r="AI278" s="685"/>
      <c r="AJ278" s="348" t="s">
        <v>560</v>
      </c>
      <c r="AK278" s="241">
        <v>4</v>
      </c>
      <c r="AL278" s="153" t="s">
        <v>332</v>
      </c>
      <c r="AM278" s="153" t="s">
        <v>267</v>
      </c>
      <c r="AN278" s="110"/>
      <c r="AO278" s="110"/>
      <c r="AP278" s="115"/>
      <c r="AQ278" s="115"/>
      <c r="AR278" s="115"/>
      <c r="AS278" s="115"/>
      <c r="AT278" s="116"/>
    </row>
    <row r="279" spans="1:46" ht="39" customHeight="1" x14ac:dyDescent="0.25">
      <c r="A279" s="1468">
        <v>278</v>
      </c>
      <c r="B279" s="141">
        <v>2</v>
      </c>
      <c r="C279" s="378" t="s">
        <v>321</v>
      </c>
      <c r="D279" s="303"/>
      <c r="E279" s="241"/>
      <c r="F279" s="241"/>
      <c r="G279" s="261" t="s">
        <v>322</v>
      </c>
      <c r="H279" s="262" t="s">
        <v>87</v>
      </c>
      <c r="I279" s="364"/>
      <c r="J279" s="245" t="s">
        <v>561</v>
      </c>
      <c r="K279" s="216"/>
      <c r="L279" s="301" t="s">
        <v>1860</v>
      </c>
      <c r="M279" s="301" t="s">
        <v>1860</v>
      </c>
      <c r="N279" s="366"/>
      <c r="O279" s="951" t="s">
        <v>1881</v>
      </c>
      <c r="P279" s="484" t="s">
        <v>1828</v>
      </c>
      <c r="Q279" s="373" t="s">
        <v>87</v>
      </c>
      <c r="R279" s="982" t="s">
        <v>1880</v>
      </c>
      <c r="S279" s="279">
        <v>36572</v>
      </c>
      <c r="T279" s="306"/>
      <c r="U279" s="251" t="s">
        <v>54</v>
      </c>
      <c r="V279" s="1415" t="s">
        <v>5447</v>
      </c>
      <c r="W279" s="280" t="s">
        <v>56</v>
      </c>
      <c r="X279" s="280" t="s">
        <v>57</v>
      </c>
      <c r="Y279" s="949" t="s">
        <v>4631</v>
      </c>
      <c r="Z279" s="246">
        <v>45270</v>
      </c>
      <c r="AA279" s="289"/>
      <c r="AB279" s="299"/>
      <c r="AC279" s="223"/>
      <c r="AD279" s="299"/>
      <c r="AE279" s="289"/>
      <c r="AF279" s="289"/>
      <c r="AG279" s="299"/>
      <c r="AH279" s="299"/>
      <c r="AI279" s="296"/>
      <c r="AJ279" s="348" t="s">
        <v>560</v>
      </c>
      <c r="AK279" s="241">
        <v>4</v>
      </c>
      <c r="AL279" s="153" t="s">
        <v>332</v>
      </c>
      <c r="AM279" s="153" t="s">
        <v>267</v>
      </c>
      <c r="AN279" s="110"/>
      <c r="AO279" s="110"/>
      <c r="AP279" s="115"/>
      <c r="AQ279" s="115"/>
      <c r="AR279" s="115"/>
      <c r="AS279" s="115"/>
      <c r="AT279" s="115"/>
    </row>
    <row r="280" spans="1:46" ht="39" customHeight="1" x14ac:dyDescent="0.25">
      <c r="A280" s="1468">
        <v>279</v>
      </c>
      <c r="B280" s="141">
        <v>1</v>
      </c>
      <c r="C280" s="378" t="s">
        <v>323</v>
      </c>
      <c r="D280" s="303"/>
      <c r="E280" s="241"/>
      <c r="F280" s="241"/>
      <c r="G280" s="261" t="s">
        <v>324</v>
      </c>
      <c r="H280" s="262" t="s">
        <v>87</v>
      </c>
      <c r="I280" s="357"/>
      <c r="J280" s="245" t="s">
        <v>561</v>
      </c>
      <c r="K280" s="197"/>
      <c r="L280" s="281"/>
      <c r="M280" s="281"/>
      <c r="N280" s="366"/>
      <c r="O280" s="392"/>
      <c r="P280" s="595"/>
      <c r="Q280" s="348"/>
      <c r="R280" s="683" t="s">
        <v>66</v>
      </c>
      <c r="S280" s="279"/>
      <c r="T280" s="482"/>
      <c r="U280" s="250"/>
      <c r="V280" s="306"/>
      <c r="W280" s="981"/>
      <c r="X280" s="197"/>
      <c r="Y280" s="197"/>
      <c r="Z280" s="246"/>
      <c r="AA280" s="289"/>
      <c r="AB280" s="299"/>
      <c r="AC280" s="223"/>
      <c r="AD280" s="299"/>
      <c r="AE280" s="289"/>
      <c r="AF280" s="289"/>
      <c r="AG280" s="299"/>
      <c r="AH280" s="299"/>
      <c r="AI280" s="296"/>
      <c r="AJ280" s="348"/>
      <c r="AK280" s="241">
        <v>4</v>
      </c>
      <c r="AL280" s="153" t="s">
        <v>332</v>
      </c>
      <c r="AM280" s="153" t="s">
        <v>267</v>
      </c>
      <c r="AN280" s="110"/>
      <c r="AO280" s="110"/>
      <c r="AP280" s="115"/>
      <c r="AQ280" s="115"/>
      <c r="AR280" s="115"/>
      <c r="AS280" s="115"/>
      <c r="AT280" s="115"/>
    </row>
    <row r="281" spans="1:46" ht="39" customHeight="1" x14ac:dyDescent="0.25">
      <c r="A281" s="1468">
        <v>280</v>
      </c>
      <c r="B281" s="141">
        <v>1</v>
      </c>
      <c r="C281" s="260" t="s">
        <v>325</v>
      </c>
      <c r="D281" s="241"/>
      <c r="E281" s="241"/>
      <c r="F281" s="241"/>
      <c r="G281" s="261" t="s">
        <v>324</v>
      </c>
      <c r="H281" s="262" t="s">
        <v>87</v>
      </c>
      <c r="I281" s="357"/>
      <c r="J281" s="245" t="s">
        <v>561</v>
      </c>
      <c r="K281" s="216"/>
      <c r="L281" s="281"/>
      <c r="M281" s="281"/>
      <c r="N281" s="245"/>
      <c r="O281" s="392"/>
      <c r="P281" s="595"/>
      <c r="Q281" s="348"/>
      <c r="R281" s="1166" t="s">
        <v>66</v>
      </c>
      <c r="S281" s="279"/>
      <c r="T281" s="252"/>
      <c r="U281" s="250"/>
      <c r="V281" s="250"/>
      <c r="W281" s="197"/>
      <c r="X281" s="197"/>
      <c r="Y281" s="197"/>
      <c r="Z281" s="246"/>
      <c r="AA281" s="289"/>
      <c r="AB281" s="299"/>
      <c r="AC281" s="223"/>
      <c r="AD281" s="299"/>
      <c r="AE281" s="289"/>
      <c r="AF281" s="289"/>
      <c r="AG281" s="299"/>
      <c r="AH281" s="299"/>
      <c r="AI281" s="296"/>
      <c r="AJ281" s="348"/>
      <c r="AK281" s="241">
        <v>4</v>
      </c>
      <c r="AL281" s="153" t="s">
        <v>332</v>
      </c>
      <c r="AM281" s="153" t="s">
        <v>267</v>
      </c>
      <c r="AN281" s="110"/>
      <c r="AO281" s="110"/>
      <c r="AP281" s="115"/>
      <c r="AQ281" s="115"/>
      <c r="AR281" s="115"/>
      <c r="AS281" s="115"/>
      <c r="AT281" s="115"/>
    </row>
    <row r="282" spans="1:46" ht="39" customHeight="1" x14ac:dyDescent="0.25">
      <c r="A282" s="1468">
        <v>281</v>
      </c>
      <c r="B282" s="117"/>
      <c r="C282" s="989"/>
      <c r="D282" s="664"/>
      <c r="E282" s="664"/>
      <c r="F282" s="664"/>
      <c r="G282" s="227"/>
      <c r="H282" s="228"/>
      <c r="I282" s="228"/>
      <c r="J282" s="229"/>
      <c r="K282" s="227"/>
      <c r="L282" s="229"/>
      <c r="M282" s="229"/>
      <c r="N282" s="229"/>
      <c r="O282" s="309"/>
      <c r="P282" s="230" t="s">
        <v>327</v>
      </c>
      <c r="Q282" s="664"/>
      <c r="R282" s="324"/>
      <c r="S282" s="279"/>
      <c r="T282" s="232"/>
      <c r="U282" s="232"/>
      <c r="V282" s="232"/>
      <c r="W282" s="232"/>
      <c r="X282" s="232"/>
      <c r="Y282" s="232"/>
      <c r="Z282" s="233"/>
      <c r="AA282" s="234"/>
      <c r="AB282" s="235"/>
      <c r="AC282" s="236"/>
      <c r="AD282" s="235"/>
      <c r="AE282" s="237"/>
      <c r="AF282" s="233"/>
      <c r="AG282" s="664"/>
      <c r="AH282" s="238"/>
      <c r="AI282" s="239"/>
      <c r="AJ282" s="576"/>
      <c r="AK282" s="664"/>
      <c r="AL282" s="113"/>
      <c r="AM282" s="113"/>
      <c r="AN282" s="113"/>
      <c r="AO282" s="114"/>
      <c r="AP282" s="115"/>
      <c r="AQ282" s="115"/>
      <c r="AR282" s="115"/>
      <c r="AS282" s="115"/>
      <c r="AT282" s="116"/>
    </row>
    <row r="283" spans="1:46" ht="39" customHeight="1" x14ac:dyDescent="0.25">
      <c r="A283" s="1468">
        <v>282</v>
      </c>
      <c r="B283" s="141">
        <v>5</v>
      </c>
      <c r="C283" s="290" t="s">
        <v>288</v>
      </c>
      <c r="D283" s="291"/>
      <c r="E283" s="291" t="s">
        <v>47</v>
      </c>
      <c r="F283" s="291"/>
      <c r="G283" s="292" t="s">
        <v>289</v>
      </c>
      <c r="H283" s="293" t="s">
        <v>132</v>
      </c>
      <c r="I283" s="344">
        <v>144</v>
      </c>
      <c r="J283" s="256">
        <v>403</v>
      </c>
      <c r="K283" s="216"/>
      <c r="L283" s="288"/>
      <c r="M283" s="288"/>
      <c r="N283" s="374"/>
      <c r="O283" s="950" t="s">
        <v>2463</v>
      </c>
      <c r="P283" s="684"/>
      <c r="Q283" s="344" t="s">
        <v>567</v>
      </c>
      <c r="R283" s="982" t="s">
        <v>2462</v>
      </c>
      <c r="S283" s="279">
        <v>29967</v>
      </c>
      <c r="T283" s="197"/>
      <c r="U283" s="251" t="s">
        <v>54</v>
      </c>
      <c r="V283" s="250" t="s">
        <v>2793</v>
      </c>
      <c r="W283" s="197" t="s">
        <v>56</v>
      </c>
      <c r="X283" s="197" t="s">
        <v>57</v>
      </c>
      <c r="Y283" s="197" t="s">
        <v>2609</v>
      </c>
      <c r="Z283" s="246">
        <v>45142</v>
      </c>
      <c r="AA283" s="388"/>
      <c r="AB283" s="288"/>
      <c r="AC283" s="223"/>
      <c r="AD283" s="288"/>
      <c r="AE283" s="384"/>
      <c r="AF283" s="384"/>
      <c r="AG283" s="392"/>
      <c r="AH283" s="283"/>
      <c r="AI283" s="254"/>
      <c r="AJ283" s="348" t="s">
        <v>560</v>
      </c>
      <c r="AK283" s="348">
        <v>3</v>
      </c>
      <c r="AL283" s="145" t="s">
        <v>332</v>
      </c>
      <c r="AM283" s="145" t="s">
        <v>267</v>
      </c>
      <c r="AN283" s="130"/>
      <c r="AO283" s="130"/>
      <c r="AP283" s="115"/>
      <c r="AQ283" s="115"/>
      <c r="AR283" s="115"/>
      <c r="AS283" s="115"/>
      <c r="AT283" s="115"/>
    </row>
    <row r="284" spans="1:46" ht="39" customHeight="1" x14ac:dyDescent="0.25">
      <c r="A284" s="1468">
        <v>283</v>
      </c>
      <c r="B284" s="141">
        <v>3</v>
      </c>
      <c r="C284" s="356" t="s">
        <v>290</v>
      </c>
      <c r="D284" s="241" t="s">
        <v>134</v>
      </c>
      <c r="E284" s="241"/>
      <c r="F284" s="241"/>
      <c r="G284" s="261" t="s">
        <v>291</v>
      </c>
      <c r="H284" s="262" t="s">
        <v>85</v>
      </c>
      <c r="I284" s="346"/>
      <c r="J284" s="245" t="s">
        <v>556</v>
      </c>
      <c r="K284" s="216"/>
      <c r="L284" s="288"/>
      <c r="M284" s="288"/>
      <c r="N284" s="374"/>
      <c r="O284" s="385"/>
      <c r="P284" s="374"/>
      <c r="Q284" s="344"/>
      <c r="R284" s="683" t="s">
        <v>66</v>
      </c>
      <c r="S284" s="279"/>
      <c r="T284" s="197"/>
      <c r="U284" s="232"/>
      <c r="V284" s="250"/>
      <c r="W284" s="197"/>
      <c r="X284" s="197"/>
      <c r="Y284" s="197"/>
      <c r="Z284" s="246"/>
      <c r="AA284" s="388"/>
      <c r="AB284" s="288"/>
      <c r="AC284" s="223"/>
      <c r="AD284" s="288"/>
      <c r="AE284" s="384"/>
      <c r="AF284" s="384"/>
      <c r="AG284" s="392"/>
      <c r="AH284" s="283"/>
      <c r="AI284" s="254"/>
      <c r="AJ284" s="348"/>
      <c r="AK284" s="241">
        <v>4</v>
      </c>
      <c r="AL284" s="153" t="s">
        <v>332</v>
      </c>
      <c r="AM284" s="153" t="s">
        <v>267</v>
      </c>
      <c r="AN284" s="110" t="s">
        <v>4184</v>
      </c>
      <c r="AO284" s="130"/>
      <c r="AP284" s="115"/>
      <c r="AQ284" s="115"/>
      <c r="AR284" s="115"/>
      <c r="AS284" s="115"/>
      <c r="AT284" s="115"/>
    </row>
    <row r="285" spans="1:46" ht="39" customHeight="1" x14ac:dyDescent="0.25">
      <c r="A285" s="1468">
        <v>284</v>
      </c>
      <c r="B285" s="141">
        <v>3</v>
      </c>
      <c r="C285" s="358" t="s">
        <v>297</v>
      </c>
      <c r="D285" s="241" t="s">
        <v>134</v>
      </c>
      <c r="E285" s="241"/>
      <c r="F285" s="241"/>
      <c r="G285" s="261" t="s">
        <v>298</v>
      </c>
      <c r="H285" s="262" t="s">
        <v>85</v>
      </c>
      <c r="I285" s="346"/>
      <c r="J285" s="245" t="s">
        <v>556</v>
      </c>
      <c r="K285" s="216" t="s">
        <v>144</v>
      </c>
      <c r="L285" s="216" t="s">
        <v>1011</v>
      </c>
      <c r="M285" s="216" t="s">
        <v>1011</v>
      </c>
      <c r="N285" s="281"/>
      <c r="O285" s="216" t="s">
        <v>1012</v>
      </c>
      <c r="P285" s="320"/>
      <c r="Q285" s="379" t="s">
        <v>293</v>
      </c>
      <c r="R285" s="982" t="s">
        <v>1013</v>
      </c>
      <c r="S285" s="279">
        <v>37812</v>
      </c>
      <c r="T285" s="250"/>
      <c r="U285" s="251" t="s">
        <v>54</v>
      </c>
      <c r="V285" s="252" t="s">
        <v>990</v>
      </c>
      <c r="W285" s="197" t="s">
        <v>56</v>
      </c>
      <c r="X285" s="197" t="s">
        <v>57</v>
      </c>
      <c r="Y285" s="197" t="s">
        <v>951</v>
      </c>
      <c r="Z285" s="252">
        <v>44863</v>
      </c>
      <c r="AA285" s="252"/>
      <c r="AB285" s="282"/>
      <c r="AC285" s="223" t="s">
        <v>946</v>
      </c>
      <c r="AD285" s="301"/>
      <c r="AE285" s="384"/>
      <c r="AF285" s="384"/>
      <c r="AG285" s="305" t="s">
        <v>61</v>
      </c>
      <c r="AH285" s="283"/>
      <c r="AI285" s="223"/>
      <c r="AJ285" s="348" t="s">
        <v>560</v>
      </c>
      <c r="AK285" s="241">
        <v>4</v>
      </c>
      <c r="AL285" s="153" t="s">
        <v>332</v>
      </c>
      <c r="AM285" s="153" t="s">
        <v>267</v>
      </c>
      <c r="AN285" s="130"/>
      <c r="AO285" s="130"/>
      <c r="AP285" s="115"/>
      <c r="AQ285" s="115"/>
      <c r="AR285" s="115"/>
      <c r="AS285" s="115"/>
      <c r="AT285" s="116"/>
    </row>
    <row r="286" spans="1:46" ht="39" customHeight="1" x14ac:dyDescent="0.25">
      <c r="A286" s="1468">
        <v>285</v>
      </c>
      <c r="B286" s="141">
        <v>2</v>
      </c>
      <c r="C286" s="260" t="s">
        <v>311</v>
      </c>
      <c r="D286" s="241"/>
      <c r="E286" s="241"/>
      <c r="F286" s="241"/>
      <c r="G286" s="261" t="s">
        <v>312</v>
      </c>
      <c r="H286" s="262" t="s">
        <v>85</v>
      </c>
      <c r="I286" s="346"/>
      <c r="J286" s="245" t="s">
        <v>556</v>
      </c>
      <c r="K286" s="257"/>
      <c r="L286" s="301" t="s">
        <v>2019</v>
      </c>
      <c r="M286" s="301" t="s">
        <v>2019</v>
      </c>
      <c r="N286" s="245"/>
      <c r="O286" s="216" t="s">
        <v>2533</v>
      </c>
      <c r="P286" s="325" t="s">
        <v>1828</v>
      </c>
      <c r="Q286" s="344" t="s">
        <v>293</v>
      </c>
      <c r="R286" s="982" t="s">
        <v>2532</v>
      </c>
      <c r="S286" s="279">
        <v>31057</v>
      </c>
      <c r="T286" s="289"/>
      <c r="U286" s="197"/>
      <c r="V286" s="250"/>
      <c r="W286" s="197"/>
      <c r="X286" s="197"/>
      <c r="Y286" s="197"/>
      <c r="Z286" s="246"/>
      <c r="AA286" s="683"/>
      <c r="AB286" s="245"/>
      <c r="AC286" s="223"/>
      <c r="AD286" s="245"/>
      <c r="AE286" s="289"/>
      <c r="AF286" s="289"/>
      <c r="AG286" s="241"/>
      <c r="AH286" s="253"/>
      <c r="AI286" s="284"/>
      <c r="AJ286" s="348" t="s">
        <v>560</v>
      </c>
      <c r="AK286" s="241">
        <v>4</v>
      </c>
      <c r="AL286" s="153" t="s">
        <v>332</v>
      </c>
      <c r="AM286" s="153" t="s">
        <v>267</v>
      </c>
      <c r="AN286" s="130"/>
      <c r="AO286" s="130"/>
      <c r="AP286" s="115"/>
      <c r="AQ286" s="115"/>
      <c r="AR286" s="115"/>
      <c r="AS286" s="115"/>
      <c r="AT286" s="115"/>
    </row>
    <row r="287" spans="1:46" ht="39" customHeight="1" x14ac:dyDescent="0.25">
      <c r="A287" s="1468">
        <v>286</v>
      </c>
      <c r="B287" s="141">
        <v>2</v>
      </c>
      <c r="C287" s="260" t="s">
        <v>317</v>
      </c>
      <c r="D287" s="241"/>
      <c r="E287" s="241"/>
      <c r="F287" s="241"/>
      <c r="G287" s="261" t="s">
        <v>318</v>
      </c>
      <c r="H287" s="262" t="s">
        <v>87</v>
      </c>
      <c r="I287" s="357"/>
      <c r="J287" s="245" t="s">
        <v>561</v>
      </c>
      <c r="K287" s="216"/>
      <c r="L287" s="299"/>
      <c r="M287" s="299"/>
      <c r="N287" s="245"/>
      <c r="O287" s="950"/>
      <c r="P287" s="484"/>
      <c r="Q287" s="485"/>
      <c r="R287" s="998" t="s">
        <v>66</v>
      </c>
      <c r="S287" s="279"/>
      <c r="T287" s="289"/>
      <c r="U287" s="232"/>
      <c r="V287" s="250"/>
      <c r="W287" s="197"/>
      <c r="X287" s="197"/>
      <c r="Y287" s="197"/>
      <c r="Z287" s="246"/>
      <c r="AA287" s="281"/>
      <c r="AB287" s="245"/>
      <c r="AC287" s="223"/>
      <c r="AD287" s="245"/>
      <c r="AE287" s="289"/>
      <c r="AF287" s="289"/>
      <c r="AG287" s="241"/>
      <c r="AH287" s="253"/>
      <c r="AI287" s="284"/>
      <c r="AJ287" s="348"/>
      <c r="AK287" s="241">
        <v>4</v>
      </c>
      <c r="AL287" s="153" t="s">
        <v>332</v>
      </c>
      <c r="AM287" s="153" t="s">
        <v>267</v>
      </c>
      <c r="AN287" s="110"/>
      <c r="AO287" s="110"/>
      <c r="AP287" s="115"/>
      <c r="AQ287" s="115"/>
      <c r="AR287" s="115"/>
      <c r="AS287" s="115"/>
      <c r="AT287" s="115"/>
    </row>
    <row r="288" spans="1:46" ht="39" customHeight="1" x14ac:dyDescent="0.25">
      <c r="A288" s="1468">
        <v>287</v>
      </c>
      <c r="B288" s="146">
        <v>2</v>
      </c>
      <c r="C288" s="260" t="s">
        <v>319</v>
      </c>
      <c r="D288" s="241"/>
      <c r="E288" s="241"/>
      <c r="F288" s="241"/>
      <c r="G288" s="261" t="s">
        <v>320</v>
      </c>
      <c r="H288" s="262" t="s">
        <v>87</v>
      </c>
      <c r="I288" s="357"/>
      <c r="J288" s="245" t="s">
        <v>561</v>
      </c>
      <c r="K288" s="216"/>
      <c r="L288" s="299" t="s">
        <v>1898</v>
      </c>
      <c r="M288" s="299" t="s">
        <v>1898</v>
      </c>
      <c r="N288" s="245"/>
      <c r="O288" s="950" t="s">
        <v>2290</v>
      </c>
      <c r="P288" s="484" t="s">
        <v>1828</v>
      </c>
      <c r="Q288" s="485" t="s">
        <v>132</v>
      </c>
      <c r="R288" s="998" t="s">
        <v>2289</v>
      </c>
      <c r="S288" s="279">
        <v>27962</v>
      </c>
      <c r="T288" s="289"/>
      <c r="U288" s="251" t="s">
        <v>54</v>
      </c>
      <c r="V288" s="250" t="s">
        <v>2793</v>
      </c>
      <c r="W288" s="197" t="s">
        <v>56</v>
      </c>
      <c r="X288" s="197" t="s">
        <v>57</v>
      </c>
      <c r="Y288" s="197" t="s">
        <v>2609</v>
      </c>
      <c r="Z288" s="246">
        <v>45178</v>
      </c>
      <c r="AA288" s="281"/>
      <c r="AB288" s="245"/>
      <c r="AC288" s="223"/>
      <c r="AD288" s="245"/>
      <c r="AE288" s="289"/>
      <c r="AF288" s="289"/>
      <c r="AG288" s="241"/>
      <c r="AH288" s="253"/>
      <c r="AI288" s="284"/>
      <c r="AJ288" s="348" t="s">
        <v>560</v>
      </c>
      <c r="AK288" s="241">
        <v>4</v>
      </c>
      <c r="AL288" s="153" t="s">
        <v>332</v>
      </c>
      <c r="AM288" s="153" t="s">
        <v>267</v>
      </c>
      <c r="AN288" s="110"/>
      <c r="AO288" s="110"/>
      <c r="AP288" s="115"/>
      <c r="AQ288" s="115"/>
      <c r="AR288" s="115"/>
      <c r="AS288" s="115"/>
      <c r="AT288" s="116"/>
    </row>
    <row r="289" spans="1:46" ht="39" customHeight="1" x14ac:dyDescent="0.25">
      <c r="A289" s="1468">
        <v>288</v>
      </c>
      <c r="B289" s="141">
        <v>2</v>
      </c>
      <c r="C289" s="378" t="s">
        <v>321</v>
      </c>
      <c r="D289" s="303"/>
      <c r="E289" s="241"/>
      <c r="F289" s="241"/>
      <c r="G289" s="261" t="s">
        <v>322</v>
      </c>
      <c r="H289" s="262" t="s">
        <v>87</v>
      </c>
      <c r="I289" s="357"/>
      <c r="J289" s="245" t="s">
        <v>561</v>
      </c>
      <c r="K289" s="216"/>
      <c r="L289" s="216" t="s">
        <v>1490</v>
      </c>
      <c r="M289" s="216" t="s">
        <v>1490</v>
      </c>
      <c r="N289" s="1234" t="s">
        <v>4212</v>
      </c>
      <c r="O289" s="286" t="s">
        <v>1517</v>
      </c>
      <c r="P289" s="320" t="s">
        <v>1828</v>
      </c>
      <c r="Q289" s="348" t="s">
        <v>570</v>
      </c>
      <c r="R289" s="1166" t="s">
        <v>1516</v>
      </c>
      <c r="S289" s="279">
        <v>30030</v>
      </c>
      <c r="T289" s="223"/>
      <c r="U289" s="251" t="s">
        <v>54</v>
      </c>
      <c r="V289" s="250" t="s">
        <v>1922</v>
      </c>
      <c r="W289" s="197" t="s">
        <v>56</v>
      </c>
      <c r="X289" s="197" t="s">
        <v>57</v>
      </c>
      <c r="Y289" s="252" t="s">
        <v>1933</v>
      </c>
      <c r="Z289" s="252">
        <v>45133</v>
      </c>
      <c r="AA289" s="374"/>
      <c r="AB289" s="223"/>
      <c r="AC289" s="223"/>
      <c r="AD289" s="257"/>
      <c r="AE289" s="223"/>
      <c r="AF289" s="223"/>
      <c r="AG289" s="282"/>
      <c r="AH289" s="389"/>
      <c r="AI289" s="296"/>
      <c r="AJ289" s="348" t="s">
        <v>560</v>
      </c>
      <c r="AK289" s="241">
        <v>4</v>
      </c>
      <c r="AL289" s="153" t="s">
        <v>332</v>
      </c>
      <c r="AM289" s="153" t="s">
        <v>267</v>
      </c>
      <c r="AN289" s="110"/>
      <c r="AO289" s="110"/>
      <c r="AP289" s="115"/>
      <c r="AQ289" s="115"/>
      <c r="AR289" s="115"/>
      <c r="AS289" s="115"/>
      <c r="AT289" s="115"/>
    </row>
    <row r="290" spans="1:46" ht="39" customHeight="1" x14ac:dyDescent="0.25">
      <c r="A290" s="1468">
        <v>289</v>
      </c>
      <c r="B290" s="141">
        <v>1</v>
      </c>
      <c r="C290" s="378" t="s">
        <v>323</v>
      </c>
      <c r="D290" s="303"/>
      <c r="E290" s="241"/>
      <c r="F290" s="241"/>
      <c r="G290" s="261" t="s">
        <v>324</v>
      </c>
      <c r="H290" s="262" t="s">
        <v>87</v>
      </c>
      <c r="I290" s="364"/>
      <c r="J290" s="245" t="s">
        <v>561</v>
      </c>
      <c r="K290" s="397"/>
      <c r="L290" s="756"/>
      <c r="M290" s="756"/>
      <c r="N290" s="454"/>
      <c r="O290" s="906"/>
      <c r="P290" s="454"/>
      <c r="Q290" s="485"/>
      <c r="R290" s="683" t="s">
        <v>66</v>
      </c>
      <c r="S290" s="279"/>
      <c r="T290" s="280"/>
      <c r="U290" s="232"/>
      <c r="V290" s="250"/>
      <c r="W290" s="197"/>
      <c r="X290" s="197"/>
      <c r="Y290" s="197"/>
      <c r="Z290" s="246"/>
      <c r="AA290" s="388"/>
      <c r="AB290" s="288"/>
      <c r="AC290" s="223"/>
      <c r="AD290" s="288"/>
      <c r="AE290" s="384"/>
      <c r="AF290" s="384"/>
      <c r="AG290" s="392"/>
      <c r="AH290" s="283"/>
      <c r="AI290" s="254"/>
      <c r="AJ290" s="348"/>
      <c r="AK290" s="241">
        <v>4</v>
      </c>
      <c r="AL290" s="153" t="s">
        <v>332</v>
      </c>
      <c r="AM290" s="153" t="s">
        <v>267</v>
      </c>
      <c r="AN290" s="110"/>
      <c r="AO290" s="110"/>
      <c r="AP290" s="115"/>
      <c r="AQ290" s="115"/>
      <c r="AR290" s="115"/>
      <c r="AS290" s="115"/>
      <c r="AT290" s="115"/>
    </row>
    <row r="291" spans="1:46" ht="39" customHeight="1" x14ac:dyDescent="0.25">
      <c r="A291" s="1468">
        <v>290</v>
      </c>
      <c r="B291" s="141">
        <v>1</v>
      </c>
      <c r="C291" s="260" t="s">
        <v>325</v>
      </c>
      <c r="D291" s="241"/>
      <c r="E291" s="241"/>
      <c r="F291" s="241"/>
      <c r="G291" s="261" t="s">
        <v>324</v>
      </c>
      <c r="H291" s="262" t="s">
        <v>87</v>
      </c>
      <c r="I291" s="357"/>
      <c r="J291" s="245" t="s">
        <v>561</v>
      </c>
      <c r="K291" s="684"/>
      <c r="L291" s="685"/>
      <c r="M291" s="685"/>
      <c r="N291" s="684"/>
      <c r="O291" s="906" t="s">
        <v>2624</v>
      </c>
      <c r="P291" s="454"/>
      <c r="Q291" s="485" t="s">
        <v>519</v>
      </c>
      <c r="R291" s="998" t="s">
        <v>2623</v>
      </c>
      <c r="S291" s="279">
        <v>30289</v>
      </c>
      <c r="T291" s="684"/>
      <c r="U291" s="251" t="s">
        <v>54</v>
      </c>
      <c r="V291" s="250" t="s">
        <v>2793</v>
      </c>
      <c r="W291" s="197" t="s">
        <v>56</v>
      </c>
      <c r="X291" s="197" t="s">
        <v>57</v>
      </c>
      <c r="Y291" s="197" t="s">
        <v>2609</v>
      </c>
      <c r="Z291" s="246">
        <v>45141</v>
      </c>
      <c r="AA291" s="684"/>
      <c r="AB291" s="1290"/>
      <c r="AC291" s="684"/>
      <c r="AD291" s="686"/>
      <c r="AE291" s="684"/>
      <c r="AF291" s="684"/>
      <c r="AG291" s="684"/>
      <c r="AH291" s="684"/>
      <c r="AI291" s="685"/>
      <c r="AJ291" s="348" t="s">
        <v>560</v>
      </c>
      <c r="AK291" s="241">
        <v>4</v>
      </c>
      <c r="AL291" s="153" t="s">
        <v>332</v>
      </c>
      <c r="AM291" s="153" t="s">
        <v>267</v>
      </c>
      <c r="AN291" s="110"/>
      <c r="AO291" s="110"/>
      <c r="AP291" s="115"/>
      <c r="AQ291" s="115"/>
      <c r="AR291" s="115"/>
      <c r="AS291" s="115"/>
      <c r="AT291" s="115"/>
    </row>
    <row r="292" spans="1:46" ht="39" customHeight="1" x14ac:dyDescent="0.25">
      <c r="A292" s="1468">
        <v>291</v>
      </c>
      <c r="B292" s="117"/>
      <c r="C292" s="989"/>
      <c r="D292" s="664"/>
      <c r="E292" s="664"/>
      <c r="F292" s="664"/>
      <c r="G292" s="227"/>
      <c r="H292" s="228"/>
      <c r="I292" s="228"/>
      <c r="J292" s="229"/>
      <c r="K292" s="227"/>
      <c r="L292" s="229"/>
      <c r="M292" s="229"/>
      <c r="N292" s="229"/>
      <c r="O292" s="309"/>
      <c r="P292" s="230" t="s">
        <v>335</v>
      </c>
      <c r="Q292" s="664"/>
      <c r="R292" s="324"/>
      <c r="S292" s="279"/>
      <c r="T292" s="232"/>
      <c r="U292" s="232"/>
      <c r="V292" s="232"/>
      <c r="W292" s="232"/>
      <c r="X292" s="232"/>
      <c r="Y292" s="232"/>
      <c r="Z292" s="233"/>
      <c r="AA292" s="234"/>
      <c r="AB292" s="235"/>
      <c r="AC292" s="236"/>
      <c r="AD292" s="235"/>
      <c r="AE292" s="237"/>
      <c r="AF292" s="233"/>
      <c r="AG292" s="664"/>
      <c r="AH292" s="238"/>
      <c r="AI292" s="239"/>
      <c r="AJ292" s="576"/>
      <c r="AK292" s="664"/>
      <c r="AL292" s="113"/>
      <c r="AM292" s="113"/>
      <c r="AN292" s="113"/>
      <c r="AO292" s="114"/>
      <c r="AP292" s="115"/>
      <c r="AQ292" s="115"/>
      <c r="AR292" s="115"/>
      <c r="AS292" s="115"/>
      <c r="AT292" s="116"/>
    </row>
    <row r="293" spans="1:46" ht="39" customHeight="1" x14ac:dyDescent="0.25">
      <c r="A293" s="1468">
        <v>292</v>
      </c>
      <c r="B293" s="119" t="s">
        <v>276</v>
      </c>
      <c r="C293" s="240" t="s">
        <v>277</v>
      </c>
      <c r="D293" s="282"/>
      <c r="E293" s="338" t="s">
        <v>47</v>
      </c>
      <c r="F293" s="282"/>
      <c r="G293" s="339" t="s">
        <v>91</v>
      </c>
      <c r="H293" s="340" t="s">
        <v>78</v>
      </c>
      <c r="I293" s="340"/>
      <c r="J293" s="245">
        <v>300</v>
      </c>
      <c r="K293" s="197" t="s">
        <v>50</v>
      </c>
      <c r="L293" s="281" t="s">
        <v>1815</v>
      </c>
      <c r="M293" s="281" t="s">
        <v>1815</v>
      </c>
      <c r="N293" s="245"/>
      <c r="O293" s="1476" t="s">
        <v>1819</v>
      </c>
      <c r="P293" s="287" t="s">
        <v>1828</v>
      </c>
      <c r="Q293" s="338" t="s">
        <v>92</v>
      </c>
      <c r="R293" s="990" t="s">
        <v>1818</v>
      </c>
      <c r="S293" s="279">
        <v>26941</v>
      </c>
      <c r="T293" s="197"/>
      <c r="U293" s="251" t="s">
        <v>54</v>
      </c>
      <c r="V293" s="250" t="s">
        <v>2058</v>
      </c>
      <c r="W293" s="250" t="s">
        <v>56</v>
      </c>
      <c r="X293" s="197" t="s">
        <v>57</v>
      </c>
      <c r="Y293" s="197" t="s">
        <v>951</v>
      </c>
      <c r="Z293" s="252">
        <v>45163</v>
      </c>
      <c r="AA293" s="252"/>
      <c r="AB293" s="282"/>
      <c r="AC293" s="223"/>
      <c r="AD293" s="282"/>
      <c r="AE293" s="252"/>
      <c r="AF293" s="252"/>
      <c r="AG293" s="241"/>
      <c r="AH293" s="283"/>
      <c r="AI293" s="254"/>
      <c r="AJ293" s="255" t="s">
        <v>62</v>
      </c>
      <c r="AK293" s="242">
        <v>1</v>
      </c>
      <c r="AL293" s="123" t="s">
        <v>336</v>
      </c>
      <c r="AM293" s="123" t="s">
        <v>267</v>
      </c>
      <c r="AN293" s="124"/>
      <c r="AO293" s="124"/>
      <c r="AP293" s="115"/>
      <c r="AQ293" s="115"/>
      <c r="AR293" s="115"/>
      <c r="AS293" s="115"/>
      <c r="AT293" s="115"/>
    </row>
    <row r="294" spans="1:46" ht="39" customHeight="1" x14ac:dyDescent="0.25">
      <c r="A294" s="1468">
        <v>293</v>
      </c>
      <c r="B294" s="119">
        <v>12</v>
      </c>
      <c r="C294" s="240" t="s">
        <v>279</v>
      </c>
      <c r="D294" s="282"/>
      <c r="E294" s="338" t="s">
        <v>47</v>
      </c>
      <c r="F294" s="282"/>
      <c r="G294" s="339" t="s">
        <v>280</v>
      </c>
      <c r="H294" s="244" t="s">
        <v>83</v>
      </c>
      <c r="I294" s="340"/>
      <c r="J294" s="245">
        <v>302</v>
      </c>
      <c r="K294" s="197" t="s">
        <v>50</v>
      </c>
      <c r="L294" s="216" t="s">
        <v>2370</v>
      </c>
      <c r="M294" s="216" t="s">
        <v>2370</v>
      </c>
      <c r="N294" s="245"/>
      <c r="O294" s="1476" t="s">
        <v>2371</v>
      </c>
      <c r="P294" s="287"/>
      <c r="Q294" s="338" t="s">
        <v>2335</v>
      </c>
      <c r="R294" s="990" t="s">
        <v>2340</v>
      </c>
      <c r="S294" s="279">
        <v>32706</v>
      </c>
      <c r="T294" s="197"/>
      <c r="U294" s="251" t="s">
        <v>54</v>
      </c>
      <c r="V294" s="268" t="s">
        <v>5891</v>
      </c>
      <c r="W294" s="197" t="s">
        <v>56</v>
      </c>
      <c r="X294" s="197" t="s">
        <v>57</v>
      </c>
      <c r="Y294" s="981" t="s">
        <v>5959</v>
      </c>
      <c r="Z294" s="1042">
        <v>45301</v>
      </c>
      <c r="AA294" s="197"/>
      <c r="AB294" s="282"/>
      <c r="AC294" s="223"/>
      <c r="AD294" s="282"/>
      <c r="AE294" s="258"/>
      <c r="AF294" s="258"/>
      <c r="AG294" s="241"/>
      <c r="AH294" s="283"/>
      <c r="AI294" s="254"/>
      <c r="AJ294" s="255" t="s">
        <v>62</v>
      </c>
      <c r="AK294" s="242">
        <v>1</v>
      </c>
      <c r="AL294" s="123" t="s">
        <v>336</v>
      </c>
      <c r="AM294" s="123" t="s">
        <v>267</v>
      </c>
      <c r="AN294" s="124"/>
      <c r="AO294" s="124"/>
      <c r="AP294" s="115"/>
      <c r="AQ294" s="115"/>
      <c r="AR294" s="115"/>
      <c r="AS294" s="115"/>
      <c r="AT294" s="115"/>
    </row>
    <row r="295" spans="1:46" ht="39" customHeight="1" x14ac:dyDescent="0.25">
      <c r="A295" s="1468">
        <v>294</v>
      </c>
      <c r="B295" s="131">
        <v>9</v>
      </c>
      <c r="C295" s="311" t="s">
        <v>281</v>
      </c>
      <c r="D295" s="282"/>
      <c r="E295" s="353" t="s">
        <v>47</v>
      </c>
      <c r="F295" s="282"/>
      <c r="G295" s="445" t="s">
        <v>282</v>
      </c>
      <c r="H295" s="350" t="s">
        <v>283</v>
      </c>
      <c r="I295" s="350"/>
      <c r="J295" s="281">
        <v>410</v>
      </c>
      <c r="K295" s="216"/>
      <c r="L295" s="281" t="s">
        <v>1481</v>
      </c>
      <c r="M295" s="281" t="s">
        <v>1481</v>
      </c>
      <c r="N295" s="216"/>
      <c r="O295" s="216" t="s">
        <v>1480</v>
      </c>
      <c r="P295" s="320" t="s">
        <v>1828</v>
      </c>
      <c r="Q295" s="353" t="s">
        <v>49</v>
      </c>
      <c r="R295" s="1140" t="s">
        <v>1479</v>
      </c>
      <c r="S295" s="279">
        <v>26941</v>
      </c>
      <c r="T295" s="197"/>
      <c r="U295" s="251" t="s">
        <v>54</v>
      </c>
      <c r="V295" s="250" t="s">
        <v>1676</v>
      </c>
      <c r="W295" s="197" t="s">
        <v>56</v>
      </c>
      <c r="X295" s="197" t="s">
        <v>57</v>
      </c>
      <c r="Y295" s="949" t="s">
        <v>5823</v>
      </c>
      <c r="Z295" s="246"/>
      <c r="AA295" s="246"/>
      <c r="AB295" s="361"/>
      <c r="AC295" s="223"/>
      <c r="AD295" s="281"/>
      <c r="AE295" s="258"/>
      <c r="AF295" s="258"/>
      <c r="AG295" s="241"/>
      <c r="AH295" s="283"/>
      <c r="AI295" s="296"/>
      <c r="AJ295" s="317" t="s">
        <v>47</v>
      </c>
      <c r="AK295" s="312">
        <v>2</v>
      </c>
      <c r="AL295" s="153" t="s">
        <v>336</v>
      </c>
      <c r="AM295" s="153" t="s">
        <v>267</v>
      </c>
      <c r="AN295" s="144"/>
      <c r="AO295" s="144"/>
      <c r="AP295" s="115"/>
      <c r="AQ295" s="115"/>
      <c r="AR295" s="115"/>
      <c r="AS295" s="115"/>
      <c r="AT295" s="115"/>
    </row>
    <row r="296" spans="1:46" ht="39" customHeight="1" x14ac:dyDescent="0.25">
      <c r="A296" s="1468">
        <v>295</v>
      </c>
      <c r="B296" s="131">
        <v>9</v>
      </c>
      <c r="C296" s="311" t="s">
        <v>284</v>
      </c>
      <c r="D296" s="282"/>
      <c r="E296" s="353" t="s">
        <v>47</v>
      </c>
      <c r="F296" s="282"/>
      <c r="G296" s="445" t="s">
        <v>285</v>
      </c>
      <c r="H296" s="350" t="s">
        <v>283</v>
      </c>
      <c r="I296" s="350"/>
      <c r="J296" s="281">
        <v>410</v>
      </c>
      <c r="K296" s="216"/>
      <c r="L296" s="281" t="s">
        <v>466</v>
      </c>
      <c r="M296" s="281" t="s">
        <v>466</v>
      </c>
      <c r="N296" s="245"/>
      <c r="O296" s="216" t="s">
        <v>1068</v>
      </c>
      <c r="P296" s="446"/>
      <c r="Q296" s="353" t="s">
        <v>283</v>
      </c>
      <c r="R296" s="1140" t="s">
        <v>1069</v>
      </c>
      <c r="S296" s="279">
        <v>31286</v>
      </c>
      <c r="T296" s="250"/>
      <c r="U296" s="251" t="s">
        <v>54</v>
      </c>
      <c r="V296" s="250" t="s">
        <v>4572</v>
      </c>
      <c r="W296" s="197" t="s">
        <v>70</v>
      </c>
      <c r="X296" s="197" t="s">
        <v>71</v>
      </c>
      <c r="Y296" s="197"/>
      <c r="Z296" s="252">
        <v>44722</v>
      </c>
      <c r="AA296" s="252"/>
      <c r="AB296" s="281"/>
      <c r="AC296" s="223" t="s">
        <v>946</v>
      </c>
      <c r="AD296" s="376" t="s">
        <v>1070</v>
      </c>
      <c r="AE296" s="327"/>
      <c r="AF296" s="252"/>
      <c r="AG296" s="282" t="s">
        <v>61</v>
      </c>
      <c r="AH296" s="283"/>
      <c r="AI296" s="284"/>
      <c r="AJ296" s="317" t="s">
        <v>47</v>
      </c>
      <c r="AK296" s="312">
        <v>2</v>
      </c>
      <c r="AL296" s="153" t="s">
        <v>336</v>
      </c>
      <c r="AM296" s="153" t="s">
        <v>267</v>
      </c>
      <c r="AN296" s="133"/>
      <c r="AO296" s="133"/>
      <c r="AP296" s="115"/>
      <c r="AQ296" s="115"/>
      <c r="AR296" s="115"/>
      <c r="AS296" s="115"/>
      <c r="AT296" s="115"/>
    </row>
    <row r="297" spans="1:46" ht="39" customHeight="1" x14ac:dyDescent="0.25">
      <c r="A297" s="1468">
        <v>296</v>
      </c>
      <c r="B297" s="131">
        <v>6</v>
      </c>
      <c r="C297" s="311" t="s">
        <v>286</v>
      </c>
      <c r="D297" s="282"/>
      <c r="E297" s="353" t="s">
        <v>47</v>
      </c>
      <c r="F297" s="282"/>
      <c r="G297" s="445" t="s">
        <v>287</v>
      </c>
      <c r="H297" s="350" t="s">
        <v>153</v>
      </c>
      <c r="I297" s="350"/>
      <c r="J297" s="256">
        <v>400</v>
      </c>
      <c r="K297" s="197"/>
      <c r="L297" s="301"/>
      <c r="M297" s="216"/>
      <c r="N297" s="366"/>
      <c r="O297" s="1256"/>
      <c r="P297" s="367"/>
      <c r="Q297" s="338"/>
      <c r="R297" s="683" t="s">
        <v>66</v>
      </c>
      <c r="S297" s="279"/>
      <c r="T297" s="250"/>
      <c r="U297" s="250"/>
      <c r="V297" s="250"/>
      <c r="W297" s="197"/>
      <c r="X297" s="197"/>
      <c r="Y297" s="197"/>
      <c r="Z297" s="246"/>
      <c r="AA297" s="246"/>
      <c r="AB297" s="282"/>
      <c r="AC297" s="223"/>
      <c r="AD297" s="301"/>
      <c r="AE297" s="306"/>
      <c r="AF297" s="306"/>
      <c r="AG297" s="385"/>
      <c r="AH297" s="386"/>
      <c r="AI297" s="386"/>
      <c r="AJ297" s="255"/>
      <c r="AK297" s="312">
        <v>2</v>
      </c>
      <c r="AL297" s="153" t="s">
        <v>336</v>
      </c>
      <c r="AM297" s="153" t="s">
        <v>267</v>
      </c>
      <c r="AN297" s="133"/>
      <c r="AO297" s="133"/>
      <c r="AP297" s="115"/>
      <c r="AQ297" s="115"/>
      <c r="AR297" s="115"/>
      <c r="AS297" s="115"/>
      <c r="AT297" s="115"/>
    </row>
    <row r="298" spans="1:46" ht="39" customHeight="1" x14ac:dyDescent="0.25">
      <c r="A298" s="1468">
        <v>297</v>
      </c>
      <c r="B298" s="158">
        <v>5</v>
      </c>
      <c r="C298" s="290" t="s">
        <v>288</v>
      </c>
      <c r="D298" s="344"/>
      <c r="E298" s="344" t="s">
        <v>47</v>
      </c>
      <c r="F298" s="344"/>
      <c r="G298" s="292" t="s">
        <v>289</v>
      </c>
      <c r="H298" s="371" t="s">
        <v>132</v>
      </c>
      <c r="I298" s="344">
        <v>144</v>
      </c>
      <c r="J298" s="256">
        <v>403</v>
      </c>
      <c r="K298" s="216"/>
      <c r="L298" s="301" t="s">
        <v>1848</v>
      </c>
      <c r="M298" s="301" t="s">
        <v>1848</v>
      </c>
      <c r="N298" s="245"/>
      <c r="O298" s="950" t="s">
        <v>1847</v>
      </c>
      <c r="P298" s="325" t="s">
        <v>1828</v>
      </c>
      <c r="Q298" s="344" t="s">
        <v>519</v>
      </c>
      <c r="R298" s="1166" t="s">
        <v>1846</v>
      </c>
      <c r="S298" s="279">
        <v>30074</v>
      </c>
      <c r="T298" s="250"/>
      <c r="U298" s="251" t="s">
        <v>54</v>
      </c>
      <c r="V298" s="250" t="s">
        <v>5857</v>
      </c>
      <c r="W298" s="197" t="s">
        <v>56</v>
      </c>
      <c r="X298" s="197" t="s">
        <v>57</v>
      </c>
      <c r="Y298" s="252" t="s">
        <v>4631</v>
      </c>
      <c r="Z298" s="252">
        <v>45300</v>
      </c>
      <c r="AA298" s="305"/>
      <c r="AB298" s="288"/>
      <c r="AC298" s="223"/>
      <c r="AD298" s="306"/>
      <c r="AE298" s="384"/>
      <c r="AF298" s="307"/>
      <c r="AG298" s="305"/>
      <c r="AH298" s="305"/>
      <c r="AI298" s="254"/>
      <c r="AJ298" s="348" t="s">
        <v>560</v>
      </c>
      <c r="AK298" s="348">
        <v>3</v>
      </c>
      <c r="AL298" s="153" t="s">
        <v>336</v>
      </c>
      <c r="AM298" s="153" t="s">
        <v>267</v>
      </c>
      <c r="AN298" s="130"/>
      <c r="AO298" s="130"/>
      <c r="AP298" s="115"/>
      <c r="AQ298" s="115"/>
      <c r="AR298" s="115"/>
      <c r="AS298" s="115"/>
      <c r="AT298" s="115"/>
    </row>
    <row r="299" spans="1:46" ht="39" customHeight="1" x14ac:dyDescent="0.25">
      <c r="A299" s="1468">
        <v>298</v>
      </c>
      <c r="B299" s="141">
        <v>3</v>
      </c>
      <c r="C299" s="356" t="s">
        <v>290</v>
      </c>
      <c r="D299" s="282" t="s">
        <v>134</v>
      </c>
      <c r="E299" s="282"/>
      <c r="F299" s="282"/>
      <c r="G299" s="261" t="s">
        <v>291</v>
      </c>
      <c r="H299" s="262" t="s">
        <v>85</v>
      </c>
      <c r="I299" s="357"/>
      <c r="J299" s="245" t="s">
        <v>556</v>
      </c>
      <c r="K299" s="216"/>
      <c r="L299" s="288"/>
      <c r="M299" s="288"/>
      <c r="N299" s="374"/>
      <c r="O299" s="385"/>
      <c r="P299" s="374"/>
      <c r="Q299" s="373"/>
      <c r="R299" s="683" t="s">
        <v>66</v>
      </c>
      <c r="S299" s="279"/>
      <c r="T299" s="197"/>
      <c r="U299" s="250"/>
      <c r="V299" s="250"/>
      <c r="W299" s="197"/>
      <c r="X299" s="197"/>
      <c r="Y299" s="197"/>
      <c r="Z299" s="246"/>
      <c r="AA299" s="388"/>
      <c r="AB299" s="288"/>
      <c r="AC299" s="223"/>
      <c r="AD299" s="288"/>
      <c r="AE299" s="384"/>
      <c r="AF299" s="384"/>
      <c r="AG299" s="392"/>
      <c r="AH299" s="283"/>
      <c r="AI299" s="254"/>
      <c r="AJ299" s="348"/>
      <c r="AK299" s="241">
        <v>4</v>
      </c>
      <c r="AL299" s="153" t="s">
        <v>336</v>
      </c>
      <c r="AM299" s="153" t="s">
        <v>267</v>
      </c>
      <c r="AN299" s="110" t="s">
        <v>4184</v>
      </c>
      <c r="AO299" s="110"/>
      <c r="AP299" s="115"/>
      <c r="AQ299" s="115"/>
      <c r="AR299" s="115"/>
      <c r="AS299" s="115"/>
      <c r="AT299" s="115"/>
    </row>
    <row r="300" spans="1:46" ht="39" customHeight="1" x14ac:dyDescent="0.25">
      <c r="A300" s="1468">
        <v>299</v>
      </c>
      <c r="B300" s="141">
        <v>3</v>
      </c>
      <c r="C300" s="358" t="s">
        <v>297</v>
      </c>
      <c r="D300" s="282" t="s">
        <v>134</v>
      </c>
      <c r="E300" s="282"/>
      <c r="F300" s="282"/>
      <c r="G300" s="447" t="s">
        <v>298</v>
      </c>
      <c r="H300" s="262" t="s">
        <v>85</v>
      </c>
      <c r="I300" s="364"/>
      <c r="J300" s="245" t="s">
        <v>556</v>
      </c>
      <c r="K300" s="216"/>
      <c r="L300" s="216" t="s">
        <v>1490</v>
      </c>
      <c r="M300" s="216" t="s">
        <v>1490</v>
      </c>
      <c r="N300" s="245"/>
      <c r="O300" s="216" t="s">
        <v>1487</v>
      </c>
      <c r="P300" s="320" t="s">
        <v>1828</v>
      </c>
      <c r="Q300" s="344" t="s">
        <v>567</v>
      </c>
      <c r="R300" s="982" t="s">
        <v>1486</v>
      </c>
      <c r="S300" s="279">
        <v>23190</v>
      </c>
      <c r="T300" s="252"/>
      <c r="U300" s="251" t="s">
        <v>54</v>
      </c>
      <c r="V300" s="250" t="s">
        <v>1676</v>
      </c>
      <c r="W300" s="250" t="s">
        <v>56</v>
      </c>
      <c r="X300" s="197" t="s">
        <v>57</v>
      </c>
      <c r="Y300" s="981" t="s">
        <v>5823</v>
      </c>
      <c r="Z300" s="246"/>
      <c r="AA300" s="252"/>
      <c r="AB300" s="282"/>
      <c r="AC300" s="223"/>
      <c r="AD300" s="282"/>
      <c r="AE300" s="252"/>
      <c r="AF300" s="252"/>
      <c r="AG300" s="282"/>
      <c r="AH300" s="283"/>
      <c r="AI300" s="328"/>
      <c r="AJ300" s="348" t="s">
        <v>560</v>
      </c>
      <c r="AK300" s="241">
        <v>4</v>
      </c>
      <c r="AL300" s="153" t="s">
        <v>336</v>
      </c>
      <c r="AM300" s="153" t="s">
        <v>267</v>
      </c>
      <c r="AN300" s="110"/>
      <c r="AO300" s="110"/>
      <c r="AP300" s="115"/>
      <c r="AQ300" s="115"/>
      <c r="AR300" s="115"/>
      <c r="AS300" s="115"/>
      <c r="AT300" s="116"/>
    </row>
    <row r="301" spans="1:46" ht="39" customHeight="1" x14ac:dyDescent="0.25">
      <c r="A301" s="1468">
        <v>300</v>
      </c>
      <c r="B301" s="117">
        <v>2</v>
      </c>
      <c r="C301" s="260" t="s">
        <v>299</v>
      </c>
      <c r="D301" s="282"/>
      <c r="E301" s="282"/>
      <c r="F301" s="282"/>
      <c r="G301" s="447" t="s">
        <v>300</v>
      </c>
      <c r="H301" s="262" t="s">
        <v>87</v>
      </c>
      <c r="I301" s="357"/>
      <c r="J301" s="245" t="s">
        <v>561</v>
      </c>
      <c r="K301" s="257"/>
      <c r="L301" s="299"/>
      <c r="M301" s="299"/>
      <c r="N301" s="245"/>
      <c r="O301" s="385" t="s">
        <v>2304</v>
      </c>
      <c r="P301" s="402" t="s">
        <v>1828</v>
      </c>
      <c r="Q301" s="344" t="s">
        <v>293</v>
      </c>
      <c r="R301" s="982" t="s">
        <v>2303</v>
      </c>
      <c r="S301" s="279">
        <v>26331</v>
      </c>
      <c r="T301" s="289"/>
      <c r="U301" s="251" t="s">
        <v>54</v>
      </c>
      <c r="V301" s="197" t="s">
        <v>2378</v>
      </c>
      <c r="W301" s="197" t="s">
        <v>56</v>
      </c>
      <c r="X301" s="197" t="s">
        <v>57</v>
      </c>
      <c r="Y301" s="949" t="s">
        <v>2379</v>
      </c>
      <c r="Z301" s="246">
        <v>45177</v>
      </c>
      <c r="AA301" s="281"/>
      <c r="AB301" s="245"/>
      <c r="AC301" s="223"/>
      <c r="AD301" s="245"/>
      <c r="AE301" s="289"/>
      <c r="AF301" s="289"/>
      <c r="AG301" s="241"/>
      <c r="AH301" s="253"/>
      <c r="AI301" s="284"/>
      <c r="AJ301" s="348" t="s">
        <v>560</v>
      </c>
      <c r="AK301" s="241">
        <v>4</v>
      </c>
      <c r="AL301" s="153" t="s">
        <v>336</v>
      </c>
      <c r="AM301" s="153" t="s">
        <v>267</v>
      </c>
      <c r="AN301" s="110"/>
      <c r="AO301" s="110"/>
      <c r="AP301" s="115"/>
      <c r="AQ301" s="115"/>
      <c r="AR301" s="115"/>
      <c r="AS301" s="115"/>
      <c r="AT301" s="115"/>
    </row>
    <row r="302" spans="1:46" ht="39" customHeight="1" x14ac:dyDescent="0.25">
      <c r="A302" s="1468">
        <v>301</v>
      </c>
      <c r="B302" s="117">
        <v>2</v>
      </c>
      <c r="C302" s="503" t="s">
        <v>86</v>
      </c>
      <c r="D302" s="481"/>
      <c r="E302" s="481"/>
      <c r="F302" s="481"/>
      <c r="G302" s="527" t="s">
        <v>303</v>
      </c>
      <c r="H302" s="262" t="s">
        <v>87</v>
      </c>
      <c r="I302" s="473"/>
      <c r="J302" s="245" t="s">
        <v>561</v>
      </c>
      <c r="K302" s="216"/>
      <c r="L302" s="250"/>
      <c r="M302" s="250"/>
      <c r="N302" s="366"/>
      <c r="O302" s="216" t="s">
        <v>2622</v>
      </c>
      <c r="P302" s="377"/>
      <c r="Q302" s="375" t="s">
        <v>519</v>
      </c>
      <c r="R302" s="982" t="s">
        <v>2621</v>
      </c>
      <c r="S302" s="279">
        <v>28776</v>
      </c>
      <c r="T302" s="257"/>
      <c r="U302" s="251" t="s">
        <v>54</v>
      </c>
      <c r="V302" s="250" t="s">
        <v>2793</v>
      </c>
      <c r="W302" s="197" t="s">
        <v>56</v>
      </c>
      <c r="X302" s="197" t="s">
        <v>57</v>
      </c>
      <c r="Y302" s="197" t="s">
        <v>2609</v>
      </c>
      <c r="Z302" s="246">
        <v>45141</v>
      </c>
      <c r="AA302" s="388"/>
      <c r="AB302" s="257"/>
      <c r="AC302" s="223"/>
      <c r="AD302" s="257"/>
      <c r="AE302" s="289"/>
      <c r="AF302" s="289"/>
      <c r="AG302" s="392"/>
      <c r="AH302" s="281"/>
      <c r="AI302" s="254"/>
      <c r="AJ302" s="348" t="s">
        <v>560</v>
      </c>
      <c r="AK302" s="241">
        <v>4</v>
      </c>
      <c r="AL302" s="153" t="s">
        <v>336</v>
      </c>
      <c r="AM302" s="153" t="s">
        <v>267</v>
      </c>
      <c r="AN302" s="110"/>
      <c r="AO302" s="110"/>
      <c r="AP302" s="115"/>
      <c r="AQ302" s="115"/>
      <c r="AR302" s="115"/>
      <c r="AS302" s="115"/>
      <c r="AT302" s="115"/>
    </row>
    <row r="303" spans="1:46" ht="39" customHeight="1" x14ac:dyDescent="0.25">
      <c r="A303" s="1468">
        <v>302</v>
      </c>
      <c r="B303" s="987"/>
      <c r="C303" s="989"/>
      <c r="D303" s="664"/>
      <c r="E303" s="664"/>
      <c r="F303" s="664"/>
      <c r="G303" s="227"/>
      <c r="H303" s="228"/>
      <c r="I303" s="228"/>
      <c r="J303" s="229"/>
      <c r="K303" s="227"/>
      <c r="L303" s="229"/>
      <c r="M303" s="229"/>
      <c r="N303" s="229"/>
      <c r="O303" s="309"/>
      <c r="P303" s="230" t="s">
        <v>304</v>
      </c>
      <c r="Q303" s="664"/>
      <c r="R303" s="324"/>
      <c r="S303" s="279"/>
      <c r="T303" s="232"/>
      <c r="U303" s="232"/>
      <c r="V303" s="232"/>
      <c r="W303" s="232"/>
      <c r="X303" s="232"/>
      <c r="Y303" s="232"/>
      <c r="Z303" s="233"/>
      <c r="AA303" s="234"/>
      <c r="AB303" s="235"/>
      <c r="AC303" s="236"/>
      <c r="AD303" s="235"/>
      <c r="AE303" s="237"/>
      <c r="AF303" s="233"/>
      <c r="AG303" s="664"/>
      <c r="AH303" s="238"/>
      <c r="AI303" s="239"/>
      <c r="AJ303" s="576"/>
      <c r="AK303" s="664"/>
      <c r="AL303" s="113"/>
      <c r="AM303" s="113"/>
      <c r="AN303" s="113"/>
      <c r="AO303" s="114"/>
      <c r="AP303" s="115"/>
      <c r="AQ303" s="115"/>
      <c r="AR303" s="115"/>
      <c r="AS303" s="115"/>
      <c r="AT303" s="116"/>
    </row>
    <row r="304" spans="1:46" ht="39" customHeight="1" x14ac:dyDescent="0.25">
      <c r="A304" s="1468">
        <v>303</v>
      </c>
      <c r="B304" s="119">
        <v>10</v>
      </c>
      <c r="C304" s="804" t="s">
        <v>305</v>
      </c>
      <c r="D304" s="551"/>
      <c r="E304" s="744" t="s">
        <v>47</v>
      </c>
      <c r="F304" s="551"/>
      <c r="G304" s="838" t="s">
        <v>91</v>
      </c>
      <c r="H304" s="244" t="s">
        <v>83</v>
      </c>
      <c r="I304" s="839"/>
      <c r="J304" s="245">
        <v>302</v>
      </c>
      <c r="K304" s="216" t="s">
        <v>1024</v>
      </c>
      <c r="L304" s="281" t="s">
        <v>1084</v>
      </c>
      <c r="M304" s="281" t="s">
        <v>1026</v>
      </c>
      <c r="N304" s="245"/>
      <c r="O304" s="216" t="s">
        <v>1075</v>
      </c>
      <c r="P304" s="287"/>
      <c r="Q304" s="338" t="s">
        <v>119</v>
      </c>
      <c r="R304" s="259" t="s">
        <v>1085</v>
      </c>
      <c r="S304" s="279">
        <v>36329</v>
      </c>
      <c r="T304" s="250"/>
      <c r="U304" s="251" t="s">
        <v>54</v>
      </c>
      <c r="V304" s="197" t="s">
        <v>207</v>
      </c>
      <c r="W304" s="197" t="s">
        <v>56</v>
      </c>
      <c r="X304" s="197" t="s">
        <v>57</v>
      </c>
      <c r="Y304" s="197" t="s">
        <v>58</v>
      </c>
      <c r="Z304" s="246">
        <v>44844</v>
      </c>
      <c r="AA304" s="246"/>
      <c r="AB304" s="282" t="s">
        <v>1028</v>
      </c>
      <c r="AC304" s="223" t="s">
        <v>946</v>
      </c>
      <c r="AD304" s="282" t="s">
        <v>1024</v>
      </c>
      <c r="AE304" s="258">
        <v>43384</v>
      </c>
      <c r="AF304" s="258">
        <v>46226</v>
      </c>
      <c r="AG304" s="241" t="s">
        <v>61</v>
      </c>
      <c r="AH304" s="283"/>
      <c r="AI304" s="254"/>
      <c r="AJ304" s="255" t="s">
        <v>62</v>
      </c>
      <c r="AK304" s="242">
        <v>1</v>
      </c>
      <c r="AL304" s="153" t="s">
        <v>336</v>
      </c>
      <c r="AM304" s="153" t="s">
        <v>267</v>
      </c>
      <c r="AN304" s="124"/>
      <c r="AO304" s="124"/>
      <c r="AP304" s="115"/>
      <c r="AQ304" s="115"/>
      <c r="AR304" s="115"/>
      <c r="AS304" s="115"/>
      <c r="AT304" s="115"/>
    </row>
    <row r="305" spans="1:46" ht="39" customHeight="1" x14ac:dyDescent="0.25">
      <c r="A305" s="1468">
        <v>304</v>
      </c>
      <c r="B305" s="987"/>
      <c r="C305" s="989"/>
      <c r="D305" s="664"/>
      <c r="E305" s="664"/>
      <c r="F305" s="664"/>
      <c r="G305" s="227"/>
      <c r="H305" s="228"/>
      <c r="I305" s="228"/>
      <c r="J305" s="229"/>
      <c r="K305" s="227"/>
      <c r="L305" s="229"/>
      <c r="M305" s="229"/>
      <c r="N305" s="229"/>
      <c r="O305" s="309"/>
      <c r="P305" s="230" t="s">
        <v>306</v>
      </c>
      <c r="Q305" s="664"/>
      <c r="R305" s="324"/>
      <c r="S305" s="279"/>
      <c r="T305" s="232"/>
      <c r="U305" s="232"/>
      <c r="V305" s="232"/>
      <c r="W305" s="232"/>
      <c r="X305" s="232"/>
      <c r="Y305" s="232"/>
      <c r="Z305" s="233"/>
      <c r="AA305" s="234"/>
      <c r="AB305" s="235"/>
      <c r="AC305" s="236"/>
      <c r="AD305" s="235"/>
      <c r="AE305" s="237"/>
      <c r="AF305" s="233"/>
      <c r="AG305" s="664"/>
      <c r="AH305" s="238"/>
      <c r="AI305" s="239"/>
      <c r="AJ305" s="576"/>
      <c r="AK305" s="664"/>
      <c r="AL305" s="113"/>
      <c r="AM305" s="113"/>
      <c r="AN305" s="113"/>
      <c r="AO305" s="114"/>
      <c r="AP305" s="115"/>
      <c r="AQ305" s="115"/>
      <c r="AR305" s="115"/>
      <c r="AS305" s="115"/>
      <c r="AT305" s="116"/>
    </row>
    <row r="306" spans="1:46" ht="39" customHeight="1" x14ac:dyDescent="0.25">
      <c r="A306" s="1468">
        <v>305</v>
      </c>
      <c r="B306" s="128">
        <v>7</v>
      </c>
      <c r="C306" s="497" t="s">
        <v>307</v>
      </c>
      <c r="D306" s="709"/>
      <c r="E306" s="709" t="s">
        <v>47</v>
      </c>
      <c r="F306" s="709"/>
      <c r="G306" s="847" t="s">
        <v>308</v>
      </c>
      <c r="H306" s="479" t="s">
        <v>132</v>
      </c>
      <c r="I306" s="371" t="s">
        <v>309</v>
      </c>
      <c r="J306" s="256">
        <v>403</v>
      </c>
      <c r="K306" s="257"/>
      <c r="L306" s="301" t="s">
        <v>1898</v>
      </c>
      <c r="M306" s="301" t="s">
        <v>1898</v>
      </c>
      <c r="N306" s="299"/>
      <c r="O306" s="950" t="s">
        <v>1974</v>
      </c>
      <c r="P306" s="287" t="s">
        <v>1828</v>
      </c>
      <c r="Q306" s="348" t="s">
        <v>519</v>
      </c>
      <c r="R306" s="982" t="s">
        <v>1973</v>
      </c>
      <c r="S306" s="279">
        <v>30053</v>
      </c>
      <c r="T306" s="289"/>
      <c r="U306" s="251" t="s">
        <v>54</v>
      </c>
      <c r="V306" s="250" t="s">
        <v>1922</v>
      </c>
      <c r="W306" s="197" t="s">
        <v>56</v>
      </c>
      <c r="X306" s="197" t="s">
        <v>57</v>
      </c>
      <c r="Y306" s="252" t="s">
        <v>1933</v>
      </c>
      <c r="Z306" s="252">
        <v>45133</v>
      </c>
      <c r="AA306" s="698"/>
      <c r="AB306" s="299"/>
      <c r="AC306" s="223"/>
      <c r="AD306" s="299"/>
      <c r="AE306" s="289"/>
      <c r="AF306" s="289"/>
      <c r="AG306" s="299"/>
      <c r="AH306" s="299"/>
      <c r="AI306" s="254"/>
      <c r="AJ306" s="348" t="s">
        <v>560</v>
      </c>
      <c r="AK306" s="348">
        <v>3</v>
      </c>
      <c r="AL306" s="153" t="s">
        <v>336</v>
      </c>
      <c r="AM306" s="153" t="s">
        <v>267</v>
      </c>
      <c r="AN306" s="130"/>
      <c r="AO306" s="130"/>
      <c r="AP306" s="115"/>
      <c r="AQ306" s="115"/>
      <c r="AR306" s="115"/>
      <c r="AS306" s="115"/>
      <c r="AT306" s="115"/>
    </row>
    <row r="307" spans="1:46" ht="39" customHeight="1" x14ac:dyDescent="0.25">
      <c r="A307" s="1468">
        <v>306</v>
      </c>
      <c r="B307" s="141">
        <v>3</v>
      </c>
      <c r="C307" s="356" t="s">
        <v>290</v>
      </c>
      <c r="D307" s="241" t="s">
        <v>134</v>
      </c>
      <c r="E307" s="241"/>
      <c r="F307" s="241"/>
      <c r="G307" s="261" t="s">
        <v>291</v>
      </c>
      <c r="H307" s="262" t="s">
        <v>85</v>
      </c>
      <c r="I307" s="346"/>
      <c r="J307" s="245" t="s">
        <v>556</v>
      </c>
      <c r="K307" s="216"/>
      <c r="L307" s="216"/>
      <c r="M307" s="216"/>
      <c r="N307" s="1234"/>
      <c r="O307" s="286"/>
      <c r="P307" s="320"/>
      <c r="Q307" s="348"/>
      <c r="R307" s="1166" t="s">
        <v>66</v>
      </c>
      <c r="S307" s="279"/>
      <c r="T307" s="223"/>
      <c r="U307" s="250"/>
      <c r="V307" s="250"/>
      <c r="W307" s="197"/>
      <c r="X307" s="197"/>
      <c r="Y307" s="252"/>
      <c r="Z307" s="252"/>
      <c r="AA307" s="374"/>
      <c r="AB307" s="223"/>
      <c r="AC307" s="223"/>
      <c r="AD307" s="257"/>
      <c r="AE307" s="223"/>
      <c r="AF307" s="223"/>
      <c r="AG307" s="282"/>
      <c r="AH307" s="389"/>
      <c r="AI307" s="296"/>
      <c r="AJ307" s="348"/>
      <c r="AK307" s="241">
        <v>4</v>
      </c>
      <c r="AL307" s="153" t="s">
        <v>336</v>
      </c>
      <c r="AM307" s="153" t="s">
        <v>267</v>
      </c>
      <c r="AN307" s="110" t="s">
        <v>4184</v>
      </c>
      <c r="AO307" s="130"/>
      <c r="AP307" s="115"/>
      <c r="AQ307" s="115"/>
      <c r="AR307" s="115"/>
      <c r="AS307" s="115"/>
      <c r="AT307" s="115"/>
    </row>
    <row r="308" spans="1:46" ht="39" customHeight="1" x14ac:dyDescent="0.25">
      <c r="A308" s="1468">
        <v>307</v>
      </c>
      <c r="B308" s="141">
        <v>3</v>
      </c>
      <c r="C308" s="358" t="s">
        <v>297</v>
      </c>
      <c r="D308" s="241" t="s">
        <v>134</v>
      </c>
      <c r="E308" s="241"/>
      <c r="F308" s="241"/>
      <c r="G308" s="261" t="s">
        <v>298</v>
      </c>
      <c r="H308" s="262" t="s">
        <v>85</v>
      </c>
      <c r="I308" s="346"/>
      <c r="J308" s="245" t="s">
        <v>556</v>
      </c>
      <c r="K308" s="257"/>
      <c r="L308" s="301" t="s">
        <v>5916</v>
      </c>
      <c r="M308" s="301" t="s">
        <v>5916</v>
      </c>
      <c r="N308" s="299"/>
      <c r="O308" s="216" t="s">
        <v>6032</v>
      </c>
      <c r="P308" s="320"/>
      <c r="Q308" s="379" t="s">
        <v>567</v>
      </c>
      <c r="R308" s="982" t="s">
        <v>6035</v>
      </c>
      <c r="S308" s="279">
        <v>37188</v>
      </c>
      <c r="T308" s="289"/>
      <c r="U308" s="250"/>
      <c r="V308" s="250"/>
      <c r="W308" s="197"/>
      <c r="X308" s="197"/>
      <c r="Y308" s="252"/>
      <c r="Z308" s="252"/>
      <c r="AA308" s="698"/>
      <c r="AB308" s="299"/>
      <c r="AC308" s="223"/>
      <c r="AD308" s="299"/>
      <c r="AE308" s="289"/>
      <c r="AF308" s="289"/>
      <c r="AG308" s="299"/>
      <c r="AH308" s="299"/>
      <c r="AI308" s="254"/>
      <c r="AJ308" s="348" t="s">
        <v>560</v>
      </c>
      <c r="AK308" s="241">
        <v>4</v>
      </c>
      <c r="AL308" s="153" t="s">
        <v>336</v>
      </c>
      <c r="AM308" s="153" t="s">
        <v>267</v>
      </c>
      <c r="AN308" s="130"/>
      <c r="AO308" s="130"/>
      <c r="AP308" s="115"/>
      <c r="AQ308" s="115"/>
      <c r="AR308" s="115"/>
      <c r="AS308" s="115"/>
      <c r="AT308" s="116"/>
    </row>
    <row r="309" spans="1:46" ht="39" customHeight="1" x14ac:dyDescent="0.25">
      <c r="A309" s="1468">
        <v>308</v>
      </c>
      <c r="B309" s="141">
        <v>2</v>
      </c>
      <c r="C309" s="260" t="s">
        <v>311</v>
      </c>
      <c r="D309" s="241"/>
      <c r="E309" s="241"/>
      <c r="F309" s="241"/>
      <c r="G309" s="261" t="s">
        <v>312</v>
      </c>
      <c r="H309" s="262" t="s">
        <v>85</v>
      </c>
      <c r="I309" s="346"/>
      <c r="J309" s="245" t="s">
        <v>556</v>
      </c>
      <c r="K309" s="216"/>
      <c r="L309" s="281"/>
      <c r="M309" s="281"/>
      <c r="N309" s="245"/>
      <c r="O309" s="959"/>
      <c r="P309" s="372"/>
      <c r="Q309" s="373"/>
      <c r="R309" s="683" t="s">
        <v>66</v>
      </c>
      <c r="S309" s="279"/>
      <c r="T309" s="448"/>
      <c r="U309" s="250"/>
      <c r="V309" s="443"/>
      <c r="W309" s="1235"/>
      <c r="X309" s="197"/>
      <c r="Y309" s="1108"/>
      <c r="Z309" s="252"/>
      <c r="AA309" s="449"/>
      <c r="AB309" s="281"/>
      <c r="AC309" s="223"/>
      <c r="AD309" s="281"/>
      <c r="AE309" s="258"/>
      <c r="AF309" s="258"/>
      <c r="AG309" s="241"/>
      <c r="AH309" s="283"/>
      <c r="AI309" s="296"/>
      <c r="AJ309" s="348"/>
      <c r="AK309" s="241">
        <v>4</v>
      </c>
      <c r="AL309" s="153" t="s">
        <v>336</v>
      </c>
      <c r="AM309" s="153" t="s">
        <v>267</v>
      </c>
      <c r="AN309" s="130"/>
      <c r="AO309" s="130"/>
      <c r="AP309" s="115"/>
      <c r="AQ309" s="115"/>
      <c r="AR309" s="115"/>
      <c r="AS309" s="115"/>
      <c r="AT309" s="115"/>
    </row>
    <row r="310" spans="1:46" ht="39" customHeight="1" x14ac:dyDescent="0.25">
      <c r="A310" s="1468">
        <v>309</v>
      </c>
      <c r="B310" s="141">
        <v>2</v>
      </c>
      <c r="C310" s="260" t="s">
        <v>317</v>
      </c>
      <c r="D310" s="241"/>
      <c r="E310" s="241"/>
      <c r="F310" s="241"/>
      <c r="G310" s="261" t="s">
        <v>318</v>
      </c>
      <c r="H310" s="262" t="s">
        <v>87</v>
      </c>
      <c r="I310" s="357"/>
      <c r="J310" s="245" t="s">
        <v>561</v>
      </c>
      <c r="K310" s="277"/>
      <c r="L310" s="397"/>
      <c r="M310" s="277"/>
      <c r="N310" s="451"/>
      <c r="O310" s="950" t="s">
        <v>2749</v>
      </c>
      <c r="P310" s="325"/>
      <c r="Q310" s="373" t="s">
        <v>293</v>
      </c>
      <c r="R310" s="982" t="s">
        <v>2748</v>
      </c>
      <c r="S310" s="279">
        <v>28548</v>
      </c>
      <c r="T310" s="452"/>
      <c r="U310" s="251" t="s">
        <v>54</v>
      </c>
      <c r="V310" s="250" t="s">
        <v>2793</v>
      </c>
      <c r="W310" s="197" t="s">
        <v>56</v>
      </c>
      <c r="X310" s="197" t="s">
        <v>57</v>
      </c>
      <c r="Y310" s="197" t="s">
        <v>2609</v>
      </c>
      <c r="Z310" s="246">
        <v>45141</v>
      </c>
      <c r="AA310" s="486"/>
      <c r="AB310" s="397"/>
      <c r="AC310" s="488"/>
      <c r="AD310" s="397"/>
      <c r="AE310" s="452"/>
      <c r="AF310" s="452"/>
      <c r="AG310" s="397"/>
      <c r="AH310" s="397"/>
      <c r="AI310" s="523"/>
      <c r="AJ310" s="348" t="s">
        <v>560</v>
      </c>
      <c r="AK310" s="241">
        <v>4</v>
      </c>
      <c r="AL310" s="153" t="s">
        <v>336</v>
      </c>
      <c r="AM310" s="153" t="s">
        <v>267</v>
      </c>
      <c r="AN310" s="110"/>
      <c r="AO310" s="110"/>
      <c r="AP310" s="115"/>
      <c r="AQ310" s="115"/>
      <c r="AR310" s="115"/>
      <c r="AS310" s="115"/>
      <c r="AT310" s="115"/>
    </row>
    <row r="311" spans="1:46" ht="39" customHeight="1" x14ac:dyDescent="0.25">
      <c r="A311" s="1468">
        <v>310</v>
      </c>
      <c r="B311" s="146">
        <v>2</v>
      </c>
      <c r="C311" s="260" t="s">
        <v>319</v>
      </c>
      <c r="D311" s="241"/>
      <c r="E311" s="241"/>
      <c r="F311" s="241"/>
      <c r="G311" s="261" t="s">
        <v>320</v>
      </c>
      <c r="H311" s="262" t="s">
        <v>87</v>
      </c>
      <c r="I311" s="364"/>
      <c r="J311" s="245" t="s">
        <v>561</v>
      </c>
      <c r="K311" s="216"/>
      <c r="L311" s="281" t="s">
        <v>1993</v>
      </c>
      <c r="M311" s="281" t="s">
        <v>1993</v>
      </c>
      <c r="N311" s="366"/>
      <c r="O311" s="950" t="s">
        <v>2347</v>
      </c>
      <c r="P311" s="325" t="s">
        <v>1828</v>
      </c>
      <c r="Q311" s="344" t="s">
        <v>87</v>
      </c>
      <c r="R311" s="982" t="s">
        <v>2346</v>
      </c>
      <c r="S311" s="279">
        <v>31622</v>
      </c>
      <c r="T311" s="250"/>
      <c r="U311" s="251" t="s">
        <v>54</v>
      </c>
      <c r="V311" s="250"/>
      <c r="W311" s="197" t="s">
        <v>56</v>
      </c>
      <c r="X311" s="197" t="s">
        <v>57</v>
      </c>
      <c r="Y311" s="299"/>
      <c r="Z311" s="299"/>
      <c r="AA311" s="289"/>
      <c r="AB311" s="299"/>
      <c r="AC311" s="223"/>
      <c r="AD311" s="299"/>
      <c r="AE311" s="289"/>
      <c r="AF311" s="289"/>
      <c r="AG311" s="299"/>
      <c r="AH311" s="299"/>
      <c r="AI311" s="296"/>
      <c r="AJ311" s="348" t="s">
        <v>560</v>
      </c>
      <c r="AK311" s="241">
        <v>4</v>
      </c>
      <c r="AL311" s="153" t="s">
        <v>336</v>
      </c>
      <c r="AM311" s="153" t="s">
        <v>267</v>
      </c>
      <c r="AN311" s="110"/>
      <c r="AO311" s="110"/>
      <c r="AP311" s="115"/>
      <c r="AQ311" s="115"/>
      <c r="AR311" s="115"/>
      <c r="AS311" s="115"/>
      <c r="AT311" s="116"/>
    </row>
    <row r="312" spans="1:46" ht="39" customHeight="1" x14ac:dyDescent="0.25">
      <c r="A312" s="1468">
        <v>311</v>
      </c>
      <c r="B312" s="141">
        <v>2</v>
      </c>
      <c r="C312" s="378" t="s">
        <v>321</v>
      </c>
      <c r="D312" s="303"/>
      <c r="E312" s="241"/>
      <c r="F312" s="241"/>
      <c r="G312" s="261" t="s">
        <v>322</v>
      </c>
      <c r="H312" s="262" t="s">
        <v>87</v>
      </c>
      <c r="I312" s="357"/>
      <c r="J312" s="245" t="s">
        <v>561</v>
      </c>
      <c r="K312" s="197"/>
      <c r="L312" s="256"/>
      <c r="M312" s="256"/>
      <c r="N312" s="245"/>
      <c r="O312" s="950" t="s">
        <v>2294</v>
      </c>
      <c r="P312" s="413"/>
      <c r="Q312" s="709" t="s">
        <v>567</v>
      </c>
      <c r="R312" s="998" t="s">
        <v>2293</v>
      </c>
      <c r="S312" s="279">
        <v>37185</v>
      </c>
      <c r="T312" s="250"/>
      <c r="U312" s="251" t="s">
        <v>54</v>
      </c>
      <c r="V312" s="250" t="s">
        <v>2793</v>
      </c>
      <c r="W312" s="197" t="s">
        <v>56</v>
      </c>
      <c r="X312" s="197" t="s">
        <v>57</v>
      </c>
      <c r="Y312" s="197" t="s">
        <v>2609</v>
      </c>
      <c r="Z312" s="246">
        <v>45141</v>
      </c>
      <c r="AA312" s="252"/>
      <c r="AB312" s="281"/>
      <c r="AC312" s="281"/>
      <c r="AD312" s="281"/>
      <c r="AE312" s="252"/>
      <c r="AF312" s="252"/>
      <c r="AG312" s="282"/>
      <c r="AH312" s="282"/>
      <c r="AI312" s="296"/>
      <c r="AJ312" s="491" t="s">
        <v>560</v>
      </c>
      <c r="AK312" s="241">
        <v>4</v>
      </c>
      <c r="AL312" s="153" t="s">
        <v>336</v>
      </c>
      <c r="AM312" s="153" t="s">
        <v>267</v>
      </c>
      <c r="AN312" s="110"/>
      <c r="AO312" s="110"/>
      <c r="AP312" s="115"/>
      <c r="AQ312" s="115"/>
      <c r="AR312" s="115"/>
      <c r="AS312" s="115"/>
      <c r="AT312" s="115"/>
    </row>
    <row r="313" spans="1:46" ht="39" customHeight="1" x14ac:dyDescent="0.25">
      <c r="A313" s="1468">
        <v>312</v>
      </c>
      <c r="B313" s="141">
        <v>1</v>
      </c>
      <c r="C313" s="378" t="s">
        <v>323</v>
      </c>
      <c r="D313" s="303"/>
      <c r="E313" s="241"/>
      <c r="F313" s="241"/>
      <c r="G313" s="261" t="s">
        <v>324</v>
      </c>
      <c r="H313" s="262" t="s">
        <v>87</v>
      </c>
      <c r="I313" s="357"/>
      <c r="J313" s="245" t="s">
        <v>561</v>
      </c>
      <c r="K313" s="305"/>
      <c r="L313" s="281"/>
      <c r="M313" s="281"/>
      <c r="N313" s="305"/>
      <c r="O313" s="950"/>
      <c r="P313" s="325"/>
      <c r="Q313" s="344"/>
      <c r="R313" s="982" t="s">
        <v>66</v>
      </c>
      <c r="S313" s="279"/>
      <c r="T313" s="306"/>
      <c r="U313" s="250"/>
      <c r="V313" s="414"/>
      <c r="W313" s="268"/>
      <c r="X313" s="268"/>
      <c r="Y313" s="395"/>
      <c r="Z313" s="395"/>
      <c r="AA313" s="440"/>
      <c r="AB313" s="282"/>
      <c r="AC313" s="474"/>
      <c r="AD313" s="496"/>
      <c r="AE313" s="440"/>
      <c r="AF313" s="440"/>
      <c r="AG313" s="496"/>
      <c r="AH313" s="496"/>
      <c r="AI313" s="586"/>
      <c r="AJ313" s="743"/>
      <c r="AK313" s="241">
        <v>4</v>
      </c>
      <c r="AL313" s="153" t="s">
        <v>336</v>
      </c>
      <c r="AM313" s="153" t="s">
        <v>267</v>
      </c>
      <c r="AN313" s="110"/>
      <c r="AO313" s="110"/>
      <c r="AP313" s="115"/>
      <c r="AQ313" s="115"/>
      <c r="AR313" s="115"/>
      <c r="AS313" s="115"/>
      <c r="AT313" s="115"/>
    </row>
    <row r="314" spans="1:46" ht="39" customHeight="1" x14ac:dyDescent="0.25">
      <c r="A314" s="1468">
        <v>313</v>
      </c>
      <c r="B314" s="117">
        <v>1</v>
      </c>
      <c r="C314" s="260" t="s">
        <v>325</v>
      </c>
      <c r="D314" s="241"/>
      <c r="E314" s="241"/>
      <c r="F314" s="241"/>
      <c r="G314" s="261" t="s">
        <v>324</v>
      </c>
      <c r="H314" s="262" t="s">
        <v>87</v>
      </c>
      <c r="I314" s="357"/>
      <c r="J314" s="245" t="s">
        <v>561</v>
      </c>
      <c r="K314" s="197"/>
      <c r="L314" s="281"/>
      <c r="M314" s="281"/>
      <c r="N314" s="366"/>
      <c r="O314" s="950"/>
      <c r="P314" s="325"/>
      <c r="Q314" s="344"/>
      <c r="R314" s="982" t="s">
        <v>66</v>
      </c>
      <c r="S314" s="279"/>
      <c r="T314" s="197"/>
      <c r="U314" s="250"/>
      <c r="V314" s="250"/>
      <c r="W314" s="197"/>
      <c r="X314" s="197"/>
      <c r="Y314" s="252"/>
      <c r="Z314" s="252"/>
      <c r="AA314" s="281"/>
      <c r="AB314" s="245"/>
      <c r="AC314" s="223"/>
      <c r="AD314" s="245"/>
      <c r="AE314" s="289"/>
      <c r="AF314" s="289"/>
      <c r="AG314" s="241"/>
      <c r="AH314" s="253"/>
      <c r="AI314" s="284"/>
      <c r="AJ314" s="348"/>
      <c r="AK314" s="241">
        <v>4</v>
      </c>
      <c r="AL314" s="153" t="s">
        <v>336</v>
      </c>
      <c r="AM314" s="153" t="s">
        <v>267</v>
      </c>
      <c r="AN314" s="110"/>
      <c r="AO314" s="110"/>
      <c r="AP314" s="115"/>
      <c r="AQ314" s="115"/>
      <c r="AR314" s="115"/>
      <c r="AS314" s="115"/>
      <c r="AT314" s="115"/>
    </row>
    <row r="315" spans="1:46" ht="39" customHeight="1" x14ac:dyDescent="0.25">
      <c r="A315" s="1468">
        <v>314</v>
      </c>
      <c r="B315" s="117"/>
      <c r="C315" s="989"/>
      <c r="D315" s="664"/>
      <c r="E315" s="664"/>
      <c r="F315" s="664"/>
      <c r="G315" s="227"/>
      <c r="H315" s="228"/>
      <c r="I315" s="228"/>
      <c r="J315" s="229"/>
      <c r="K315" s="227"/>
      <c r="L315" s="229"/>
      <c r="M315" s="229"/>
      <c r="N315" s="229"/>
      <c r="O315" s="309"/>
      <c r="P315" s="230" t="s">
        <v>326</v>
      </c>
      <c r="Q315" s="664"/>
      <c r="R315" s="324"/>
      <c r="S315" s="279"/>
      <c r="T315" s="232"/>
      <c r="U315" s="232"/>
      <c r="V315" s="232"/>
      <c r="W315" s="232"/>
      <c r="X315" s="232"/>
      <c r="Y315" s="232"/>
      <c r="Z315" s="233"/>
      <c r="AA315" s="234"/>
      <c r="AB315" s="235"/>
      <c r="AC315" s="236"/>
      <c r="AD315" s="235"/>
      <c r="AE315" s="237"/>
      <c r="AF315" s="233"/>
      <c r="AG315" s="664"/>
      <c r="AH315" s="238"/>
      <c r="AI315" s="239"/>
      <c r="AJ315" s="576"/>
      <c r="AK315" s="664"/>
      <c r="AL315" s="113"/>
      <c r="AM315" s="113"/>
      <c r="AN315" s="113"/>
      <c r="AO315" s="114"/>
      <c r="AP315" s="115"/>
      <c r="AQ315" s="115"/>
      <c r="AR315" s="115"/>
      <c r="AS315" s="115"/>
      <c r="AT315" s="116"/>
    </row>
    <row r="316" spans="1:46" ht="39" customHeight="1" x14ac:dyDescent="0.25">
      <c r="A316" s="1468">
        <v>315</v>
      </c>
      <c r="B316" s="128">
        <v>5</v>
      </c>
      <c r="C316" s="290" t="s">
        <v>288</v>
      </c>
      <c r="D316" s="344"/>
      <c r="E316" s="344" t="s">
        <v>47</v>
      </c>
      <c r="F316" s="344"/>
      <c r="G316" s="292" t="s">
        <v>289</v>
      </c>
      <c r="H316" s="346" t="s">
        <v>132</v>
      </c>
      <c r="I316" s="344">
        <v>144</v>
      </c>
      <c r="J316" s="256">
        <v>403</v>
      </c>
      <c r="K316" s="257"/>
      <c r="L316" s="299" t="s">
        <v>1925</v>
      </c>
      <c r="M316" s="299" t="s">
        <v>1925</v>
      </c>
      <c r="N316" s="299"/>
      <c r="O316" s="392" t="s">
        <v>2661</v>
      </c>
      <c r="P316" s="325" t="s">
        <v>1828</v>
      </c>
      <c r="Q316" s="348" t="s">
        <v>293</v>
      </c>
      <c r="R316" s="1166" t="s">
        <v>2660</v>
      </c>
      <c r="S316" s="279">
        <v>29189</v>
      </c>
      <c r="T316" s="289"/>
      <c r="U316" s="251" t="s">
        <v>54</v>
      </c>
      <c r="V316" s="250" t="s">
        <v>2793</v>
      </c>
      <c r="W316" s="197" t="s">
        <v>56</v>
      </c>
      <c r="X316" s="197" t="s">
        <v>57</v>
      </c>
      <c r="Y316" s="197" t="s">
        <v>2609</v>
      </c>
      <c r="Z316" s="246">
        <v>45145</v>
      </c>
      <c r="AA316" s="289"/>
      <c r="AB316" s="299"/>
      <c r="AC316" s="223"/>
      <c r="AD316" s="299"/>
      <c r="AE316" s="289"/>
      <c r="AF316" s="289"/>
      <c r="AG316" s="299"/>
      <c r="AH316" s="299"/>
      <c r="AI316" s="223"/>
      <c r="AJ316" s="348" t="s">
        <v>560</v>
      </c>
      <c r="AK316" s="291">
        <v>3</v>
      </c>
      <c r="AL316" s="153" t="s">
        <v>336</v>
      </c>
      <c r="AM316" s="153" t="s">
        <v>267</v>
      </c>
      <c r="AN316" s="130"/>
      <c r="AO316" s="130"/>
      <c r="AP316" s="115"/>
      <c r="AQ316" s="115"/>
      <c r="AR316" s="115"/>
      <c r="AS316" s="115"/>
      <c r="AT316" s="115"/>
    </row>
    <row r="317" spans="1:46" ht="39" customHeight="1" x14ac:dyDescent="0.25">
      <c r="A317" s="1468">
        <v>316</v>
      </c>
      <c r="B317" s="141">
        <v>3</v>
      </c>
      <c r="C317" s="356" t="s">
        <v>290</v>
      </c>
      <c r="D317" s="241" t="s">
        <v>134</v>
      </c>
      <c r="E317" s="241"/>
      <c r="F317" s="241"/>
      <c r="G317" s="261" t="s">
        <v>291</v>
      </c>
      <c r="H317" s="262" t="s">
        <v>85</v>
      </c>
      <c r="I317" s="346"/>
      <c r="J317" s="245" t="s">
        <v>556</v>
      </c>
      <c r="K317" s="257"/>
      <c r="L317" s="299"/>
      <c r="M317" s="299"/>
      <c r="N317" s="245"/>
      <c r="O317" s="216" t="s">
        <v>2549</v>
      </c>
      <c r="P317" s="387"/>
      <c r="Q317" s="373" t="s">
        <v>132</v>
      </c>
      <c r="R317" s="982" t="s">
        <v>2548</v>
      </c>
      <c r="S317" s="279">
        <v>26406</v>
      </c>
      <c r="T317" s="289"/>
      <c r="U317" s="251" t="s">
        <v>54</v>
      </c>
      <c r="V317" s="250" t="s">
        <v>2793</v>
      </c>
      <c r="W317" s="197" t="s">
        <v>56</v>
      </c>
      <c r="X317" s="197" t="s">
        <v>57</v>
      </c>
      <c r="Y317" s="197" t="s">
        <v>2609</v>
      </c>
      <c r="Z317" s="246">
        <v>45186</v>
      </c>
      <c r="AA317" s="281"/>
      <c r="AB317" s="245"/>
      <c r="AC317" s="223"/>
      <c r="AD317" s="245"/>
      <c r="AE317" s="289"/>
      <c r="AF317" s="289"/>
      <c r="AG317" s="241"/>
      <c r="AH317" s="253"/>
      <c r="AI317" s="284"/>
      <c r="AJ317" s="348" t="s">
        <v>560</v>
      </c>
      <c r="AK317" s="241">
        <v>4</v>
      </c>
      <c r="AL317" s="153" t="s">
        <v>336</v>
      </c>
      <c r="AM317" s="153" t="s">
        <v>267</v>
      </c>
      <c r="AN317" s="110" t="s">
        <v>4184</v>
      </c>
      <c r="AO317" s="130"/>
      <c r="AP317" s="115"/>
      <c r="AQ317" s="115"/>
      <c r="AR317" s="115"/>
      <c r="AS317" s="115"/>
      <c r="AT317" s="115"/>
    </row>
    <row r="318" spans="1:46" ht="39" customHeight="1" x14ac:dyDescent="0.25">
      <c r="A318" s="1468">
        <v>317</v>
      </c>
      <c r="B318" s="141">
        <v>3</v>
      </c>
      <c r="C318" s="358" t="s">
        <v>297</v>
      </c>
      <c r="D318" s="241" t="s">
        <v>134</v>
      </c>
      <c r="E318" s="241"/>
      <c r="F318" s="241"/>
      <c r="G318" s="261" t="s">
        <v>298</v>
      </c>
      <c r="H318" s="262" t="s">
        <v>85</v>
      </c>
      <c r="I318" s="346"/>
      <c r="J318" s="245" t="s">
        <v>556</v>
      </c>
      <c r="K318" s="257"/>
      <c r="L318" s="288" t="s">
        <v>1526</v>
      </c>
      <c r="M318" s="288" t="s">
        <v>1526</v>
      </c>
      <c r="N318" s="374"/>
      <c r="O318" s="216" t="s">
        <v>5833</v>
      </c>
      <c r="P318" s="374"/>
      <c r="Q318" s="373" t="s">
        <v>87</v>
      </c>
      <c r="R318" s="982" t="s">
        <v>1582</v>
      </c>
      <c r="S318" s="279">
        <v>26440</v>
      </c>
      <c r="T318" s="197"/>
      <c r="U318" s="251" t="s">
        <v>54</v>
      </c>
      <c r="V318" s="250" t="s">
        <v>2793</v>
      </c>
      <c r="W318" s="197" t="s">
        <v>56</v>
      </c>
      <c r="X318" s="197" t="s">
        <v>57</v>
      </c>
      <c r="Y318" s="197" t="s">
        <v>2609</v>
      </c>
      <c r="Z318" s="246">
        <v>45151</v>
      </c>
      <c r="AA318" s="388"/>
      <c r="AB318" s="288"/>
      <c r="AC318" s="223"/>
      <c r="AD318" s="288"/>
      <c r="AE318" s="384"/>
      <c r="AF318" s="384"/>
      <c r="AG318" s="392"/>
      <c r="AH318" s="283"/>
      <c r="AI318" s="254"/>
      <c r="AJ318" s="348" t="s">
        <v>560</v>
      </c>
      <c r="AK318" s="241">
        <v>4</v>
      </c>
      <c r="AL318" s="153" t="s">
        <v>336</v>
      </c>
      <c r="AM318" s="153" t="s">
        <v>267</v>
      </c>
      <c r="AN318" s="130"/>
      <c r="AO318" s="130"/>
      <c r="AP318" s="115"/>
      <c r="AQ318" s="115"/>
      <c r="AR318" s="115"/>
      <c r="AS318" s="115"/>
      <c r="AT318" s="116"/>
    </row>
    <row r="319" spans="1:46" ht="39" customHeight="1" x14ac:dyDescent="0.25">
      <c r="A319" s="1468">
        <v>318</v>
      </c>
      <c r="B319" s="141">
        <v>2</v>
      </c>
      <c r="C319" s="260" t="s">
        <v>311</v>
      </c>
      <c r="D319" s="241"/>
      <c r="E319" s="241"/>
      <c r="F319" s="241"/>
      <c r="G319" s="261" t="s">
        <v>312</v>
      </c>
      <c r="H319" s="262" t="s">
        <v>85</v>
      </c>
      <c r="I319" s="346"/>
      <c r="J319" s="245" t="s">
        <v>556</v>
      </c>
      <c r="K319" s="216"/>
      <c r="L319" s="299" t="s">
        <v>3970</v>
      </c>
      <c r="M319" s="299" t="s">
        <v>3970</v>
      </c>
      <c r="N319" s="366"/>
      <c r="O319" s="216" t="s">
        <v>2493</v>
      </c>
      <c r="P319" s="372"/>
      <c r="Q319" s="344" t="s">
        <v>87</v>
      </c>
      <c r="R319" s="360" t="s">
        <v>2492</v>
      </c>
      <c r="S319" s="279">
        <v>31818</v>
      </c>
      <c r="T319" s="197"/>
      <c r="U319" s="251" t="s">
        <v>54</v>
      </c>
      <c r="V319" s="250" t="s">
        <v>4624</v>
      </c>
      <c r="W319" s="197" t="s">
        <v>4625</v>
      </c>
      <c r="X319" s="197" t="s">
        <v>4844</v>
      </c>
      <c r="Y319" s="197"/>
      <c r="Z319" s="246">
        <v>45237</v>
      </c>
      <c r="AA319" s="374"/>
      <c r="AB319" s="257"/>
      <c r="AC319" s="223"/>
      <c r="AD319" s="257"/>
      <c r="AE319" s="223"/>
      <c r="AF319" s="223"/>
      <c r="AG319" s="282"/>
      <c r="AH319" s="299"/>
      <c r="AI319" s="386"/>
      <c r="AJ319" s="348" t="s">
        <v>560</v>
      </c>
      <c r="AK319" s="241">
        <v>4</v>
      </c>
      <c r="AL319" s="153" t="s">
        <v>336</v>
      </c>
      <c r="AM319" s="153" t="s">
        <v>267</v>
      </c>
      <c r="AN319" s="130"/>
      <c r="AO319" s="130"/>
      <c r="AP319" s="115"/>
      <c r="AQ319" s="115"/>
      <c r="AR319" s="115"/>
      <c r="AS319" s="115"/>
      <c r="AT319" s="115"/>
    </row>
    <row r="320" spans="1:46" ht="39" customHeight="1" x14ac:dyDescent="0.25">
      <c r="A320" s="1468">
        <v>319</v>
      </c>
      <c r="B320" s="141">
        <v>2</v>
      </c>
      <c r="C320" s="260" t="s">
        <v>317</v>
      </c>
      <c r="D320" s="241"/>
      <c r="E320" s="241"/>
      <c r="F320" s="241"/>
      <c r="G320" s="261" t="s">
        <v>318</v>
      </c>
      <c r="H320" s="262" t="s">
        <v>87</v>
      </c>
      <c r="I320" s="357"/>
      <c r="J320" s="245" t="s">
        <v>561</v>
      </c>
      <c r="K320" s="216"/>
      <c r="L320" s="281"/>
      <c r="M320" s="281"/>
      <c r="N320" s="366"/>
      <c r="O320" s="216" t="s">
        <v>2535</v>
      </c>
      <c r="P320" s="387"/>
      <c r="Q320" s="344" t="s">
        <v>293</v>
      </c>
      <c r="R320" s="982" t="s">
        <v>2534</v>
      </c>
      <c r="S320" s="279">
        <v>33352</v>
      </c>
      <c r="T320" s="197"/>
      <c r="U320" s="251" t="s">
        <v>54</v>
      </c>
      <c r="V320" s="250" t="s">
        <v>2793</v>
      </c>
      <c r="W320" s="197" t="s">
        <v>56</v>
      </c>
      <c r="X320" s="197" t="s">
        <v>57</v>
      </c>
      <c r="Y320" s="197" t="s">
        <v>2609</v>
      </c>
      <c r="Z320" s="246">
        <v>45186</v>
      </c>
      <c r="AA320" s="246"/>
      <c r="AB320" s="361"/>
      <c r="AC320" s="223"/>
      <c r="AD320" s="305"/>
      <c r="AE320" s="258"/>
      <c r="AF320" s="258"/>
      <c r="AG320" s="241"/>
      <c r="AH320" s="283"/>
      <c r="AI320" s="254"/>
      <c r="AJ320" s="348" t="s">
        <v>560</v>
      </c>
      <c r="AK320" s="241">
        <v>4</v>
      </c>
      <c r="AL320" s="153" t="s">
        <v>336</v>
      </c>
      <c r="AM320" s="153" t="s">
        <v>267</v>
      </c>
      <c r="AN320" s="110"/>
      <c r="AO320" s="110"/>
      <c r="AP320" s="115"/>
      <c r="AQ320" s="115"/>
      <c r="AR320" s="115"/>
      <c r="AS320" s="115"/>
      <c r="AT320" s="115"/>
    </row>
    <row r="321" spans="1:46" ht="39" customHeight="1" x14ac:dyDescent="0.25">
      <c r="A321" s="1468">
        <v>320</v>
      </c>
      <c r="B321" s="146">
        <v>2</v>
      </c>
      <c r="C321" s="260" t="s">
        <v>319</v>
      </c>
      <c r="D321" s="241"/>
      <c r="E321" s="241"/>
      <c r="F321" s="241"/>
      <c r="G321" s="261" t="s">
        <v>320</v>
      </c>
      <c r="H321" s="262" t="s">
        <v>87</v>
      </c>
      <c r="I321" s="357"/>
      <c r="J321" s="245" t="s">
        <v>561</v>
      </c>
      <c r="K321" s="257"/>
      <c r="L321" s="281"/>
      <c r="M321" s="281"/>
      <c r="N321" s="366"/>
      <c r="O321" s="216" t="s">
        <v>2216</v>
      </c>
      <c r="P321" s="300"/>
      <c r="Q321" s="786" t="s">
        <v>293</v>
      </c>
      <c r="R321" s="834" t="s">
        <v>2215</v>
      </c>
      <c r="S321" s="279">
        <v>33404</v>
      </c>
      <c r="T321" s="197"/>
      <c r="U321" s="251" t="s">
        <v>54</v>
      </c>
      <c r="V321" s="250" t="s">
        <v>2793</v>
      </c>
      <c r="W321" s="197" t="s">
        <v>56</v>
      </c>
      <c r="X321" s="197" t="s">
        <v>57</v>
      </c>
      <c r="Y321" s="197" t="s">
        <v>2609</v>
      </c>
      <c r="Z321" s="246">
        <v>45141</v>
      </c>
      <c r="AA321" s="246"/>
      <c r="AB321" s="361"/>
      <c r="AC321" s="223"/>
      <c r="AD321" s="376"/>
      <c r="AE321" s="258"/>
      <c r="AF321" s="258"/>
      <c r="AG321" s="241"/>
      <c r="AH321" s="283"/>
      <c r="AI321" s="254"/>
      <c r="AJ321" s="348" t="s">
        <v>560</v>
      </c>
      <c r="AK321" s="241">
        <v>4</v>
      </c>
      <c r="AL321" s="153" t="s">
        <v>336</v>
      </c>
      <c r="AM321" s="153" t="s">
        <v>267</v>
      </c>
      <c r="AN321" s="110"/>
      <c r="AO321" s="110"/>
      <c r="AP321" s="115"/>
      <c r="AQ321" s="115"/>
      <c r="AR321" s="115"/>
      <c r="AS321" s="115"/>
      <c r="AT321" s="116"/>
    </row>
    <row r="322" spans="1:46" ht="39" customHeight="1" x14ac:dyDescent="0.25">
      <c r="A322" s="1468">
        <v>321</v>
      </c>
      <c r="B322" s="141">
        <v>2</v>
      </c>
      <c r="C322" s="378" t="s">
        <v>321</v>
      </c>
      <c r="D322" s="303"/>
      <c r="E322" s="241"/>
      <c r="F322" s="241"/>
      <c r="G322" s="261" t="s">
        <v>322</v>
      </c>
      <c r="H322" s="262" t="s">
        <v>87</v>
      </c>
      <c r="I322" s="364"/>
      <c r="J322" s="245" t="s">
        <v>561</v>
      </c>
      <c r="K322" s="256"/>
      <c r="L322" s="299"/>
      <c r="M322" s="299"/>
      <c r="N322" s="245"/>
      <c r="O322" s="385" t="s">
        <v>3422</v>
      </c>
      <c r="P322" s="402" t="s">
        <v>1828</v>
      </c>
      <c r="Q322" s="344" t="s">
        <v>570</v>
      </c>
      <c r="R322" s="982" t="s">
        <v>3421</v>
      </c>
      <c r="S322" s="279">
        <v>28726</v>
      </c>
      <c r="T322" s="289"/>
      <c r="U322" s="251" t="s">
        <v>54</v>
      </c>
      <c r="V322" s="197" t="s">
        <v>5955</v>
      </c>
      <c r="W322" s="197" t="s">
        <v>70</v>
      </c>
      <c r="X322" s="197" t="s">
        <v>71</v>
      </c>
      <c r="Y322" s="949" t="s">
        <v>5964</v>
      </c>
      <c r="Z322" s="612">
        <v>45312</v>
      </c>
      <c r="AA322" s="281"/>
      <c r="AB322" s="245"/>
      <c r="AC322" s="223"/>
      <c r="AD322" s="245"/>
      <c r="AE322" s="289"/>
      <c r="AF322" s="289"/>
      <c r="AG322" s="241"/>
      <c r="AH322" s="253"/>
      <c r="AI322" s="284"/>
      <c r="AJ322" s="348" t="s">
        <v>560</v>
      </c>
      <c r="AK322" s="241">
        <v>4</v>
      </c>
      <c r="AL322" s="153" t="s">
        <v>336</v>
      </c>
      <c r="AM322" s="153" t="s">
        <v>267</v>
      </c>
      <c r="AN322" s="110"/>
      <c r="AO322" s="110"/>
      <c r="AP322" s="115"/>
      <c r="AQ322" s="115"/>
      <c r="AR322" s="115"/>
      <c r="AS322" s="115"/>
      <c r="AT322" s="115"/>
    </row>
    <row r="323" spans="1:46" ht="39" customHeight="1" x14ac:dyDescent="0.25">
      <c r="A323" s="1468">
        <v>322</v>
      </c>
      <c r="B323" s="141">
        <v>1</v>
      </c>
      <c r="C323" s="378" t="s">
        <v>323</v>
      </c>
      <c r="D323" s="303"/>
      <c r="E323" s="241"/>
      <c r="F323" s="241"/>
      <c r="G323" s="261" t="s">
        <v>324</v>
      </c>
      <c r="H323" s="262" t="s">
        <v>87</v>
      </c>
      <c r="I323" s="357"/>
      <c r="J323" s="245" t="s">
        <v>561</v>
      </c>
      <c r="K323" s="216"/>
      <c r="L323" s="301"/>
      <c r="M323" s="301"/>
      <c r="N323" s="366"/>
      <c r="O323" s="951"/>
      <c r="P323" s="484"/>
      <c r="Q323" s="373"/>
      <c r="R323" s="982" t="s">
        <v>66</v>
      </c>
      <c r="S323" s="279"/>
      <c r="T323" s="306"/>
      <c r="U323" s="250"/>
      <c r="V323" s="250"/>
      <c r="W323" s="197"/>
      <c r="X323" s="197"/>
      <c r="Y323" s="252"/>
      <c r="Z323" s="252"/>
      <c r="AA323" s="289"/>
      <c r="AB323" s="299"/>
      <c r="AC323" s="223"/>
      <c r="AD323" s="299"/>
      <c r="AE323" s="289"/>
      <c r="AF323" s="289"/>
      <c r="AG323" s="299"/>
      <c r="AH323" s="299"/>
      <c r="AI323" s="296"/>
      <c r="AJ323" s="348"/>
      <c r="AK323" s="241">
        <v>4</v>
      </c>
      <c r="AL323" s="153" t="s">
        <v>336</v>
      </c>
      <c r="AM323" s="153" t="s">
        <v>267</v>
      </c>
      <c r="AN323" s="110"/>
      <c r="AO323" s="110"/>
      <c r="AP323" s="115"/>
      <c r="AQ323" s="115"/>
      <c r="AR323" s="115"/>
      <c r="AS323" s="115"/>
      <c r="AT323" s="115"/>
    </row>
    <row r="324" spans="1:46" ht="39" customHeight="1" x14ac:dyDescent="0.25">
      <c r="A324" s="1468">
        <v>323</v>
      </c>
      <c r="B324" s="117">
        <v>1</v>
      </c>
      <c r="C324" s="260" t="s">
        <v>325</v>
      </c>
      <c r="D324" s="241"/>
      <c r="E324" s="241"/>
      <c r="F324" s="241"/>
      <c r="G324" s="261" t="s">
        <v>324</v>
      </c>
      <c r="H324" s="262" t="s">
        <v>87</v>
      </c>
      <c r="I324" s="357"/>
      <c r="J324" s="245" t="s">
        <v>561</v>
      </c>
      <c r="K324" s="216"/>
      <c r="L324" s="216"/>
      <c r="M324" s="216"/>
      <c r="N324" s="366"/>
      <c r="O324" s="216" t="s">
        <v>2491</v>
      </c>
      <c r="P324" s="372"/>
      <c r="Q324" s="344" t="s">
        <v>87</v>
      </c>
      <c r="R324" s="982" t="s">
        <v>2490</v>
      </c>
      <c r="S324" s="279">
        <v>32745</v>
      </c>
      <c r="T324" s="250"/>
      <c r="U324" s="251" t="s">
        <v>54</v>
      </c>
      <c r="V324" s="250" t="s">
        <v>2793</v>
      </c>
      <c r="W324" s="197" t="s">
        <v>56</v>
      </c>
      <c r="X324" s="197" t="s">
        <v>57</v>
      </c>
      <c r="Y324" s="197" t="s">
        <v>2609</v>
      </c>
      <c r="Z324" s="246">
        <v>45186</v>
      </c>
      <c r="AA324" s="252"/>
      <c r="AB324" s="257"/>
      <c r="AC324" s="223"/>
      <c r="AD324" s="257"/>
      <c r="AE324" s="252"/>
      <c r="AF324" s="252"/>
      <c r="AG324" s="385"/>
      <c r="AH324" s="426"/>
      <c r="AI324" s="254"/>
      <c r="AJ324" s="348" t="s">
        <v>560</v>
      </c>
      <c r="AK324" s="241">
        <v>4</v>
      </c>
      <c r="AL324" s="153" t="s">
        <v>336</v>
      </c>
      <c r="AM324" s="153" t="s">
        <v>267</v>
      </c>
      <c r="AN324" s="110"/>
      <c r="AO324" s="110"/>
      <c r="AP324" s="115"/>
      <c r="AQ324" s="115"/>
      <c r="AR324" s="115"/>
      <c r="AS324" s="115"/>
      <c r="AT324" s="115"/>
    </row>
    <row r="325" spans="1:46" ht="39" customHeight="1" x14ac:dyDescent="0.25">
      <c r="A325" s="1468">
        <v>324</v>
      </c>
      <c r="B325" s="117"/>
      <c r="C325" s="989"/>
      <c r="D325" s="664"/>
      <c r="E325" s="664"/>
      <c r="F325" s="664"/>
      <c r="G325" s="227"/>
      <c r="H325" s="228"/>
      <c r="I325" s="228"/>
      <c r="J325" s="229"/>
      <c r="K325" s="227"/>
      <c r="L325" s="229"/>
      <c r="M325" s="229"/>
      <c r="N325" s="229"/>
      <c r="O325" s="309"/>
      <c r="P325" s="230" t="s">
        <v>327</v>
      </c>
      <c r="Q325" s="664"/>
      <c r="R325" s="324"/>
      <c r="S325" s="279"/>
      <c r="T325" s="232"/>
      <c r="U325" s="232"/>
      <c r="V325" s="232"/>
      <c r="W325" s="232"/>
      <c r="X325" s="232"/>
      <c r="Y325" s="232"/>
      <c r="Z325" s="233"/>
      <c r="AA325" s="234"/>
      <c r="AB325" s="235"/>
      <c r="AC325" s="236"/>
      <c r="AD325" s="235"/>
      <c r="AE325" s="237"/>
      <c r="AF325" s="233"/>
      <c r="AG325" s="664"/>
      <c r="AH325" s="238"/>
      <c r="AI325" s="239"/>
      <c r="AJ325" s="576"/>
      <c r="AK325" s="664"/>
      <c r="AL325" s="113"/>
      <c r="AM325" s="113"/>
      <c r="AN325" s="113"/>
      <c r="AO325" s="114"/>
      <c r="AP325" s="115"/>
      <c r="AQ325" s="115"/>
      <c r="AR325" s="115"/>
      <c r="AS325" s="115"/>
      <c r="AT325" s="116"/>
    </row>
    <row r="326" spans="1:46" ht="39" customHeight="1" x14ac:dyDescent="0.25">
      <c r="A326" s="1468">
        <v>325</v>
      </c>
      <c r="B326" s="128">
        <v>5</v>
      </c>
      <c r="C326" s="290" t="s">
        <v>288</v>
      </c>
      <c r="D326" s="344"/>
      <c r="E326" s="344" t="s">
        <v>47</v>
      </c>
      <c r="F326" s="344"/>
      <c r="G326" s="292" t="s">
        <v>289</v>
      </c>
      <c r="H326" s="346" t="s">
        <v>132</v>
      </c>
      <c r="I326" s="344">
        <v>144</v>
      </c>
      <c r="J326" s="256">
        <v>403</v>
      </c>
      <c r="K326" s="216"/>
      <c r="L326" s="288" t="s">
        <v>1526</v>
      </c>
      <c r="M326" s="288" t="s">
        <v>1526</v>
      </c>
      <c r="N326" s="374"/>
      <c r="O326" s="385" t="s">
        <v>1569</v>
      </c>
      <c r="P326" s="374"/>
      <c r="Q326" s="344" t="s">
        <v>567</v>
      </c>
      <c r="R326" s="982" t="s">
        <v>3290</v>
      </c>
      <c r="S326" s="279">
        <v>26710</v>
      </c>
      <c r="T326" s="197"/>
      <c r="U326" s="251" t="s">
        <v>54</v>
      </c>
      <c r="V326" s="250" t="s">
        <v>2793</v>
      </c>
      <c r="W326" s="197" t="s">
        <v>56</v>
      </c>
      <c r="X326" s="197" t="s">
        <v>57</v>
      </c>
      <c r="Y326" s="197" t="s">
        <v>2609</v>
      </c>
      <c r="Z326" s="246">
        <v>45141</v>
      </c>
      <c r="AA326" s="388"/>
      <c r="AB326" s="288"/>
      <c r="AC326" s="223"/>
      <c r="AD326" s="288"/>
      <c r="AE326" s="384"/>
      <c r="AF326" s="384"/>
      <c r="AG326" s="392"/>
      <c r="AH326" s="283"/>
      <c r="AI326" s="254"/>
      <c r="AJ326" s="348" t="s">
        <v>560</v>
      </c>
      <c r="AK326" s="348">
        <v>3</v>
      </c>
      <c r="AL326" s="153" t="s">
        <v>336</v>
      </c>
      <c r="AM326" s="153" t="s">
        <v>267</v>
      </c>
      <c r="AN326" s="130"/>
      <c r="AO326" s="130"/>
      <c r="AP326" s="115"/>
      <c r="AQ326" s="115"/>
      <c r="AR326" s="115"/>
      <c r="AS326" s="115"/>
      <c r="AT326" s="115"/>
    </row>
    <row r="327" spans="1:46" ht="39" customHeight="1" x14ac:dyDescent="0.25">
      <c r="A327" s="1468">
        <v>326</v>
      </c>
      <c r="B327" s="141">
        <v>3</v>
      </c>
      <c r="C327" s="356" t="s">
        <v>290</v>
      </c>
      <c r="D327" s="241" t="s">
        <v>134</v>
      </c>
      <c r="E327" s="241"/>
      <c r="F327" s="241"/>
      <c r="G327" s="261" t="s">
        <v>291</v>
      </c>
      <c r="H327" s="262" t="s">
        <v>85</v>
      </c>
      <c r="I327" s="346"/>
      <c r="J327" s="245" t="s">
        <v>556</v>
      </c>
      <c r="K327" s="257"/>
      <c r="L327" s="301" t="s">
        <v>1898</v>
      </c>
      <c r="M327" s="301" t="s">
        <v>1898</v>
      </c>
      <c r="N327" s="299"/>
      <c r="O327" s="950" t="s">
        <v>1975</v>
      </c>
      <c r="P327" s="287" t="s">
        <v>1828</v>
      </c>
      <c r="Q327" s="344" t="s">
        <v>87</v>
      </c>
      <c r="R327" s="982" t="s">
        <v>2776</v>
      </c>
      <c r="S327" s="279">
        <v>33197</v>
      </c>
      <c r="T327" s="289"/>
      <c r="U327" s="250"/>
      <c r="V327" s="250"/>
      <c r="W327" s="197" t="s">
        <v>4076</v>
      </c>
      <c r="X327" s="197"/>
      <c r="Y327" s="595"/>
      <c r="Z327" s="698"/>
      <c r="AA327" s="698"/>
      <c r="AB327" s="299"/>
      <c r="AC327" s="223"/>
      <c r="AD327" s="299"/>
      <c r="AE327" s="289"/>
      <c r="AF327" s="289"/>
      <c r="AG327" s="299"/>
      <c r="AH327" s="299"/>
      <c r="AI327" s="254"/>
      <c r="AJ327" s="348" t="s">
        <v>560</v>
      </c>
      <c r="AK327" s="241">
        <v>4</v>
      </c>
      <c r="AL327" s="153" t="s">
        <v>336</v>
      </c>
      <c r="AM327" s="153" t="s">
        <v>267</v>
      </c>
      <c r="AN327" s="110" t="s">
        <v>4184</v>
      </c>
      <c r="AO327" s="130"/>
      <c r="AP327" s="115"/>
      <c r="AQ327" s="115"/>
      <c r="AR327" s="115"/>
      <c r="AS327" s="115"/>
      <c r="AT327" s="115"/>
    </row>
    <row r="328" spans="1:46" ht="39" customHeight="1" x14ac:dyDescent="0.25">
      <c r="A328" s="1468">
        <v>327</v>
      </c>
      <c r="B328" s="141">
        <v>3</v>
      </c>
      <c r="C328" s="358" t="s">
        <v>297</v>
      </c>
      <c r="D328" s="241" t="s">
        <v>134</v>
      </c>
      <c r="E328" s="241"/>
      <c r="F328" s="241"/>
      <c r="G328" s="261" t="s">
        <v>298</v>
      </c>
      <c r="H328" s="262" t="s">
        <v>85</v>
      </c>
      <c r="I328" s="346"/>
      <c r="J328" s="245" t="s">
        <v>556</v>
      </c>
      <c r="K328" s="216" t="s">
        <v>313</v>
      </c>
      <c r="L328" s="216" t="s">
        <v>4591</v>
      </c>
      <c r="M328" s="216" t="s">
        <v>4591</v>
      </c>
      <c r="N328" s="305"/>
      <c r="O328" s="216" t="s">
        <v>4592</v>
      </c>
      <c r="P328" s="325"/>
      <c r="Q328" s="375" t="s">
        <v>293</v>
      </c>
      <c r="R328" s="982" t="s">
        <v>4593</v>
      </c>
      <c r="S328" s="279">
        <v>37697</v>
      </c>
      <c r="T328" s="197"/>
      <c r="U328" s="251" t="s">
        <v>54</v>
      </c>
      <c r="V328" s="241" t="s">
        <v>4594</v>
      </c>
      <c r="W328" s="197" t="s">
        <v>4595</v>
      </c>
      <c r="X328" s="197" t="s">
        <v>4844</v>
      </c>
      <c r="Y328" s="299"/>
      <c r="Z328" s="289">
        <v>45223</v>
      </c>
      <c r="AA328" s="246"/>
      <c r="AB328" s="306"/>
      <c r="AC328" s="223" t="s">
        <v>946</v>
      </c>
      <c r="AD328" s="306" t="s">
        <v>157</v>
      </c>
      <c r="AE328" s="306"/>
      <c r="AF328" s="306"/>
      <c r="AG328" s="282" t="s">
        <v>61</v>
      </c>
      <c r="AH328" s="281"/>
      <c r="AI328" s="223"/>
      <c r="AJ328" s="348" t="s">
        <v>560</v>
      </c>
      <c r="AK328" s="241">
        <v>4</v>
      </c>
      <c r="AL328" s="153" t="s">
        <v>336</v>
      </c>
      <c r="AM328" s="153" t="s">
        <v>267</v>
      </c>
      <c r="AN328" s="130"/>
      <c r="AO328" s="130"/>
      <c r="AP328" s="115"/>
      <c r="AQ328" s="115"/>
      <c r="AR328" s="115"/>
      <c r="AS328" s="115"/>
      <c r="AT328" s="116"/>
    </row>
    <row r="329" spans="1:46" ht="39" customHeight="1" x14ac:dyDescent="0.25">
      <c r="A329" s="1468">
        <v>328</v>
      </c>
      <c r="B329" s="141">
        <v>2</v>
      </c>
      <c r="C329" s="260" t="s">
        <v>311</v>
      </c>
      <c r="D329" s="241"/>
      <c r="E329" s="241"/>
      <c r="F329" s="241"/>
      <c r="G329" s="261" t="s">
        <v>312</v>
      </c>
      <c r="H329" s="262" t="s">
        <v>85</v>
      </c>
      <c r="I329" s="346"/>
      <c r="J329" s="245" t="s">
        <v>556</v>
      </c>
      <c r="K329" s="265"/>
      <c r="L329" s="394" t="s">
        <v>1860</v>
      </c>
      <c r="M329" s="394" t="s">
        <v>1860</v>
      </c>
      <c r="N329" s="264"/>
      <c r="O329" s="951" t="s">
        <v>1888</v>
      </c>
      <c r="P329" s="817" t="s">
        <v>1828</v>
      </c>
      <c r="Q329" s="741" t="s">
        <v>85</v>
      </c>
      <c r="R329" s="834" t="s">
        <v>1887</v>
      </c>
      <c r="S329" s="279">
        <v>32184</v>
      </c>
      <c r="T329" s="268"/>
      <c r="U329" s="251" t="s">
        <v>54</v>
      </c>
      <c r="V329" s="414" t="s">
        <v>1922</v>
      </c>
      <c r="W329" s="268" t="s">
        <v>56</v>
      </c>
      <c r="X329" s="268" t="s">
        <v>57</v>
      </c>
      <c r="Y329" s="395" t="s">
        <v>1933</v>
      </c>
      <c r="Z329" s="395">
        <v>45133</v>
      </c>
      <c r="AA329" s="395"/>
      <c r="AB329" s="481"/>
      <c r="AC329" s="474"/>
      <c r="AD329" s="438"/>
      <c r="AE329" s="584"/>
      <c r="AF329" s="584"/>
      <c r="AG329" s="471"/>
      <c r="AH329" s="585"/>
      <c r="AI329" s="719"/>
      <c r="AJ329" s="743" t="s">
        <v>560</v>
      </c>
      <c r="AK329" s="241">
        <v>4</v>
      </c>
      <c r="AL329" s="153" t="s">
        <v>336</v>
      </c>
      <c r="AM329" s="153" t="s">
        <v>267</v>
      </c>
      <c r="AN329" s="130"/>
      <c r="AO329" s="130"/>
      <c r="AP329" s="115"/>
      <c r="AQ329" s="115"/>
      <c r="AR329" s="115"/>
      <c r="AS329" s="115"/>
      <c r="AT329" s="115"/>
    </row>
    <row r="330" spans="1:46" ht="39" customHeight="1" x14ac:dyDescent="0.25">
      <c r="A330" s="1468">
        <v>329</v>
      </c>
      <c r="B330" s="141">
        <v>2</v>
      </c>
      <c r="C330" s="260" t="s">
        <v>317</v>
      </c>
      <c r="D330" s="241"/>
      <c r="E330" s="241"/>
      <c r="F330" s="241"/>
      <c r="G330" s="261" t="s">
        <v>318</v>
      </c>
      <c r="H330" s="262" t="s">
        <v>87</v>
      </c>
      <c r="I330" s="357"/>
      <c r="J330" s="245" t="s">
        <v>561</v>
      </c>
      <c r="K330" s="216"/>
      <c r="L330" s="301"/>
      <c r="M330" s="216"/>
      <c r="N330" s="366"/>
      <c r="O330" s="950" t="s">
        <v>1886</v>
      </c>
      <c r="P330" s="325" t="s">
        <v>1828</v>
      </c>
      <c r="Q330" s="373" t="s">
        <v>2053</v>
      </c>
      <c r="R330" s="982" t="s">
        <v>1885</v>
      </c>
      <c r="S330" s="279">
        <v>28715</v>
      </c>
      <c r="T330" s="306"/>
      <c r="U330" s="251" t="s">
        <v>54</v>
      </c>
      <c r="V330" s="250" t="s">
        <v>1922</v>
      </c>
      <c r="W330" s="197" t="s">
        <v>56</v>
      </c>
      <c r="X330" s="197" t="s">
        <v>57</v>
      </c>
      <c r="Y330" s="252" t="s">
        <v>1933</v>
      </c>
      <c r="Z330" s="252">
        <v>45133</v>
      </c>
      <c r="AA330" s="246"/>
      <c r="AB330" s="301"/>
      <c r="AC330" s="223"/>
      <c r="AD330" s="301"/>
      <c r="AE330" s="306"/>
      <c r="AF330" s="306"/>
      <c r="AG330" s="301"/>
      <c r="AH330" s="301"/>
      <c r="AI330" s="386"/>
      <c r="AJ330" s="348" t="s">
        <v>560</v>
      </c>
      <c r="AK330" s="241">
        <v>4</v>
      </c>
      <c r="AL330" s="153" t="s">
        <v>336</v>
      </c>
      <c r="AM330" s="153" t="s">
        <v>267</v>
      </c>
      <c r="AN330" s="110"/>
      <c r="AO330" s="110"/>
      <c r="AP330" s="115"/>
      <c r="AQ330" s="115"/>
      <c r="AR330" s="115"/>
      <c r="AS330" s="115"/>
      <c r="AT330" s="115"/>
    </row>
    <row r="331" spans="1:46" ht="39" customHeight="1" x14ac:dyDescent="0.25">
      <c r="A331" s="1468">
        <v>330</v>
      </c>
      <c r="B331" s="146">
        <v>2</v>
      </c>
      <c r="C331" s="260" t="s">
        <v>319</v>
      </c>
      <c r="D331" s="241"/>
      <c r="E331" s="241"/>
      <c r="F331" s="241"/>
      <c r="G331" s="261" t="s">
        <v>320</v>
      </c>
      <c r="H331" s="262" t="s">
        <v>87</v>
      </c>
      <c r="I331" s="357"/>
      <c r="J331" s="245" t="s">
        <v>561</v>
      </c>
      <c r="K331" s="216"/>
      <c r="L331" s="281"/>
      <c r="M331" s="281"/>
      <c r="N331" s="245"/>
      <c r="O331" s="1284" t="s">
        <v>3420</v>
      </c>
      <c r="P331" s="287" t="s">
        <v>1828</v>
      </c>
      <c r="Q331" s="348" t="s">
        <v>293</v>
      </c>
      <c r="R331" s="1166" t="s">
        <v>3419</v>
      </c>
      <c r="S331" s="279">
        <v>28207</v>
      </c>
      <c r="T331" s="252"/>
      <c r="U331" s="251" t="s">
        <v>54</v>
      </c>
      <c r="V331" s="250" t="s">
        <v>5909</v>
      </c>
      <c r="W331" s="197" t="s">
        <v>56</v>
      </c>
      <c r="X331" s="197" t="s">
        <v>57</v>
      </c>
      <c r="Y331" s="1461" t="s">
        <v>4631</v>
      </c>
      <c r="Z331" s="252">
        <v>45304</v>
      </c>
      <c r="AA331" s="252"/>
      <c r="AB331" s="299"/>
      <c r="AC331" s="223"/>
      <c r="AD331" s="299"/>
      <c r="AE331" s="289"/>
      <c r="AF331" s="289"/>
      <c r="AG331" s="299"/>
      <c r="AH331" s="299"/>
      <c r="AI331" s="296"/>
      <c r="AJ331" s="348" t="s">
        <v>560</v>
      </c>
      <c r="AK331" s="241">
        <v>4</v>
      </c>
      <c r="AL331" s="153" t="s">
        <v>336</v>
      </c>
      <c r="AM331" s="153" t="s">
        <v>267</v>
      </c>
      <c r="AN331" s="110"/>
      <c r="AO331" s="110"/>
      <c r="AP331" s="115"/>
      <c r="AQ331" s="115"/>
      <c r="AR331" s="115"/>
      <c r="AS331" s="115"/>
      <c r="AT331" s="116"/>
    </row>
    <row r="332" spans="1:46" ht="39" customHeight="1" x14ac:dyDescent="0.25">
      <c r="A332" s="1468">
        <v>331</v>
      </c>
      <c r="B332" s="141">
        <v>2</v>
      </c>
      <c r="C332" s="378" t="s">
        <v>321</v>
      </c>
      <c r="D332" s="303"/>
      <c r="E332" s="241"/>
      <c r="F332" s="241"/>
      <c r="G332" s="261" t="s">
        <v>322</v>
      </c>
      <c r="H332" s="262" t="s">
        <v>87</v>
      </c>
      <c r="I332" s="357"/>
      <c r="J332" s="245" t="s">
        <v>561</v>
      </c>
      <c r="K332" s="216"/>
      <c r="L332" s="216"/>
      <c r="M332" s="216"/>
      <c r="N332" s="366"/>
      <c r="O332" s="950" t="s">
        <v>2302</v>
      </c>
      <c r="P332" s="325"/>
      <c r="Q332" s="741" t="s">
        <v>570</v>
      </c>
      <c r="R332" s="834" t="s">
        <v>2301</v>
      </c>
      <c r="S332" s="279">
        <v>30159</v>
      </c>
      <c r="T332" s="306"/>
      <c r="U332" s="251" t="s">
        <v>54</v>
      </c>
      <c r="V332" s="250" t="s">
        <v>2793</v>
      </c>
      <c r="W332" s="197" t="s">
        <v>56</v>
      </c>
      <c r="X332" s="197" t="s">
        <v>57</v>
      </c>
      <c r="Y332" s="197" t="s">
        <v>2609</v>
      </c>
      <c r="Z332" s="246">
        <v>45141</v>
      </c>
      <c r="AA332" s="246"/>
      <c r="AB332" s="250"/>
      <c r="AC332" s="223"/>
      <c r="AD332" s="281"/>
      <c r="AE332" s="252"/>
      <c r="AF332" s="252"/>
      <c r="AG332" s="282"/>
      <c r="AH332" s="283"/>
      <c r="AI332" s="296"/>
      <c r="AJ332" s="743" t="s">
        <v>560</v>
      </c>
      <c r="AK332" s="241">
        <v>4</v>
      </c>
      <c r="AL332" s="153" t="s">
        <v>336</v>
      </c>
      <c r="AM332" s="153" t="s">
        <v>267</v>
      </c>
      <c r="AN332" s="110"/>
      <c r="AO332" s="110"/>
      <c r="AP332" s="115"/>
      <c r="AQ332" s="115"/>
      <c r="AR332" s="115"/>
      <c r="AS332" s="115"/>
      <c r="AT332" s="115"/>
    </row>
    <row r="333" spans="1:46" ht="39" customHeight="1" x14ac:dyDescent="0.25">
      <c r="A333" s="1468">
        <v>332</v>
      </c>
      <c r="B333" s="141">
        <v>1</v>
      </c>
      <c r="C333" s="378" t="s">
        <v>323</v>
      </c>
      <c r="D333" s="303"/>
      <c r="E333" s="241"/>
      <c r="F333" s="241"/>
      <c r="G333" s="261" t="s">
        <v>324</v>
      </c>
      <c r="H333" s="262" t="s">
        <v>87</v>
      </c>
      <c r="I333" s="364"/>
      <c r="J333" s="245" t="s">
        <v>561</v>
      </c>
      <c r="K333" s="257"/>
      <c r="L333" s="301" t="s">
        <v>1898</v>
      </c>
      <c r="M333" s="301" t="s">
        <v>1898</v>
      </c>
      <c r="N333" s="299"/>
      <c r="O333" s="951" t="s">
        <v>1970</v>
      </c>
      <c r="P333" s="287" t="s">
        <v>1828</v>
      </c>
      <c r="Q333" s="344" t="s">
        <v>87</v>
      </c>
      <c r="R333" s="982" t="s">
        <v>1978</v>
      </c>
      <c r="S333" s="279">
        <v>31439</v>
      </c>
      <c r="T333" s="289"/>
      <c r="U333" s="251" t="s">
        <v>54</v>
      </c>
      <c r="V333" s="197" t="s">
        <v>4047</v>
      </c>
      <c r="W333" s="268" t="s">
        <v>56</v>
      </c>
      <c r="X333" s="268" t="s">
        <v>57</v>
      </c>
      <c r="Y333" s="197" t="s">
        <v>2609</v>
      </c>
      <c r="Z333" s="246">
        <v>45231</v>
      </c>
      <c r="AA333" s="698"/>
      <c r="AB333" s="299"/>
      <c r="AC333" s="223"/>
      <c r="AD333" s="299"/>
      <c r="AE333" s="289"/>
      <c r="AF333" s="289"/>
      <c r="AG333" s="299"/>
      <c r="AH333" s="299"/>
      <c r="AI333" s="254"/>
      <c r="AJ333" s="348" t="s">
        <v>560</v>
      </c>
      <c r="AK333" s="241">
        <v>4</v>
      </c>
      <c r="AL333" s="153" t="s">
        <v>336</v>
      </c>
      <c r="AM333" s="153" t="s">
        <v>267</v>
      </c>
      <c r="AN333" s="151"/>
      <c r="AO333" s="151"/>
      <c r="AP333" s="115"/>
      <c r="AQ333" s="115"/>
      <c r="AR333" s="115"/>
      <c r="AS333" s="115"/>
      <c r="AT333" s="115"/>
    </row>
    <row r="334" spans="1:46" ht="39" customHeight="1" x14ac:dyDescent="0.25">
      <c r="A334" s="1468">
        <v>333</v>
      </c>
      <c r="B334" s="117">
        <v>1</v>
      </c>
      <c r="C334" s="260" t="s">
        <v>325</v>
      </c>
      <c r="D334" s="241"/>
      <c r="E334" s="241"/>
      <c r="F334" s="241"/>
      <c r="G334" s="261" t="s">
        <v>324</v>
      </c>
      <c r="H334" s="262" t="s">
        <v>87</v>
      </c>
      <c r="I334" s="357"/>
      <c r="J334" s="245" t="s">
        <v>561</v>
      </c>
      <c r="K334" s="301"/>
      <c r="L334" s="301" t="s">
        <v>1490</v>
      </c>
      <c r="M334" s="301" t="s">
        <v>1490</v>
      </c>
      <c r="N334" s="305"/>
      <c r="O334" s="216" t="s">
        <v>1491</v>
      </c>
      <c r="P334" s="301"/>
      <c r="Q334" s="373" t="s">
        <v>293</v>
      </c>
      <c r="R334" s="982" t="s">
        <v>1431</v>
      </c>
      <c r="S334" s="279">
        <v>38331</v>
      </c>
      <c r="T334" s="306"/>
      <c r="U334" s="250" t="s">
        <v>54</v>
      </c>
      <c r="V334" s="257"/>
      <c r="W334" s="197" t="s">
        <v>56</v>
      </c>
      <c r="X334" s="197" t="s">
        <v>57</v>
      </c>
      <c r="Y334" s="257"/>
      <c r="Z334" s="289"/>
      <c r="AA334" s="301"/>
      <c r="AB334" s="301"/>
      <c r="AC334" s="223"/>
      <c r="AD334" s="306"/>
      <c r="AE334" s="306">
        <v>45114</v>
      </c>
      <c r="AF334" s="306">
        <v>45845</v>
      </c>
      <c r="AG334" s="305"/>
      <c r="AH334" s="283"/>
      <c r="AI334" s="296"/>
      <c r="AJ334" s="348" t="s">
        <v>560</v>
      </c>
      <c r="AK334" s="241">
        <v>4</v>
      </c>
      <c r="AL334" s="120" t="s">
        <v>336</v>
      </c>
      <c r="AM334" s="120" t="s">
        <v>267</v>
      </c>
      <c r="AN334" s="151"/>
      <c r="AO334" s="151"/>
      <c r="AP334" s="115"/>
      <c r="AQ334" s="115"/>
      <c r="AR334" s="115"/>
      <c r="AS334" s="115"/>
      <c r="AT334" s="115"/>
    </row>
    <row r="335" spans="1:46" ht="39" customHeight="1" x14ac:dyDescent="0.25">
      <c r="A335" s="1468">
        <v>334</v>
      </c>
      <c r="B335" s="117"/>
      <c r="C335" s="455"/>
      <c r="D335" s="331"/>
      <c r="E335" s="331"/>
      <c r="F335" s="331"/>
      <c r="G335" s="432"/>
      <c r="H335" s="456"/>
      <c r="I335" s="456"/>
      <c r="J335" s="329"/>
      <c r="K335" s="432"/>
      <c r="L335" s="329"/>
      <c r="M335" s="329"/>
      <c r="N335" s="329"/>
      <c r="O335" s="330"/>
      <c r="P335" s="273" t="s">
        <v>328</v>
      </c>
      <c r="Q335" s="331"/>
      <c r="R335" s="455"/>
      <c r="S335" s="279"/>
      <c r="T335" s="334"/>
      <c r="U335" s="232"/>
      <c r="V335" s="334"/>
      <c r="W335" s="334"/>
      <c r="X335" s="334"/>
      <c r="Y335" s="334"/>
      <c r="Z335" s="457"/>
      <c r="AA335" s="458"/>
      <c r="AB335" s="459"/>
      <c r="AC335" s="460"/>
      <c r="AD335" s="459"/>
      <c r="AE335" s="461"/>
      <c r="AF335" s="457"/>
      <c r="AG335" s="331"/>
      <c r="AH335" s="462"/>
      <c r="AI335" s="463"/>
      <c r="AJ335" s="464"/>
      <c r="AK335" s="331"/>
      <c r="AL335" s="163"/>
      <c r="AM335" s="163"/>
      <c r="AN335" s="163"/>
      <c r="AO335" s="163"/>
      <c r="AP335" s="115"/>
      <c r="AQ335" s="115"/>
      <c r="AR335" s="115"/>
      <c r="AS335" s="115"/>
      <c r="AT335" s="116"/>
    </row>
    <row r="336" spans="1:46" ht="39" customHeight="1" x14ac:dyDescent="0.25">
      <c r="A336" s="1468">
        <v>335</v>
      </c>
      <c r="B336" s="119">
        <v>10</v>
      </c>
      <c r="C336" s="240" t="s">
        <v>305</v>
      </c>
      <c r="D336" s="282"/>
      <c r="E336" s="338" t="s">
        <v>47</v>
      </c>
      <c r="F336" s="282"/>
      <c r="G336" s="339" t="s">
        <v>91</v>
      </c>
      <c r="H336" s="244" t="s">
        <v>83</v>
      </c>
      <c r="I336" s="340"/>
      <c r="J336" s="245">
        <v>302</v>
      </c>
      <c r="K336" s="197" t="s">
        <v>50</v>
      </c>
      <c r="L336" s="281"/>
      <c r="M336" s="281"/>
      <c r="N336" s="245"/>
      <c r="O336" s="216" t="s">
        <v>3404</v>
      </c>
      <c r="P336" s="706" t="s">
        <v>1411</v>
      </c>
      <c r="Q336" s="242" t="s">
        <v>83</v>
      </c>
      <c r="R336" s="259" t="s">
        <v>3403</v>
      </c>
      <c r="S336" s="279">
        <v>30603</v>
      </c>
      <c r="T336" s="252"/>
      <c r="U336" s="251" t="s">
        <v>54</v>
      </c>
      <c r="V336" s="250" t="s">
        <v>4848</v>
      </c>
      <c r="W336" s="250" t="s">
        <v>56</v>
      </c>
      <c r="X336" s="197" t="s">
        <v>57</v>
      </c>
      <c r="Y336" s="197" t="s">
        <v>4631</v>
      </c>
      <c r="Z336" s="289">
        <v>45247</v>
      </c>
      <c r="AA336" s="252"/>
      <c r="AB336" s="245"/>
      <c r="AC336" s="223"/>
      <c r="AD336" s="281"/>
      <c r="AE336" s="258"/>
      <c r="AF336" s="258"/>
      <c r="AG336" s="241"/>
      <c r="AH336" s="283"/>
      <c r="AI336" s="296"/>
      <c r="AJ336" s="255" t="s">
        <v>62</v>
      </c>
      <c r="AK336" s="242">
        <v>1</v>
      </c>
      <c r="AL336" s="120" t="s">
        <v>336</v>
      </c>
      <c r="AM336" s="120" t="s">
        <v>267</v>
      </c>
      <c r="AN336" s="137"/>
      <c r="AO336" s="137"/>
      <c r="AP336" s="115"/>
      <c r="AQ336" s="115"/>
      <c r="AR336" s="115"/>
      <c r="AS336" s="115"/>
      <c r="AT336" s="115"/>
    </row>
    <row r="337" spans="1:46" ht="39" customHeight="1" x14ac:dyDescent="0.25">
      <c r="A337" s="1468">
        <v>336</v>
      </c>
      <c r="B337" s="117"/>
      <c r="C337" s="455"/>
      <c r="D337" s="331"/>
      <c r="E337" s="331"/>
      <c r="F337" s="331"/>
      <c r="G337" s="432"/>
      <c r="H337" s="456"/>
      <c r="I337" s="456"/>
      <c r="J337" s="329"/>
      <c r="K337" s="432"/>
      <c r="L337" s="329"/>
      <c r="M337" s="329"/>
      <c r="N337" s="329"/>
      <c r="O337" s="330"/>
      <c r="P337" s="273" t="s">
        <v>306</v>
      </c>
      <c r="Q337" s="331"/>
      <c r="R337" s="455"/>
      <c r="S337" s="279"/>
      <c r="T337" s="334"/>
      <c r="U337" s="232"/>
      <c r="V337" s="334"/>
      <c r="W337" s="334"/>
      <c r="X337" s="334"/>
      <c r="Y337" s="334"/>
      <c r="Z337" s="457"/>
      <c r="AA337" s="458"/>
      <c r="AB337" s="459"/>
      <c r="AC337" s="460"/>
      <c r="AD337" s="459"/>
      <c r="AE337" s="461"/>
      <c r="AF337" s="457"/>
      <c r="AG337" s="331"/>
      <c r="AH337" s="462"/>
      <c r="AI337" s="463"/>
      <c r="AJ337" s="464"/>
      <c r="AK337" s="331"/>
      <c r="AL337" s="163"/>
      <c r="AM337" s="163"/>
      <c r="AN337" s="163"/>
      <c r="AO337" s="163"/>
      <c r="AP337" s="115"/>
      <c r="AQ337" s="115"/>
      <c r="AR337" s="115"/>
      <c r="AS337" s="115"/>
      <c r="AT337" s="116"/>
    </row>
    <row r="338" spans="1:46" ht="39" customHeight="1" x14ac:dyDescent="0.25">
      <c r="A338" s="1468">
        <v>337</v>
      </c>
      <c r="B338" s="128">
        <v>7</v>
      </c>
      <c r="C338" s="290" t="s">
        <v>307</v>
      </c>
      <c r="D338" s="344"/>
      <c r="E338" s="344" t="s">
        <v>47</v>
      </c>
      <c r="F338" s="344"/>
      <c r="G338" s="345" t="s">
        <v>308</v>
      </c>
      <c r="H338" s="346" t="s">
        <v>132</v>
      </c>
      <c r="I338" s="371" t="s">
        <v>309</v>
      </c>
      <c r="J338" s="256">
        <v>403</v>
      </c>
      <c r="K338" s="216" t="s">
        <v>313</v>
      </c>
      <c r="L338" s="281" t="s">
        <v>1077</v>
      </c>
      <c r="M338" s="281" t="s">
        <v>1077</v>
      </c>
      <c r="N338" s="245"/>
      <c r="O338" s="216" t="s">
        <v>1078</v>
      </c>
      <c r="P338" s="372"/>
      <c r="Q338" s="344" t="s">
        <v>132</v>
      </c>
      <c r="R338" s="982" t="s">
        <v>1079</v>
      </c>
      <c r="S338" s="279">
        <v>32019</v>
      </c>
      <c r="T338" s="250"/>
      <c r="U338" s="251" t="s">
        <v>468</v>
      </c>
      <c r="V338" s="197" t="s">
        <v>3673</v>
      </c>
      <c r="W338" s="197" t="s">
        <v>469</v>
      </c>
      <c r="X338" s="197" t="s">
        <v>2030</v>
      </c>
      <c r="Y338" s="197" t="s">
        <v>1080</v>
      </c>
      <c r="Z338" s="246">
        <v>44762</v>
      </c>
      <c r="AA338" s="246"/>
      <c r="AB338" s="281"/>
      <c r="AC338" s="223" t="s">
        <v>946</v>
      </c>
      <c r="AD338" s="281"/>
      <c r="AE338" s="258">
        <v>43242</v>
      </c>
      <c r="AF338" s="258">
        <v>45067</v>
      </c>
      <c r="AG338" s="241" t="s">
        <v>61</v>
      </c>
      <c r="AH338" s="283"/>
      <c r="AI338" s="296"/>
      <c r="AJ338" s="348" t="s">
        <v>560</v>
      </c>
      <c r="AK338" s="348">
        <v>3</v>
      </c>
      <c r="AL338" s="120" t="s">
        <v>336</v>
      </c>
      <c r="AM338" s="120" t="s">
        <v>267</v>
      </c>
      <c r="AN338" s="138"/>
      <c r="AO338" s="138"/>
      <c r="AP338" s="115"/>
      <c r="AQ338" s="115"/>
      <c r="AR338" s="115"/>
      <c r="AS338" s="115"/>
      <c r="AT338" s="115"/>
    </row>
    <row r="339" spans="1:46" ht="39" customHeight="1" x14ac:dyDescent="0.25">
      <c r="A339" s="1468">
        <v>338</v>
      </c>
      <c r="B339" s="141">
        <v>3</v>
      </c>
      <c r="C339" s="356" t="s">
        <v>290</v>
      </c>
      <c r="D339" s="241" t="s">
        <v>134</v>
      </c>
      <c r="E339" s="241"/>
      <c r="F339" s="241"/>
      <c r="G339" s="261" t="s">
        <v>291</v>
      </c>
      <c r="H339" s="262" t="s">
        <v>85</v>
      </c>
      <c r="I339" s="346"/>
      <c r="J339" s="245" t="s">
        <v>556</v>
      </c>
      <c r="K339" s="216"/>
      <c r="L339" s="288" t="s">
        <v>1526</v>
      </c>
      <c r="M339" s="288" t="s">
        <v>1526</v>
      </c>
      <c r="N339" s="374"/>
      <c r="O339" s="385" t="s">
        <v>1592</v>
      </c>
      <c r="P339" s="374"/>
      <c r="Q339" s="373" t="s">
        <v>87</v>
      </c>
      <c r="R339" s="982" t="s">
        <v>1593</v>
      </c>
      <c r="S339" s="279">
        <v>34602</v>
      </c>
      <c r="T339" s="197"/>
      <c r="U339" s="251" t="s">
        <v>54</v>
      </c>
      <c r="V339" s="250" t="s">
        <v>1676</v>
      </c>
      <c r="W339" s="197" t="s">
        <v>56</v>
      </c>
      <c r="X339" s="197" t="s">
        <v>57</v>
      </c>
      <c r="Y339" s="981" t="s">
        <v>5824</v>
      </c>
      <c r="Z339" s="246"/>
      <c r="AA339" s="388"/>
      <c r="AB339" s="288"/>
      <c r="AC339" s="223"/>
      <c r="AD339" s="288"/>
      <c r="AE339" s="384"/>
      <c r="AF339" s="384"/>
      <c r="AG339" s="392"/>
      <c r="AH339" s="283"/>
      <c r="AI339" s="254"/>
      <c r="AJ339" s="348" t="s">
        <v>560</v>
      </c>
      <c r="AK339" s="241">
        <v>4</v>
      </c>
      <c r="AL339" s="120" t="s">
        <v>336</v>
      </c>
      <c r="AM339" s="120" t="s">
        <v>267</v>
      </c>
      <c r="AN339" s="110" t="s">
        <v>4184</v>
      </c>
      <c r="AO339" s="138"/>
      <c r="AP339" s="115"/>
      <c r="AQ339" s="115"/>
      <c r="AR339" s="115"/>
      <c r="AS339" s="115"/>
      <c r="AT339" s="115"/>
    </row>
    <row r="340" spans="1:46" ht="39" customHeight="1" x14ac:dyDescent="0.25">
      <c r="A340" s="1468">
        <v>339</v>
      </c>
      <c r="B340" s="141">
        <v>3</v>
      </c>
      <c r="C340" s="358" t="s">
        <v>297</v>
      </c>
      <c r="D340" s="241" t="s">
        <v>134</v>
      </c>
      <c r="E340" s="241"/>
      <c r="F340" s="241"/>
      <c r="G340" s="261" t="s">
        <v>298</v>
      </c>
      <c r="H340" s="262" t="s">
        <v>85</v>
      </c>
      <c r="I340" s="346"/>
      <c r="J340" s="245" t="s">
        <v>556</v>
      </c>
      <c r="K340" s="216"/>
      <c r="L340" s="281" t="s">
        <v>5022</v>
      </c>
      <c r="M340" s="281" t="s">
        <v>5022</v>
      </c>
      <c r="N340" s="281"/>
      <c r="O340" s="1459" t="s">
        <v>5420</v>
      </c>
      <c r="P340" s="706"/>
      <c r="Q340" s="344" t="s">
        <v>87</v>
      </c>
      <c r="R340" s="982" t="s">
        <v>5419</v>
      </c>
      <c r="S340" s="279">
        <v>33700</v>
      </c>
      <c r="T340" s="250"/>
      <c r="U340" s="251" t="s">
        <v>54</v>
      </c>
      <c r="V340" s="197"/>
      <c r="W340" s="426" t="s">
        <v>56</v>
      </c>
      <c r="X340" s="197"/>
      <c r="Y340" s="197"/>
      <c r="Z340" s="252"/>
      <c r="AA340" s="252"/>
      <c r="AB340" s="282"/>
      <c r="AC340" s="223"/>
      <c r="AD340" s="282"/>
      <c r="AE340" s="494"/>
      <c r="AF340" s="494"/>
      <c r="AG340" s="241"/>
      <c r="AH340" s="283"/>
      <c r="AI340" s="254"/>
      <c r="AJ340" s="348" t="s">
        <v>560</v>
      </c>
      <c r="AK340" s="241">
        <v>4</v>
      </c>
      <c r="AL340" s="120" t="s">
        <v>336</v>
      </c>
      <c r="AM340" s="120" t="s">
        <v>267</v>
      </c>
      <c r="AN340" s="138"/>
      <c r="AO340" s="138"/>
      <c r="AP340" s="115"/>
      <c r="AQ340" s="115"/>
      <c r="AR340" s="115"/>
      <c r="AS340" s="115"/>
      <c r="AT340" s="116"/>
    </row>
    <row r="341" spans="1:46" ht="39" customHeight="1" x14ac:dyDescent="0.25">
      <c r="A341" s="1468">
        <v>340</v>
      </c>
      <c r="B341" s="141">
        <v>2</v>
      </c>
      <c r="C341" s="260" t="s">
        <v>311</v>
      </c>
      <c r="D341" s="241"/>
      <c r="E341" s="241"/>
      <c r="F341" s="241"/>
      <c r="G341" s="261" t="s">
        <v>312</v>
      </c>
      <c r="H341" s="262" t="s">
        <v>85</v>
      </c>
      <c r="I341" s="346"/>
      <c r="J341" s="245" t="s">
        <v>556</v>
      </c>
      <c r="K341" s="305"/>
      <c r="L341" s="281"/>
      <c r="M341" s="281"/>
      <c r="N341" s="305"/>
      <c r="O341" s="392"/>
      <c r="P341" s="484"/>
      <c r="Q341" s="344"/>
      <c r="R341" s="683" t="s">
        <v>66</v>
      </c>
      <c r="S341" s="279"/>
      <c r="T341" s="306"/>
      <c r="U341" s="250"/>
      <c r="V341" s="250"/>
      <c r="W341" s="197"/>
      <c r="X341" s="197"/>
      <c r="Y341" s="252"/>
      <c r="Z341" s="252"/>
      <c r="AA341" s="289"/>
      <c r="AB341" s="299"/>
      <c r="AC341" s="223"/>
      <c r="AD341" s="299"/>
      <c r="AE341" s="289"/>
      <c r="AF341" s="289"/>
      <c r="AG341" s="299"/>
      <c r="AH341" s="299"/>
      <c r="AI341" s="296"/>
      <c r="AJ341" s="348"/>
      <c r="AK341" s="241">
        <v>4</v>
      </c>
      <c r="AL341" s="120" t="s">
        <v>336</v>
      </c>
      <c r="AM341" s="120" t="s">
        <v>267</v>
      </c>
      <c r="AN341" s="138"/>
      <c r="AO341" s="138"/>
      <c r="AP341" s="115"/>
      <c r="AQ341" s="115"/>
      <c r="AR341" s="115"/>
      <c r="AS341" s="115"/>
      <c r="AT341" s="115"/>
    </row>
    <row r="342" spans="1:46" ht="39" customHeight="1" x14ac:dyDescent="0.25">
      <c r="A342" s="1468">
        <v>341</v>
      </c>
      <c r="B342" s="141">
        <v>2</v>
      </c>
      <c r="C342" s="260" t="s">
        <v>317</v>
      </c>
      <c r="D342" s="241"/>
      <c r="E342" s="241"/>
      <c r="F342" s="241"/>
      <c r="G342" s="261" t="s">
        <v>318</v>
      </c>
      <c r="H342" s="262" t="s">
        <v>87</v>
      </c>
      <c r="I342" s="357"/>
      <c r="J342" s="245" t="s">
        <v>561</v>
      </c>
      <c r="K342" s="684"/>
      <c r="L342" s="685"/>
      <c r="M342" s="685"/>
      <c r="N342" s="684"/>
      <c r="O342" s="216" t="s">
        <v>2485</v>
      </c>
      <c r="P342" s="484"/>
      <c r="Q342" s="344" t="s">
        <v>293</v>
      </c>
      <c r="R342" s="982" t="s">
        <v>2484</v>
      </c>
      <c r="S342" s="279">
        <v>31918</v>
      </c>
      <c r="T342" s="684"/>
      <c r="U342" s="251" t="s">
        <v>54</v>
      </c>
      <c r="V342" s="250" t="s">
        <v>2793</v>
      </c>
      <c r="W342" s="197" t="s">
        <v>56</v>
      </c>
      <c r="X342" s="197" t="s">
        <v>57</v>
      </c>
      <c r="Y342" s="197" t="s">
        <v>2609</v>
      </c>
      <c r="Z342" s="246">
        <v>45170</v>
      </c>
      <c r="AA342" s="684"/>
      <c r="AB342" s="1290"/>
      <c r="AC342" s="684"/>
      <c r="AD342" s="686"/>
      <c r="AE342" s="684"/>
      <c r="AF342" s="684"/>
      <c r="AG342" s="684"/>
      <c r="AH342" s="684"/>
      <c r="AI342" s="685"/>
      <c r="AJ342" s="348" t="s">
        <v>560</v>
      </c>
      <c r="AK342" s="241">
        <v>4</v>
      </c>
      <c r="AL342" s="120" t="s">
        <v>336</v>
      </c>
      <c r="AM342" s="120" t="s">
        <v>267</v>
      </c>
      <c r="AN342" s="110"/>
      <c r="AO342" s="151"/>
      <c r="AP342" s="115"/>
      <c r="AQ342" s="115"/>
      <c r="AR342" s="115"/>
      <c r="AS342" s="115"/>
      <c r="AT342" s="115"/>
    </row>
    <row r="343" spans="1:46" ht="39" customHeight="1" x14ac:dyDescent="0.25">
      <c r="A343" s="1468">
        <v>342</v>
      </c>
      <c r="B343" s="146">
        <v>2</v>
      </c>
      <c r="C343" s="260" t="s">
        <v>319</v>
      </c>
      <c r="D343" s="241"/>
      <c r="E343" s="241"/>
      <c r="F343" s="241"/>
      <c r="G343" s="261" t="s">
        <v>320</v>
      </c>
      <c r="H343" s="262" t="s">
        <v>87</v>
      </c>
      <c r="I343" s="357"/>
      <c r="J343" s="245" t="s">
        <v>561</v>
      </c>
      <c r="K343" s="216"/>
      <c r="L343" s="301" t="s">
        <v>2524</v>
      </c>
      <c r="M343" s="301" t="s">
        <v>2524</v>
      </c>
      <c r="N343" s="366"/>
      <c r="O343" s="950" t="s">
        <v>2611</v>
      </c>
      <c r="P343" s="247" t="s">
        <v>1828</v>
      </c>
      <c r="Q343" s="344" t="s">
        <v>293</v>
      </c>
      <c r="R343" s="982" t="s">
        <v>2610</v>
      </c>
      <c r="S343" s="279">
        <v>25689</v>
      </c>
      <c r="T343" s="502"/>
      <c r="U343" s="251" t="s">
        <v>54</v>
      </c>
      <c r="V343" s="959" t="s">
        <v>3484</v>
      </c>
      <c r="W343" s="268" t="s">
        <v>56</v>
      </c>
      <c r="X343" s="268" t="s">
        <v>57</v>
      </c>
      <c r="Y343" s="197" t="s">
        <v>2609</v>
      </c>
      <c r="Z343" s="252">
        <v>45202</v>
      </c>
      <c r="AA343" s="246"/>
      <c r="AB343" s="301"/>
      <c r="AC343" s="223"/>
      <c r="AD343" s="301"/>
      <c r="AE343" s="306"/>
      <c r="AF343" s="306"/>
      <c r="AG343" s="301"/>
      <c r="AH343" s="483"/>
      <c r="AI343" s="254"/>
      <c r="AJ343" s="348" t="s">
        <v>560</v>
      </c>
      <c r="AK343" s="241">
        <v>4</v>
      </c>
      <c r="AL343" s="120" t="s">
        <v>336</v>
      </c>
      <c r="AM343" s="120" t="s">
        <v>267</v>
      </c>
      <c r="AN343" s="110"/>
      <c r="AO343" s="151"/>
      <c r="AP343" s="115"/>
      <c r="AQ343" s="115"/>
      <c r="AR343" s="115"/>
      <c r="AS343" s="115"/>
      <c r="AT343" s="116"/>
    </row>
    <row r="344" spans="1:46" ht="39" customHeight="1" x14ac:dyDescent="0.25">
      <c r="A344" s="1468">
        <v>343</v>
      </c>
      <c r="B344" s="141">
        <v>2</v>
      </c>
      <c r="C344" s="378" t="s">
        <v>321</v>
      </c>
      <c r="D344" s="303"/>
      <c r="E344" s="241"/>
      <c r="F344" s="241"/>
      <c r="G344" s="261" t="s">
        <v>322</v>
      </c>
      <c r="H344" s="262" t="s">
        <v>87</v>
      </c>
      <c r="I344" s="357"/>
      <c r="J344" s="245" t="s">
        <v>561</v>
      </c>
      <c r="K344" s="288"/>
      <c r="L344" s="216" t="s">
        <v>3970</v>
      </c>
      <c r="M344" s="216" t="s">
        <v>3970</v>
      </c>
      <c r="N344" s="366"/>
      <c r="O344" s="216" t="s">
        <v>2787</v>
      </c>
      <c r="P344" s="402"/>
      <c r="Q344" s="344" t="s">
        <v>293</v>
      </c>
      <c r="R344" s="982" t="s">
        <v>2786</v>
      </c>
      <c r="S344" s="279">
        <v>29233</v>
      </c>
      <c r="T344" s="250"/>
      <c r="U344" s="250"/>
      <c r="V344" s="250"/>
      <c r="W344" s="268">
        <v>200</v>
      </c>
      <c r="X344" s="197"/>
      <c r="Y344" s="197"/>
      <c r="Z344" s="246"/>
      <c r="AA344" s="250"/>
      <c r="AB344" s="288"/>
      <c r="AC344" s="223"/>
      <c r="AD344" s="288"/>
      <c r="AE344" s="384"/>
      <c r="AF344" s="384"/>
      <c r="AG344" s="241"/>
      <c r="AH344" s="281"/>
      <c r="AI344" s="254"/>
      <c r="AJ344" s="348" t="s">
        <v>560</v>
      </c>
      <c r="AK344" s="241">
        <v>4</v>
      </c>
      <c r="AL344" s="120" t="s">
        <v>336</v>
      </c>
      <c r="AM344" s="120" t="s">
        <v>267</v>
      </c>
      <c r="AN344" s="151"/>
      <c r="AO344" s="151"/>
      <c r="AP344" s="115"/>
      <c r="AQ344" s="115"/>
      <c r="AR344" s="115"/>
      <c r="AS344" s="115"/>
      <c r="AT344" s="115"/>
    </row>
    <row r="345" spans="1:46" ht="39" customHeight="1" x14ac:dyDescent="0.25">
      <c r="A345" s="1468">
        <v>344</v>
      </c>
      <c r="B345" s="141">
        <v>1</v>
      </c>
      <c r="C345" s="378" t="s">
        <v>323</v>
      </c>
      <c r="D345" s="303"/>
      <c r="E345" s="241"/>
      <c r="F345" s="241"/>
      <c r="G345" s="261" t="s">
        <v>324</v>
      </c>
      <c r="H345" s="262" t="s">
        <v>87</v>
      </c>
      <c r="I345" s="357"/>
      <c r="J345" s="245" t="s">
        <v>561</v>
      </c>
      <c r="K345" s="277"/>
      <c r="L345" s="756"/>
      <c r="M345" s="756"/>
      <c r="N345" s="454"/>
      <c r="O345" s="906"/>
      <c r="P345" s="454"/>
      <c r="Q345" s="485"/>
      <c r="R345" s="998" t="s">
        <v>66</v>
      </c>
      <c r="S345" s="279"/>
      <c r="T345" s="280"/>
      <c r="U345" s="250"/>
      <c r="V345" s="250"/>
      <c r="W345" s="197"/>
      <c r="X345" s="197"/>
      <c r="Y345" s="981"/>
      <c r="Z345" s="246"/>
      <c r="AA345" s="388"/>
      <c r="AB345" s="288"/>
      <c r="AC345" s="223"/>
      <c r="AD345" s="288"/>
      <c r="AE345" s="384"/>
      <c r="AF345" s="384"/>
      <c r="AG345" s="392"/>
      <c r="AH345" s="283"/>
      <c r="AI345" s="254"/>
      <c r="AJ345" s="348"/>
      <c r="AK345" s="241">
        <v>4</v>
      </c>
      <c r="AL345" s="120" t="s">
        <v>336</v>
      </c>
      <c r="AM345" s="120" t="s">
        <v>267</v>
      </c>
      <c r="AN345" s="151"/>
      <c r="AO345" s="151"/>
      <c r="AP345" s="115"/>
      <c r="AQ345" s="115"/>
      <c r="AR345" s="115"/>
      <c r="AS345" s="115"/>
      <c r="AT345" s="115"/>
    </row>
    <row r="346" spans="1:46" ht="39" customHeight="1" x14ac:dyDescent="0.25">
      <c r="A346" s="1468">
        <v>345</v>
      </c>
      <c r="B346" s="117">
        <v>1</v>
      </c>
      <c r="C346" s="260" t="s">
        <v>325</v>
      </c>
      <c r="D346" s="241"/>
      <c r="E346" s="241"/>
      <c r="F346" s="241"/>
      <c r="G346" s="261" t="s">
        <v>324</v>
      </c>
      <c r="H346" s="262" t="s">
        <v>87</v>
      </c>
      <c r="I346" s="357"/>
      <c r="J346" s="245" t="s">
        <v>561</v>
      </c>
      <c r="K346" s="216"/>
      <c r="L346" s="301" t="s">
        <v>1824</v>
      </c>
      <c r="M346" s="301" t="s">
        <v>1848</v>
      </c>
      <c r="N346" s="245"/>
      <c r="O346" s="950" t="s">
        <v>3323</v>
      </c>
      <c r="P346" s="325" t="s">
        <v>1828</v>
      </c>
      <c r="Q346" s="344" t="s">
        <v>132</v>
      </c>
      <c r="R346" s="1166" t="s">
        <v>1849</v>
      </c>
      <c r="S346" s="279">
        <v>27627</v>
      </c>
      <c r="T346" s="250"/>
      <c r="U346" s="251" t="s">
        <v>54</v>
      </c>
      <c r="V346" s="250" t="s">
        <v>1922</v>
      </c>
      <c r="W346" s="197" t="s">
        <v>56</v>
      </c>
      <c r="X346" s="197" t="s">
        <v>57</v>
      </c>
      <c r="Y346" s="252" t="s">
        <v>1933</v>
      </c>
      <c r="Z346" s="252">
        <v>45133</v>
      </c>
      <c r="AA346" s="305"/>
      <c r="AB346" s="288"/>
      <c r="AC346" s="223"/>
      <c r="AD346" s="306"/>
      <c r="AE346" s="384"/>
      <c r="AF346" s="307"/>
      <c r="AG346" s="305"/>
      <c r="AH346" s="305"/>
      <c r="AI346" s="254"/>
      <c r="AJ346" s="348" t="s">
        <v>560</v>
      </c>
      <c r="AK346" s="241">
        <v>4</v>
      </c>
      <c r="AL346" s="120" t="s">
        <v>336</v>
      </c>
      <c r="AM346" s="120" t="s">
        <v>267</v>
      </c>
      <c r="AN346" s="151"/>
      <c r="AO346" s="151"/>
      <c r="AP346" s="115"/>
      <c r="AQ346" s="115"/>
      <c r="AR346" s="115"/>
      <c r="AS346" s="115"/>
      <c r="AT346" s="115"/>
    </row>
    <row r="347" spans="1:46" ht="39" customHeight="1" x14ac:dyDescent="0.25">
      <c r="A347" s="1468">
        <v>346</v>
      </c>
      <c r="B347" s="117"/>
      <c r="C347" s="455"/>
      <c r="D347" s="331"/>
      <c r="E347" s="331"/>
      <c r="F347" s="331"/>
      <c r="G347" s="432"/>
      <c r="H347" s="456"/>
      <c r="I347" s="456"/>
      <c r="J347" s="329"/>
      <c r="K347" s="432"/>
      <c r="L347" s="329"/>
      <c r="M347" s="329"/>
      <c r="N347" s="329"/>
      <c r="O347" s="330"/>
      <c r="P347" s="273" t="s">
        <v>326</v>
      </c>
      <c r="Q347" s="331"/>
      <c r="R347" s="455"/>
      <c r="S347" s="279"/>
      <c r="T347" s="334"/>
      <c r="U347" s="232"/>
      <c r="V347" s="334"/>
      <c r="W347" s="334"/>
      <c r="X347" s="334"/>
      <c r="Y347" s="334"/>
      <c r="Z347" s="457"/>
      <c r="AA347" s="458"/>
      <c r="AB347" s="459"/>
      <c r="AC347" s="460"/>
      <c r="AD347" s="459"/>
      <c r="AE347" s="461"/>
      <c r="AF347" s="457"/>
      <c r="AG347" s="331"/>
      <c r="AH347" s="462"/>
      <c r="AI347" s="463"/>
      <c r="AJ347" s="464"/>
      <c r="AK347" s="331"/>
      <c r="AL347" s="163"/>
      <c r="AM347" s="163"/>
      <c r="AN347" s="163"/>
      <c r="AO347" s="163"/>
      <c r="AP347" s="115"/>
      <c r="AQ347" s="115"/>
      <c r="AR347" s="115"/>
      <c r="AS347" s="115"/>
      <c r="AT347" s="116"/>
    </row>
    <row r="348" spans="1:46" ht="39" customHeight="1" x14ac:dyDescent="0.25">
      <c r="A348" s="1468">
        <v>347</v>
      </c>
      <c r="B348" s="128">
        <v>5</v>
      </c>
      <c r="C348" s="290" t="s">
        <v>288</v>
      </c>
      <c r="D348" s="344"/>
      <c r="E348" s="344" t="s">
        <v>47</v>
      </c>
      <c r="F348" s="344"/>
      <c r="G348" s="292" t="s">
        <v>289</v>
      </c>
      <c r="H348" s="346" t="s">
        <v>132</v>
      </c>
      <c r="I348" s="344">
        <v>144</v>
      </c>
      <c r="J348" s="256">
        <v>403</v>
      </c>
      <c r="K348" s="216" t="s">
        <v>158</v>
      </c>
      <c r="L348" s="216" t="s">
        <v>1081</v>
      </c>
      <c r="M348" s="216" t="s">
        <v>1081</v>
      </c>
      <c r="N348" s="197"/>
      <c r="O348" s="216" t="s">
        <v>1082</v>
      </c>
      <c r="P348" s="247"/>
      <c r="Q348" s="344" t="s">
        <v>132</v>
      </c>
      <c r="R348" s="982" t="s">
        <v>1083</v>
      </c>
      <c r="S348" s="279">
        <v>36566</v>
      </c>
      <c r="T348" s="250"/>
      <c r="U348" s="251" t="s">
        <v>54</v>
      </c>
      <c r="V348" s="197" t="s">
        <v>207</v>
      </c>
      <c r="W348" s="197" t="s">
        <v>56</v>
      </c>
      <c r="X348" s="197" t="s">
        <v>57</v>
      </c>
      <c r="Y348" s="197" t="s">
        <v>58</v>
      </c>
      <c r="Z348" s="246">
        <v>44844</v>
      </c>
      <c r="AA348" s="250"/>
      <c r="AB348" s="281"/>
      <c r="AC348" s="223" t="s">
        <v>946</v>
      </c>
      <c r="AD348" s="468"/>
      <c r="AE348" s="306">
        <v>44384</v>
      </c>
      <c r="AF348" s="306">
        <v>45113</v>
      </c>
      <c r="AG348" s="241" t="s">
        <v>61</v>
      </c>
      <c r="AH348" s="281"/>
      <c r="AI348" s="386"/>
      <c r="AJ348" s="348" t="s">
        <v>560</v>
      </c>
      <c r="AK348" s="348">
        <v>3</v>
      </c>
      <c r="AL348" s="120" t="s">
        <v>336</v>
      </c>
      <c r="AM348" s="120" t="s">
        <v>267</v>
      </c>
      <c r="AN348" s="138"/>
      <c r="AO348" s="138"/>
      <c r="AP348" s="115"/>
      <c r="AQ348" s="115"/>
      <c r="AR348" s="115"/>
      <c r="AS348" s="115"/>
      <c r="AT348" s="115"/>
    </row>
    <row r="349" spans="1:46" ht="39" customHeight="1" x14ac:dyDescent="0.25">
      <c r="A349" s="1468">
        <v>348</v>
      </c>
      <c r="B349" s="141">
        <v>3</v>
      </c>
      <c r="C349" s="356" t="s">
        <v>290</v>
      </c>
      <c r="D349" s="241" t="s">
        <v>134</v>
      </c>
      <c r="E349" s="241"/>
      <c r="F349" s="241"/>
      <c r="G349" s="261" t="s">
        <v>291</v>
      </c>
      <c r="H349" s="262" t="s">
        <v>85</v>
      </c>
      <c r="I349" s="364"/>
      <c r="J349" s="245" t="s">
        <v>556</v>
      </c>
      <c r="K349" s="684"/>
      <c r="L349" s="685"/>
      <c r="M349" s="685"/>
      <c r="N349" s="684"/>
      <c r="O349" s="385"/>
      <c r="P349" s="374"/>
      <c r="Q349" s="344"/>
      <c r="R349" s="982" t="s">
        <v>66</v>
      </c>
      <c r="S349" s="279"/>
      <c r="T349" s="684"/>
      <c r="U349" s="250"/>
      <c r="V349" s="250"/>
      <c r="W349" s="197"/>
      <c r="X349" s="197"/>
      <c r="Y349" s="197"/>
      <c r="Z349" s="246"/>
      <c r="AA349" s="684"/>
      <c r="AB349" s="1290"/>
      <c r="AC349" s="684"/>
      <c r="AD349" s="686"/>
      <c r="AE349" s="684"/>
      <c r="AF349" s="684"/>
      <c r="AG349" s="684"/>
      <c r="AH349" s="684"/>
      <c r="AI349" s="685"/>
      <c r="AJ349" s="348"/>
      <c r="AK349" s="241">
        <v>4</v>
      </c>
      <c r="AL349" s="120" t="s">
        <v>336</v>
      </c>
      <c r="AM349" s="120" t="s">
        <v>267</v>
      </c>
      <c r="AN349" s="110" t="s">
        <v>4184</v>
      </c>
      <c r="AO349" s="151"/>
      <c r="AP349" s="115"/>
      <c r="AQ349" s="115"/>
      <c r="AR349" s="115"/>
      <c r="AS349" s="115"/>
      <c r="AT349" s="115"/>
    </row>
    <row r="350" spans="1:46" ht="39" customHeight="1" x14ac:dyDescent="0.25">
      <c r="A350" s="1468">
        <v>349</v>
      </c>
      <c r="B350" s="141">
        <v>3</v>
      </c>
      <c r="C350" s="358" t="s">
        <v>297</v>
      </c>
      <c r="D350" s="241" t="s">
        <v>134</v>
      </c>
      <c r="E350" s="241"/>
      <c r="F350" s="241"/>
      <c r="G350" s="261" t="s">
        <v>298</v>
      </c>
      <c r="H350" s="262" t="s">
        <v>85</v>
      </c>
      <c r="I350" s="364"/>
      <c r="J350" s="245" t="s">
        <v>556</v>
      </c>
      <c r="K350" s="216"/>
      <c r="L350" s="288" t="s">
        <v>1526</v>
      </c>
      <c r="M350" s="288" t="s">
        <v>1526</v>
      </c>
      <c r="N350" s="374"/>
      <c r="O350" s="385" t="s">
        <v>1540</v>
      </c>
      <c r="P350" s="374"/>
      <c r="Q350" s="344" t="s">
        <v>85</v>
      </c>
      <c r="R350" s="982" t="s">
        <v>1541</v>
      </c>
      <c r="S350" s="279">
        <v>34939</v>
      </c>
      <c r="T350" s="197"/>
      <c r="U350" s="251" t="s">
        <v>54</v>
      </c>
      <c r="V350" s="250" t="s">
        <v>1922</v>
      </c>
      <c r="W350" s="197" t="s">
        <v>56</v>
      </c>
      <c r="X350" s="197" t="s">
        <v>57</v>
      </c>
      <c r="Y350" s="252" t="s">
        <v>1933</v>
      </c>
      <c r="Z350" s="252">
        <v>45133</v>
      </c>
      <c r="AA350" s="388"/>
      <c r="AB350" s="288"/>
      <c r="AC350" s="223"/>
      <c r="AD350" s="288"/>
      <c r="AE350" s="384"/>
      <c r="AF350" s="384"/>
      <c r="AG350" s="392"/>
      <c r="AH350" s="283"/>
      <c r="AI350" s="254"/>
      <c r="AJ350" s="348" t="s">
        <v>560</v>
      </c>
      <c r="AK350" s="241">
        <v>4</v>
      </c>
      <c r="AL350" s="120" t="s">
        <v>336</v>
      </c>
      <c r="AM350" s="120" t="s">
        <v>267</v>
      </c>
      <c r="AN350" s="110"/>
      <c r="AO350" s="151"/>
      <c r="AP350" s="115"/>
      <c r="AQ350" s="115"/>
      <c r="AR350" s="115"/>
      <c r="AS350" s="115"/>
      <c r="AT350" s="116"/>
    </row>
    <row r="351" spans="1:46" ht="39" customHeight="1" x14ac:dyDescent="0.25">
      <c r="A351" s="1468">
        <v>350</v>
      </c>
      <c r="B351" s="141">
        <v>2</v>
      </c>
      <c r="C351" s="260" t="s">
        <v>311</v>
      </c>
      <c r="D351" s="241"/>
      <c r="E351" s="241"/>
      <c r="F351" s="241"/>
      <c r="G351" s="261" t="s">
        <v>312</v>
      </c>
      <c r="H351" s="262" t="s">
        <v>85</v>
      </c>
      <c r="I351" s="364"/>
      <c r="J351" s="245" t="s">
        <v>556</v>
      </c>
      <c r="K351" s="216"/>
      <c r="L351" s="301"/>
      <c r="M351" s="301"/>
      <c r="N351" s="245"/>
      <c r="O351" s="950"/>
      <c r="P351" s="305"/>
      <c r="Q351" s="348"/>
      <c r="R351" s="683" t="s">
        <v>66</v>
      </c>
      <c r="S351" s="279"/>
      <c r="T351" s="250"/>
      <c r="U351" s="250"/>
      <c r="V351" s="250"/>
      <c r="W351" s="197"/>
      <c r="X351" s="197"/>
      <c r="Y351" s="252"/>
      <c r="Z351" s="252"/>
      <c r="AA351" s="305"/>
      <c r="AB351" s="288"/>
      <c r="AC351" s="223"/>
      <c r="AD351" s="306"/>
      <c r="AE351" s="384"/>
      <c r="AF351" s="307"/>
      <c r="AG351" s="305"/>
      <c r="AH351" s="305"/>
      <c r="AI351" s="254"/>
      <c r="AJ351" s="348"/>
      <c r="AK351" s="241">
        <v>4</v>
      </c>
      <c r="AL351" s="120" t="s">
        <v>336</v>
      </c>
      <c r="AM351" s="120" t="s">
        <v>267</v>
      </c>
      <c r="AN351" s="110"/>
      <c r="AO351" s="151"/>
      <c r="AP351" s="115"/>
      <c r="AQ351" s="115"/>
      <c r="AR351" s="115"/>
      <c r="AS351" s="115"/>
      <c r="AT351" s="115"/>
    </row>
    <row r="352" spans="1:46" ht="39" customHeight="1" x14ac:dyDescent="0.25">
      <c r="A352" s="1468">
        <v>351</v>
      </c>
      <c r="B352" s="141">
        <v>2</v>
      </c>
      <c r="C352" s="260" t="s">
        <v>317</v>
      </c>
      <c r="D352" s="241"/>
      <c r="E352" s="241"/>
      <c r="F352" s="241"/>
      <c r="G352" s="261" t="s">
        <v>318</v>
      </c>
      <c r="H352" s="262" t="s">
        <v>87</v>
      </c>
      <c r="I352" s="364"/>
      <c r="J352" s="245" t="s">
        <v>561</v>
      </c>
      <c r="K352" s="257"/>
      <c r="L352" s="299"/>
      <c r="M352" s="299"/>
      <c r="N352" s="299"/>
      <c r="O352" s="950" t="s">
        <v>2477</v>
      </c>
      <c r="P352" s="305"/>
      <c r="Q352" s="344" t="s">
        <v>87</v>
      </c>
      <c r="R352" s="1166" t="s">
        <v>2476</v>
      </c>
      <c r="S352" s="279">
        <v>28061</v>
      </c>
      <c r="T352" s="289"/>
      <c r="U352" s="251" t="s">
        <v>54</v>
      </c>
      <c r="V352" s="250" t="s">
        <v>2793</v>
      </c>
      <c r="W352" s="197" t="s">
        <v>56</v>
      </c>
      <c r="X352" s="197" t="s">
        <v>57</v>
      </c>
      <c r="Y352" s="197" t="s">
        <v>2609</v>
      </c>
      <c r="Z352" s="246">
        <v>45151</v>
      </c>
      <c r="AA352" s="289"/>
      <c r="AB352" s="299"/>
      <c r="AC352" s="223"/>
      <c r="AD352" s="299"/>
      <c r="AE352" s="289"/>
      <c r="AF352" s="289"/>
      <c r="AG352" s="299"/>
      <c r="AH352" s="299"/>
      <c r="AI352" s="223"/>
      <c r="AJ352" s="348" t="s">
        <v>560</v>
      </c>
      <c r="AK352" s="241">
        <v>4</v>
      </c>
      <c r="AL352" s="120" t="s">
        <v>336</v>
      </c>
      <c r="AM352" s="120" t="s">
        <v>267</v>
      </c>
      <c r="AN352" s="110"/>
      <c r="AO352" s="151"/>
      <c r="AP352" s="115"/>
      <c r="AQ352" s="115"/>
      <c r="AR352" s="115"/>
      <c r="AS352" s="115"/>
      <c r="AT352" s="115"/>
    </row>
    <row r="353" spans="1:46" ht="39" customHeight="1" x14ac:dyDescent="0.25">
      <c r="A353" s="1468">
        <v>352</v>
      </c>
      <c r="B353" s="146">
        <v>2</v>
      </c>
      <c r="C353" s="260" t="s">
        <v>319</v>
      </c>
      <c r="D353" s="241"/>
      <c r="E353" s="241"/>
      <c r="F353" s="241"/>
      <c r="G353" s="261" t="s">
        <v>320</v>
      </c>
      <c r="H353" s="262" t="s">
        <v>87</v>
      </c>
      <c r="I353" s="357"/>
      <c r="J353" s="245" t="s">
        <v>561</v>
      </c>
      <c r="K353" s="257"/>
      <c r="L353" s="281" t="s">
        <v>3970</v>
      </c>
      <c r="M353" s="281" t="s">
        <v>3970</v>
      </c>
      <c r="N353" s="366"/>
      <c r="O353" s="216" t="s">
        <v>2260</v>
      </c>
      <c r="P353" s="247"/>
      <c r="Q353" s="344" t="s">
        <v>293</v>
      </c>
      <c r="R353" s="982" t="s">
        <v>2259</v>
      </c>
      <c r="S353" s="279">
        <v>35964</v>
      </c>
      <c r="T353" s="197"/>
      <c r="U353" s="251" t="s">
        <v>54</v>
      </c>
      <c r="V353" s="250" t="s">
        <v>2793</v>
      </c>
      <c r="W353" s="197" t="s">
        <v>56</v>
      </c>
      <c r="X353" s="197" t="s">
        <v>57</v>
      </c>
      <c r="Y353" s="197" t="s">
        <v>2609</v>
      </c>
      <c r="Z353" s="246">
        <v>45142</v>
      </c>
      <c r="AA353" s="246"/>
      <c r="AB353" s="361"/>
      <c r="AC353" s="223"/>
      <c r="AD353" s="376"/>
      <c r="AE353" s="258"/>
      <c r="AF353" s="258"/>
      <c r="AG353" s="241"/>
      <c r="AH353" s="283"/>
      <c r="AI353" s="254"/>
      <c r="AJ353" s="348" t="s">
        <v>560</v>
      </c>
      <c r="AK353" s="241">
        <v>4</v>
      </c>
      <c r="AL353" s="120" t="s">
        <v>336</v>
      </c>
      <c r="AM353" s="120" t="s">
        <v>267</v>
      </c>
      <c r="AN353" s="110"/>
      <c r="AO353" s="151"/>
      <c r="AP353" s="115"/>
      <c r="AQ353" s="115"/>
      <c r="AR353" s="115"/>
      <c r="AS353" s="115"/>
      <c r="AT353" s="116"/>
    </row>
    <row r="354" spans="1:46" ht="39" customHeight="1" x14ac:dyDescent="0.25">
      <c r="A354" s="1468">
        <v>353</v>
      </c>
      <c r="B354" s="141">
        <v>2</v>
      </c>
      <c r="C354" s="378" t="s">
        <v>321</v>
      </c>
      <c r="D354" s="303"/>
      <c r="E354" s="241"/>
      <c r="F354" s="241"/>
      <c r="G354" s="261" t="s">
        <v>322</v>
      </c>
      <c r="H354" s="262" t="s">
        <v>87</v>
      </c>
      <c r="I354" s="357"/>
      <c r="J354" s="245" t="s">
        <v>561</v>
      </c>
      <c r="K354" s="216" t="s">
        <v>158</v>
      </c>
      <c r="L354" s="299" t="s">
        <v>1107</v>
      </c>
      <c r="M354" s="245" t="s">
        <v>1108</v>
      </c>
      <c r="N354" s="245"/>
      <c r="O354" s="216" t="s">
        <v>1109</v>
      </c>
      <c r="P354" s="372"/>
      <c r="Q354" s="344" t="s">
        <v>132</v>
      </c>
      <c r="R354" s="982" t="s">
        <v>1110</v>
      </c>
      <c r="S354" s="279">
        <v>37090</v>
      </c>
      <c r="T354" s="289"/>
      <c r="U354" s="251" t="s">
        <v>54</v>
      </c>
      <c r="V354" s="197" t="s">
        <v>4628</v>
      </c>
      <c r="W354" s="197" t="s">
        <v>56</v>
      </c>
      <c r="X354" s="268" t="s">
        <v>57</v>
      </c>
      <c r="Y354" s="288" t="s">
        <v>4631</v>
      </c>
      <c r="Z354" s="246">
        <v>45239</v>
      </c>
      <c r="AA354" s="252"/>
      <c r="AB354" s="245" t="s">
        <v>115</v>
      </c>
      <c r="AC354" s="223" t="s">
        <v>946</v>
      </c>
      <c r="AD354" s="245" t="s">
        <v>1111</v>
      </c>
      <c r="AE354" s="289">
        <v>44382</v>
      </c>
      <c r="AF354" s="289">
        <v>45112</v>
      </c>
      <c r="AG354" s="241" t="s">
        <v>61</v>
      </c>
      <c r="AH354" s="253"/>
      <c r="AI354" s="284"/>
      <c r="AJ354" s="348" t="s">
        <v>560</v>
      </c>
      <c r="AK354" s="241">
        <v>4</v>
      </c>
      <c r="AL354" s="120" t="s">
        <v>336</v>
      </c>
      <c r="AM354" s="120" t="s">
        <v>267</v>
      </c>
      <c r="AN354" s="151"/>
      <c r="AO354" s="151"/>
      <c r="AP354" s="115"/>
      <c r="AQ354" s="115"/>
      <c r="AR354" s="115"/>
      <c r="AS354" s="115"/>
      <c r="AT354" s="115"/>
    </row>
    <row r="355" spans="1:46" ht="39" customHeight="1" x14ac:dyDescent="0.25">
      <c r="A355" s="1468">
        <v>354</v>
      </c>
      <c r="B355" s="141">
        <v>1</v>
      </c>
      <c r="C355" s="469" t="s">
        <v>323</v>
      </c>
      <c r="D355" s="470"/>
      <c r="E355" s="471"/>
      <c r="F355" s="471"/>
      <c r="G355" s="472" t="s">
        <v>324</v>
      </c>
      <c r="H355" s="262" t="s">
        <v>87</v>
      </c>
      <c r="I355" s="473"/>
      <c r="J355" s="245" t="s">
        <v>561</v>
      </c>
      <c r="K355" s="197"/>
      <c r="L355" s="256"/>
      <c r="M355" s="256"/>
      <c r="N355" s="245"/>
      <c r="O355" s="216"/>
      <c r="P355" s="247"/>
      <c r="Q355" s="373"/>
      <c r="R355" s="982" t="s">
        <v>66</v>
      </c>
      <c r="S355" s="279"/>
      <c r="T355" s="250"/>
      <c r="U355" s="250"/>
      <c r="V355" s="197"/>
      <c r="W355" s="197"/>
      <c r="X355" s="197"/>
      <c r="Y355" s="197"/>
      <c r="Z355" s="246"/>
      <c r="AA355" s="252"/>
      <c r="AB355" s="281"/>
      <c r="AC355" s="281"/>
      <c r="AD355" s="281"/>
      <c r="AE355" s="252"/>
      <c r="AF355" s="252"/>
      <c r="AG355" s="282"/>
      <c r="AH355" s="282"/>
      <c r="AI355" s="296"/>
      <c r="AJ355" s="348"/>
      <c r="AK355" s="241">
        <v>4</v>
      </c>
      <c r="AL355" s="165" t="s">
        <v>336</v>
      </c>
      <c r="AM355" s="165" t="s">
        <v>267</v>
      </c>
      <c r="AN355" s="167"/>
      <c r="AO355" s="167"/>
      <c r="AP355" s="115"/>
      <c r="AQ355" s="115"/>
      <c r="AR355" s="115"/>
      <c r="AS355" s="115"/>
      <c r="AT355" s="115"/>
    </row>
    <row r="356" spans="1:46" ht="39" customHeight="1" x14ac:dyDescent="0.25">
      <c r="A356" s="1468">
        <v>355</v>
      </c>
      <c r="B356" s="117">
        <v>1</v>
      </c>
      <c r="C356" s="260" t="s">
        <v>325</v>
      </c>
      <c r="D356" s="241"/>
      <c r="E356" s="241"/>
      <c r="F356" s="241"/>
      <c r="G356" s="261" t="s">
        <v>324</v>
      </c>
      <c r="H356" s="262" t="s">
        <v>87</v>
      </c>
      <c r="I356" s="357"/>
      <c r="J356" s="245" t="s">
        <v>561</v>
      </c>
      <c r="K356" s="257"/>
      <c r="L356" s="281" t="s">
        <v>1860</v>
      </c>
      <c r="M356" s="281" t="s">
        <v>1860</v>
      </c>
      <c r="N356" s="366"/>
      <c r="O356" s="950" t="s">
        <v>1934</v>
      </c>
      <c r="P356" s="402" t="s">
        <v>1828</v>
      </c>
      <c r="Q356" s="344" t="s">
        <v>87</v>
      </c>
      <c r="R356" s="982" t="s">
        <v>3272</v>
      </c>
      <c r="S356" s="279">
        <v>26787</v>
      </c>
      <c r="T356" s="197"/>
      <c r="U356" s="251" t="s">
        <v>54</v>
      </c>
      <c r="V356" s="250" t="s">
        <v>1922</v>
      </c>
      <c r="W356" s="197" t="s">
        <v>56</v>
      </c>
      <c r="X356" s="197" t="s">
        <v>57</v>
      </c>
      <c r="Y356" s="252" t="s">
        <v>1933</v>
      </c>
      <c r="Z356" s="252">
        <v>45133</v>
      </c>
      <c r="AA356" s="246"/>
      <c r="AB356" s="361"/>
      <c r="AC356" s="223"/>
      <c r="AD356" s="376"/>
      <c r="AE356" s="258"/>
      <c r="AF356" s="258"/>
      <c r="AG356" s="241"/>
      <c r="AH356" s="283"/>
      <c r="AI356" s="254"/>
      <c r="AJ356" s="348" t="s">
        <v>560</v>
      </c>
      <c r="AK356" s="241">
        <v>4</v>
      </c>
      <c r="AL356" s="120" t="s">
        <v>336</v>
      </c>
      <c r="AM356" s="120" t="s">
        <v>267</v>
      </c>
      <c r="AN356" s="151"/>
      <c r="AO356" s="151"/>
      <c r="AP356" s="115"/>
      <c r="AQ356" s="115"/>
      <c r="AR356" s="115"/>
      <c r="AS356" s="115"/>
      <c r="AT356" s="115"/>
    </row>
    <row r="357" spans="1:46" ht="39" customHeight="1" x14ac:dyDescent="0.25">
      <c r="A357" s="1468">
        <v>356</v>
      </c>
      <c r="B357" s="117"/>
      <c r="C357" s="455"/>
      <c r="D357" s="331"/>
      <c r="E357" s="331"/>
      <c r="F357" s="331"/>
      <c r="G357" s="432"/>
      <c r="H357" s="456"/>
      <c r="I357" s="456"/>
      <c r="J357" s="329"/>
      <c r="K357" s="432"/>
      <c r="L357" s="329"/>
      <c r="M357" s="329"/>
      <c r="N357" s="329"/>
      <c r="O357" s="330"/>
      <c r="P357" s="273" t="s">
        <v>327</v>
      </c>
      <c r="Q357" s="331"/>
      <c r="R357" s="455"/>
      <c r="S357" s="279"/>
      <c r="T357" s="334"/>
      <c r="U357" s="232"/>
      <c r="V357" s="334"/>
      <c r="W357" s="334"/>
      <c r="X357" s="334"/>
      <c r="Y357" s="334"/>
      <c r="Z357" s="457"/>
      <c r="AA357" s="458"/>
      <c r="AB357" s="459"/>
      <c r="AC357" s="460"/>
      <c r="AD357" s="459"/>
      <c r="AE357" s="461"/>
      <c r="AF357" s="457"/>
      <c r="AG357" s="331"/>
      <c r="AH357" s="462"/>
      <c r="AI357" s="463"/>
      <c r="AJ357" s="464"/>
      <c r="AK357" s="331"/>
      <c r="AL357" s="163"/>
      <c r="AM357" s="163"/>
      <c r="AN357" s="163"/>
      <c r="AO357" s="163"/>
      <c r="AP357" s="115"/>
      <c r="AQ357" s="115"/>
      <c r="AR357" s="115"/>
      <c r="AS357" s="115"/>
      <c r="AT357" s="116"/>
    </row>
    <row r="358" spans="1:46" ht="39" customHeight="1" x14ac:dyDescent="0.25">
      <c r="A358" s="1468">
        <v>357</v>
      </c>
      <c r="B358" s="128">
        <v>5</v>
      </c>
      <c r="C358" s="290" t="s">
        <v>288</v>
      </c>
      <c r="D358" s="282"/>
      <c r="E358" s="344" t="s">
        <v>47</v>
      </c>
      <c r="F358" s="344"/>
      <c r="G358" s="292" t="s">
        <v>289</v>
      </c>
      <c r="H358" s="346" t="s">
        <v>132</v>
      </c>
      <c r="I358" s="344">
        <v>144</v>
      </c>
      <c r="J358" s="256">
        <v>403</v>
      </c>
      <c r="K358" s="216"/>
      <c r="L358" s="288" t="s">
        <v>1526</v>
      </c>
      <c r="M358" s="288" t="s">
        <v>1526</v>
      </c>
      <c r="N358" s="374"/>
      <c r="O358" s="385" t="s">
        <v>3251</v>
      </c>
      <c r="P358" s="374"/>
      <c r="Q358" s="344" t="s">
        <v>132</v>
      </c>
      <c r="R358" s="982" t="s">
        <v>3250</v>
      </c>
      <c r="S358" s="279">
        <v>33451</v>
      </c>
      <c r="T358" s="197"/>
      <c r="U358" s="251" t="s">
        <v>54</v>
      </c>
      <c r="V358" s="250" t="s">
        <v>1922</v>
      </c>
      <c r="W358" s="197" t="s">
        <v>56</v>
      </c>
      <c r="X358" s="197" t="s">
        <v>57</v>
      </c>
      <c r="Y358" s="252" t="s">
        <v>1933</v>
      </c>
      <c r="Z358" s="252">
        <v>45133</v>
      </c>
      <c r="AA358" s="388"/>
      <c r="AB358" s="288"/>
      <c r="AC358" s="223"/>
      <c r="AD358" s="288"/>
      <c r="AE358" s="384"/>
      <c r="AF358" s="384"/>
      <c r="AG358" s="392"/>
      <c r="AH358" s="283"/>
      <c r="AI358" s="254"/>
      <c r="AJ358" s="348" t="s">
        <v>560</v>
      </c>
      <c r="AK358" s="291">
        <v>3</v>
      </c>
      <c r="AL358" s="165" t="s">
        <v>336</v>
      </c>
      <c r="AM358" s="165" t="s">
        <v>267</v>
      </c>
      <c r="AN358" s="138"/>
      <c r="AO358" s="138"/>
      <c r="AP358" s="115"/>
      <c r="AQ358" s="115"/>
      <c r="AR358" s="115"/>
      <c r="AS358" s="115"/>
      <c r="AT358" s="115"/>
    </row>
    <row r="359" spans="1:46" ht="39" customHeight="1" x14ac:dyDescent="0.25">
      <c r="A359" s="1468">
        <v>358</v>
      </c>
      <c r="B359" s="141">
        <v>3</v>
      </c>
      <c r="C359" s="475" t="s">
        <v>290</v>
      </c>
      <c r="D359" s="476" t="s">
        <v>134</v>
      </c>
      <c r="E359" s="476"/>
      <c r="F359" s="476"/>
      <c r="G359" s="261" t="s">
        <v>291</v>
      </c>
      <c r="H359" s="262" t="s">
        <v>85</v>
      </c>
      <c r="I359" s="479"/>
      <c r="J359" s="245" t="s">
        <v>556</v>
      </c>
      <c r="K359" s="197"/>
      <c r="L359" s="256" t="s">
        <v>1501</v>
      </c>
      <c r="M359" s="256" t="s">
        <v>1501</v>
      </c>
      <c r="N359" s="245"/>
      <c r="O359" s="216" t="s">
        <v>1500</v>
      </c>
      <c r="P359" s="247"/>
      <c r="Q359" s="373" t="s">
        <v>293</v>
      </c>
      <c r="R359" s="982" t="s">
        <v>5825</v>
      </c>
      <c r="S359" s="279">
        <v>35269</v>
      </c>
      <c r="T359" s="250"/>
      <c r="U359" s="251" t="s">
        <v>54</v>
      </c>
      <c r="V359" s="197" t="s">
        <v>1676</v>
      </c>
      <c r="W359" s="197" t="s">
        <v>56</v>
      </c>
      <c r="X359" s="197" t="s">
        <v>475</v>
      </c>
      <c r="Y359" s="197" t="s">
        <v>1521</v>
      </c>
      <c r="Z359" s="246">
        <v>45115</v>
      </c>
      <c r="AA359" s="252"/>
      <c r="AB359" s="281"/>
      <c r="AC359" s="281"/>
      <c r="AD359" s="281"/>
      <c r="AE359" s="252">
        <v>45114</v>
      </c>
      <c r="AF359" s="252">
        <v>45845</v>
      </c>
      <c r="AG359" s="282"/>
      <c r="AH359" s="282"/>
      <c r="AI359" s="296"/>
      <c r="AJ359" s="348" t="s">
        <v>560</v>
      </c>
      <c r="AK359" s="241">
        <v>4</v>
      </c>
      <c r="AL359" s="165" t="s">
        <v>336</v>
      </c>
      <c r="AM359" s="165" t="s">
        <v>267</v>
      </c>
      <c r="AN359" s="110" t="s">
        <v>4184</v>
      </c>
      <c r="AO359" s="170"/>
      <c r="AP359" s="115"/>
      <c r="AQ359" s="115"/>
      <c r="AR359" s="115"/>
      <c r="AS359" s="115"/>
      <c r="AT359" s="115"/>
    </row>
    <row r="360" spans="1:46" ht="39" customHeight="1" x14ac:dyDescent="0.25">
      <c r="A360" s="1468">
        <v>359</v>
      </c>
      <c r="B360" s="141">
        <v>3</v>
      </c>
      <c r="C360" s="358" t="s">
        <v>297</v>
      </c>
      <c r="D360" s="241" t="s">
        <v>134</v>
      </c>
      <c r="E360" s="241"/>
      <c r="F360" s="241"/>
      <c r="G360" s="261" t="s">
        <v>298</v>
      </c>
      <c r="H360" s="262" t="s">
        <v>85</v>
      </c>
      <c r="I360" s="346"/>
      <c r="J360" s="245" t="s">
        <v>556</v>
      </c>
      <c r="K360" s="277" t="s">
        <v>158</v>
      </c>
      <c r="L360" s="398" t="s">
        <v>965</v>
      </c>
      <c r="M360" s="398" t="s">
        <v>965</v>
      </c>
      <c r="N360" s="441"/>
      <c r="O360" s="277" t="s">
        <v>966</v>
      </c>
      <c r="P360" s="889"/>
      <c r="Q360" s="709" t="s">
        <v>132</v>
      </c>
      <c r="R360" s="1169" t="s">
        <v>967</v>
      </c>
      <c r="S360" s="279">
        <v>37181</v>
      </c>
      <c r="T360" s="280"/>
      <c r="U360" s="251" t="s">
        <v>54</v>
      </c>
      <c r="V360" s="452" t="s">
        <v>968</v>
      </c>
      <c r="W360" s="280" t="s">
        <v>56</v>
      </c>
      <c r="X360" s="280" t="s">
        <v>57</v>
      </c>
      <c r="Y360" s="452" t="s">
        <v>969</v>
      </c>
      <c r="Z360" s="452">
        <v>44960</v>
      </c>
      <c r="AA360" s="398"/>
      <c r="AB360" s="487"/>
      <c r="AC360" s="488" t="s">
        <v>946</v>
      </c>
      <c r="AD360" s="487"/>
      <c r="AE360" s="494">
        <v>44542</v>
      </c>
      <c r="AF360" s="494">
        <v>44906</v>
      </c>
      <c r="AG360" s="476" t="s">
        <v>61</v>
      </c>
      <c r="AH360" s="489"/>
      <c r="AI360" s="712"/>
      <c r="AJ360" s="491" t="s">
        <v>560</v>
      </c>
      <c r="AK360" s="241">
        <v>4</v>
      </c>
      <c r="AL360" s="165" t="s">
        <v>336</v>
      </c>
      <c r="AM360" s="165" t="s">
        <v>267</v>
      </c>
      <c r="AN360" s="138"/>
      <c r="AO360" s="138"/>
      <c r="AP360" s="115"/>
      <c r="AQ360" s="115"/>
      <c r="AR360" s="115"/>
      <c r="AS360" s="115"/>
      <c r="AT360" s="116"/>
    </row>
    <row r="361" spans="1:46" ht="39" customHeight="1" x14ac:dyDescent="0.25">
      <c r="A361" s="1468">
        <v>360</v>
      </c>
      <c r="B361" s="141">
        <v>2</v>
      </c>
      <c r="C361" s="260" t="s">
        <v>311</v>
      </c>
      <c r="D361" s="241"/>
      <c r="E361" s="241"/>
      <c r="F361" s="241"/>
      <c r="G361" s="261" t="s">
        <v>312</v>
      </c>
      <c r="H361" s="262" t="s">
        <v>85</v>
      </c>
      <c r="I361" s="346"/>
      <c r="J361" s="245" t="s">
        <v>556</v>
      </c>
      <c r="K361" s="684"/>
      <c r="L361" s="685"/>
      <c r="M361" s="685"/>
      <c r="N361" s="684"/>
      <c r="O361" s="216" t="s">
        <v>2475</v>
      </c>
      <c r="P361" s="247"/>
      <c r="Q361" s="344" t="s">
        <v>293</v>
      </c>
      <c r="R361" s="982" t="s">
        <v>2474</v>
      </c>
      <c r="S361" s="279">
        <v>34323</v>
      </c>
      <c r="T361" s="684"/>
      <c r="U361" s="251" t="s">
        <v>54</v>
      </c>
      <c r="V361" s="250" t="s">
        <v>2793</v>
      </c>
      <c r="W361" s="197" t="s">
        <v>56</v>
      </c>
      <c r="X361" s="197" t="s">
        <v>57</v>
      </c>
      <c r="Y361" s="197" t="s">
        <v>2609</v>
      </c>
      <c r="Z361" s="246">
        <v>45142</v>
      </c>
      <c r="AA361" s="684"/>
      <c r="AB361" s="1290"/>
      <c r="AC361" s="684"/>
      <c r="AD361" s="686"/>
      <c r="AE361" s="684"/>
      <c r="AF361" s="684"/>
      <c r="AG361" s="684"/>
      <c r="AH361" s="684"/>
      <c r="AI361" s="685"/>
      <c r="AJ361" s="348" t="s">
        <v>560</v>
      </c>
      <c r="AK361" s="241">
        <v>4</v>
      </c>
      <c r="AL361" s="165" t="s">
        <v>336</v>
      </c>
      <c r="AM361" s="165" t="s">
        <v>267</v>
      </c>
      <c r="AN361" s="138"/>
      <c r="AO361" s="138"/>
      <c r="AP361" s="115"/>
      <c r="AQ361" s="115"/>
      <c r="AR361" s="115"/>
      <c r="AS361" s="115"/>
      <c r="AT361" s="115"/>
    </row>
    <row r="362" spans="1:46" ht="39" customHeight="1" x14ac:dyDescent="0.25">
      <c r="A362" s="1468">
        <v>361</v>
      </c>
      <c r="B362" s="141">
        <v>2</v>
      </c>
      <c r="C362" s="260" t="s">
        <v>317</v>
      </c>
      <c r="D362" s="241"/>
      <c r="E362" s="241"/>
      <c r="F362" s="241"/>
      <c r="G362" s="261" t="s">
        <v>318</v>
      </c>
      <c r="H362" s="262" t="s">
        <v>87</v>
      </c>
      <c r="I362" s="357"/>
      <c r="J362" s="245" t="s">
        <v>561</v>
      </c>
      <c r="K362" s="684"/>
      <c r="L362" s="685"/>
      <c r="M362" s="685"/>
      <c r="N362" s="684"/>
      <c r="O362" s="216" t="s">
        <v>2499</v>
      </c>
      <c r="P362" s="247"/>
      <c r="Q362" s="344" t="s">
        <v>293</v>
      </c>
      <c r="R362" s="982" t="s">
        <v>2498</v>
      </c>
      <c r="S362" s="279">
        <v>32830</v>
      </c>
      <c r="T362" s="684"/>
      <c r="U362" s="251" t="s">
        <v>54</v>
      </c>
      <c r="V362" s="250" t="s">
        <v>2793</v>
      </c>
      <c r="W362" s="197" t="s">
        <v>56</v>
      </c>
      <c r="X362" s="197" t="s">
        <v>57</v>
      </c>
      <c r="Y362" s="197" t="s">
        <v>2609</v>
      </c>
      <c r="Z362" s="246">
        <v>45151</v>
      </c>
      <c r="AA362" s="684"/>
      <c r="AB362" s="1290"/>
      <c r="AC362" s="684"/>
      <c r="AD362" s="686"/>
      <c r="AE362" s="684"/>
      <c r="AF362" s="684"/>
      <c r="AG362" s="684"/>
      <c r="AH362" s="684"/>
      <c r="AI362" s="685"/>
      <c r="AJ362" s="348" t="s">
        <v>560</v>
      </c>
      <c r="AK362" s="241">
        <v>4</v>
      </c>
      <c r="AL362" s="165" t="s">
        <v>336</v>
      </c>
      <c r="AM362" s="165" t="s">
        <v>267</v>
      </c>
      <c r="AN362" s="110"/>
      <c r="AO362" s="151"/>
      <c r="AP362" s="115"/>
      <c r="AQ362" s="115"/>
      <c r="AR362" s="115"/>
      <c r="AS362" s="115"/>
      <c r="AT362" s="115"/>
    </row>
    <row r="363" spans="1:46" ht="39" customHeight="1" x14ac:dyDescent="0.25">
      <c r="A363" s="1468">
        <v>362</v>
      </c>
      <c r="B363" s="146">
        <v>2</v>
      </c>
      <c r="C363" s="260" t="s">
        <v>319</v>
      </c>
      <c r="D363" s="241"/>
      <c r="E363" s="241"/>
      <c r="F363" s="241"/>
      <c r="G363" s="261" t="s">
        <v>320</v>
      </c>
      <c r="H363" s="262" t="s">
        <v>87</v>
      </c>
      <c r="I363" s="364"/>
      <c r="J363" s="245" t="s">
        <v>561</v>
      </c>
      <c r="K363" s="684"/>
      <c r="L363" s="685"/>
      <c r="M363" s="685"/>
      <c r="N363" s="684"/>
      <c r="O363" s="216" t="s">
        <v>2264</v>
      </c>
      <c r="P363" s="247" t="s">
        <v>1828</v>
      </c>
      <c r="Q363" s="344" t="s">
        <v>293</v>
      </c>
      <c r="R363" s="982" t="s">
        <v>2263</v>
      </c>
      <c r="S363" s="279">
        <v>36479</v>
      </c>
      <c r="T363" s="684"/>
      <c r="U363" s="251" t="s">
        <v>54</v>
      </c>
      <c r="V363" s="197" t="s">
        <v>5955</v>
      </c>
      <c r="W363" s="197" t="s">
        <v>70</v>
      </c>
      <c r="X363" s="197" t="s">
        <v>71</v>
      </c>
      <c r="Y363" s="949" t="s">
        <v>5993</v>
      </c>
      <c r="Z363" s="612">
        <v>45312</v>
      </c>
      <c r="AA363" s="684"/>
      <c r="AB363" s="1290"/>
      <c r="AC363" s="684"/>
      <c r="AD363" s="686"/>
      <c r="AE363" s="684"/>
      <c r="AF363" s="684"/>
      <c r="AG363" s="684"/>
      <c r="AH363" s="684"/>
      <c r="AI363" s="685"/>
      <c r="AJ363" s="348" t="s">
        <v>560</v>
      </c>
      <c r="AK363" s="241">
        <v>4</v>
      </c>
      <c r="AL363" s="165" t="s">
        <v>336</v>
      </c>
      <c r="AM363" s="165" t="s">
        <v>267</v>
      </c>
      <c r="AN363" s="110"/>
      <c r="AO363" s="151"/>
      <c r="AP363" s="115"/>
      <c r="AQ363" s="115"/>
      <c r="AR363" s="115"/>
      <c r="AS363" s="115"/>
      <c r="AT363" s="116"/>
    </row>
    <row r="364" spans="1:46" ht="39" customHeight="1" x14ac:dyDescent="0.25">
      <c r="A364" s="1468">
        <v>363</v>
      </c>
      <c r="B364" s="141">
        <v>2</v>
      </c>
      <c r="C364" s="378" t="s">
        <v>321</v>
      </c>
      <c r="D364" s="303"/>
      <c r="E364" s="241"/>
      <c r="F364" s="241"/>
      <c r="G364" s="261" t="s">
        <v>322</v>
      </c>
      <c r="H364" s="262" t="s">
        <v>87</v>
      </c>
      <c r="I364" s="357"/>
      <c r="J364" s="245" t="s">
        <v>561</v>
      </c>
      <c r="K364" s="684"/>
      <c r="L364" s="685"/>
      <c r="M364" s="685"/>
      <c r="N364" s="684"/>
      <c r="O364" s="216" t="s">
        <v>2471</v>
      </c>
      <c r="P364" s="247"/>
      <c r="Q364" s="344" t="s">
        <v>293</v>
      </c>
      <c r="R364" s="982" t="s">
        <v>2470</v>
      </c>
      <c r="S364" s="279">
        <v>32608</v>
      </c>
      <c r="T364" s="684"/>
      <c r="U364" s="251" t="s">
        <v>54</v>
      </c>
      <c r="V364" s="250" t="s">
        <v>2793</v>
      </c>
      <c r="W364" s="197" t="s">
        <v>56</v>
      </c>
      <c r="X364" s="197" t="s">
        <v>57</v>
      </c>
      <c r="Y364" s="197" t="s">
        <v>2609</v>
      </c>
      <c r="Z364" s="246">
        <v>45142</v>
      </c>
      <c r="AA364" s="684"/>
      <c r="AB364" s="1290"/>
      <c r="AC364" s="684"/>
      <c r="AD364" s="686"/>
      <c r="AE364" s="684"/>
      <c r="AF364" s="684"/>
      <c r="AG364" s="684"/>
      <c r="AH364" s="684"/>
      <c r="AI364" s="685"/>
      <c r="AJ364" s="348" t="s">
        <v>560</v>
      </c>
      <c r="AK364" s="241">
        <v>4</v>
      </c>
      <c r="AL364" s="165" t="s">
        <v>336</v>
      </c>
      <c r="AM364" s="165" t="s">
        <v>267</v>
      </c>
      <c r="AN364" s="151"/>
      <c r="AO364" s="151"/>
      <c r="AP364" s="115"/>
      <c r="AQ364" s="115"/>
      <c r="AR364" s="115"/>
      <c r="AS364" s="115"/>
      <c r="AT364" s="115"/>
    </row>
    <row r="365" spans="1:46" ht="39" customHeight="1" x14ac:dyDescent="0.25">
      <c r="A365" s="1468">
        <v>364</v>
      </c>
      <c r="B365" s="141">
        <v>1</v>
      </c>
      <c r="C365" s="378" t="s">
        <v>323</v>
      </c>
      <c r="D365" s="303"/>
      <c r="E365" s="241"/>
      <c r="F365" s="241"/>
      <c r="G365" s="261" t="s">
        <v>324</v>
      </c>
      <c r="H365" s="262" t="s">
        <v>87</v>
      </c>
      <c r="I365" s="357"/>
      <c r="J365" s="245" t="s">
        <v>561</v>
      </c>
      <c r="K365" s="216"/>
      <c r="L365" s="281"/>
      <c r="M365" s="281"/>
      <c r="N365" s="366"/>
      <c r="O365" s="216" t="s">
        <v>2497</v>
      </c>
      <c r="P365" s="247"/>
      <c r="Q365" s="344" t="s">
        <v>293</v>
      </c>
      <c r="R365" s="982" t="s">
        <v>2496</v>
      </c>
      <c r="S365" s="279">
        <v>33908</v>
      </c>
      <c r="T365" s="197"/>
      <c r="U365" s="251" t="s">
        <v>54</v>
      </c>
      <c r="V365" s="250" t="s">
        <v>2793</v>
      </c>
      <c r="W365" s="197" t="s">
        <v>56</v>
      </c>
      <c r="X365" s="197" t="s">
        <v>57</v>
      </c>
      <c r="Y365" s="197" t="s">
        <v>2609</v>
      </c>
      <c r="Z365" s="246">
        <v>45186</v>
      </c>
      <c r="AA365" s="246"/>
      <c r="AB365" s="361"/>
      <c r="AC365" s="223"/>
      <c r="AD365" s="376"/>
      <c r="AE365" s="258"/>
      <c r="AF365" s="258"/>
      <c r="AG365" s="241"/>
      <c r="AH365" s="283"/>
      <c r="AI365" s="254"/>
      <c r="AJ365" s="348" t="s">
        <v>560</v>
      </c>
      <c r="AK365" s="241">
        <v>4</v>
      </c>
      <c r="AL365" s="165" t="s">
        <v>336</v>
      </c>
      <c r="AM365" s="165" t="s">
        <v>267</v>
      </c>
      <c r="AN365" s="151"/>
      <c r="AO365" s="151"/>
      <c r="AP365" s="115"/>
      <c r="AQ365" s="115"/>
      <c r="AR365" s="115"/>
      <c r="AS365" s="115"/>
      <c r="AT365" s="115"/>
    </row>
    <row r="366" spans="1:46" ht="39" customHeight="1" x14ac:dyDescent="0.25">
      <c r="A366" s="1468">
        <v>365</v>
      </c>
      <c r="B366" s="117">
        <v>1</v>
      </c>
      <c r="C366" s="260" t="s">
        <v>325</v>
      </c>
      <c r="D366" s="241"/>
      <c r="E366" s="241"/>
      <c r="F366" s="241"/>
      <c r="G366" s="261" t="s">
        <v>324</v>
      </c>
      <c r="H366" s="262" t="s">
        <v>87</v>
      </c>
      <c r="I366" s="357"/>
      <c r="J366" s="245" t="s">
        <v>561</v>
      </c>
      <c r="K366" s="684"/>
      <c r="L366" s="685"/>
      <c r="M366" s="685"/>
      <c r="N366" s="684"/>
      <c r="O366" s="216"/>
      <c r="P366" s="247"/>
      <c r="Q366" s="344"/>
      <c r="R366" s="982" t="s">
        <v>66</v>
      </c>
      <c r="S366" s="279"/>
      <c r="T366" s="684"/>
      <c r="U366" s="250"/>
      <c r="V366" s="250"/>
      <c r="W366" s="197"/>
      <c r="X366" s="197"/>
      <c r="Y366" s="197"/>
      <c r="Z366" s="246"/>
      <c r="AA366" s="684"/>
      <c r="AB366" s="1290"/>
      <c r="AC366" s="684"/>
      <c r="AD366" s="686"/>
      <c r="AE366" s="684"/>
      <c r="AF366" s="684"/>
      <c r="AG366" s="684"/>
      <c r="AH366" s="684"/>
      <c r="AI366" s="685"/>
      <c r="AJ366" s="348"/>
      <c r="AK366" s="241">
        <v>4</v>
      </c>
      <c r="AL366" s="120" t="s">
        <v>336</v>
      </c>
      <c r="AM366" s="120" t="s">
        <v>267</v>
      </c>
      <c r="AN366" s="151"/>
      <c r="AO366" s="151"/>
      <c r="AP366" s="115"/>
      <c r="AQ366" s="115"/>
      <c r="AR366" s="115"/>
      <c r="AS366" s="115"/>
      <c r="AT366" s="115"/>
    </row>
    <row r="367" spans="1:46" ht="39" customHeight="1" x14ac:dyDescent="0.25">
      <c r="A367" s="1468">
        <v>366</v>
      </c>
      <c r="B367" s="117"/>
      <c r="C367" s="455"/>
      <c r="D367" s="331"/>
      <c r="E367" s="331"/>
      <c r="F367" s="331"/>
      <c r="G367" s="432"/>
      <c r="H367" s="456"/>
      <c r="I367" s="456"/>
      <c r="J367" s="329"/>
      <c r="K367" s="432"/>
      <c r="L367" s="329"/>
      <c r="M367" s="329"/>
      <c r="N367" s="329"/>
      <c r="O367" s="330"/>
      <c r="P367" s="273" t="s">
        <v>330</v>
      </c>
      <c r="Q367" s="331"/>
      <c r="R367" s="332"/>
      <c r="S367" s="279"/>
      <c r="T367" s="334"/>
      <c r="U367" s="232"/>
      <c r="V367" s="332"/>
      <c r="W367" s="334"/>
      <c r="X367" s="334"/>
      <c r="Y367" s="334"/>
      <c r="Z367" s="457"/>
      <c r="AA367" s="458"/>
      <c r="AB367" s="459"/>
      <c r="AC367" s="460"/>
      <c r="AD367" s="459"/>
      <c r="AE367" s="461"/>
      <c r="AF367" s="457"/>
      <c r="AG367" s="331"/>
      <c r="AH367" s="462"/>
      <c r="AI367" s="463"/>
      <c r="AJ367" s="464"/>
      <c r="AK367" s="331"/>
      <c r="AL367" s="163"/>
      <c r="AM367" s="163"/>
      <c r="AN367" s="163"/>
      <c r="AO367" s="163"/>
      <c r="AP367" s="115"/>
      <c r="AQ367" s="115"/>
      <c r="AR367" s="115"/>
      <c r="AS367" s="115"/>
      <c r="AT367" s="116"/>
    </row>
    <row r="368" spans="1:46" ht="39" customHeight="1" x14ac:dyDescent="0.25">
      <c r="A368" s="1468">
        <v>367</v>
      </c>
      <c r="B368" s="119">
        <v>10</v>
      </c>
      <c r="C368" s="240" t="s">
        <v>305</v>
      </c>
      <c r="D368" s="282"/>
      <c r="E368" s="338" t="s">
        <v>47</v>
      </c>
      <c r="F368" s="282"/>
      <c r="G368" s="339" t="s">
        <v>91</v>
      </c>
      <c r="H368" s="244" t="s">
        <v>83</v>
      </c>
      <c r="I368" s="340"/>
      <c r="J368" s="245">
        <v>302</v>
      </c>
      <c r="K368" s="197" t="s">
        <v>50</v>
      </c>
      <c r="L368" s="256"/>
      <c r="M368" s="256"/>
      <c r="N368" s="649"/>
      <c r="O368" s="950" t="s">
        <v>5159</v>
      </c>
      <c r="P368" s="555" t="s">
        <v>4016</v>
      </c>
      <c r="Q368" s="338" t="s">
        <v>92</v>
      </c>
      <c r="R368" s="990" t="s">
        <v>5158</v>
      </c>
      <c r="S368" s="279">
        <v>28311</v>
      </c>
      <c r="T368" s="250"/>
      <c r="U368" s="251" t="s">
        <v>54</v>
      </c>
      <c r="V368" s="197" t="s">
        <v>5955</v>
      </c>
      <c r="W368" s="197" t="s">
        <v>70</v>
      </c>
      <c r="X368" s="197" t="s">
        <v>71</v>
      </c>
      <c r="Y368" s="949" t="s">
        <v>5964</v>
      </c>
      <c r="Z368" s="612">
        <v>45312</v>
      </c>
      <c r="AA368" s="246"/>
      <c r="AB368" s="1289"/>
      <c r="AC368" s="595"/>
      <c r="AD368" s="658"/>
      <c r="AE368" s="595"/>
      <c r="AF368" s="595"/>
      <c r="AG368" s="595"/>
      <c r="AH368" s="595"/>
      <c r="AI368" s="1480"/>
      <c r="AJ368" s="255" t="s">
        <v>62</v>
      </c>
      <c r="AK368" s="242">
        <v>1</v>
      </c>
      <c r="AL368" s="120" t="s">
        <v>336</v>
      </c>
      <c r="AM368" s="120" t="s">
        <v>267</v>
      </c>
      <c r="AN368" s="137"/>
      <c r="AO368" s="137"/>
      <c r="AP368" s="115"/>
      <c r="AQ368" s="115"/>
      <c r="AR368" s="115"/>
      <c r="AS368" s="115"/>
      <c r="AT368" s="115"/>
    </row>
    <row r="369" spans="1:46" ht="39" customHeight="1" x14ac:dyDescent="0.25">
      <c r="A369" s="1468">
        <v>368</v>
      </c>
      <c r="B369" s="117"/>
      <c r="C369" s="455"/>
      <c r="D369" s="331"/>
      <c r="E369" s="331"/>
      <c r="F369" s="331"/>
      <c r="G369" s="432"/>
      <c r="H369" s="456"/>
      <c r="I369" s="456"/>
      <c r="J369" s="329"/>
      <c r="K369" s="432"/>
      <c r="L369" s="329"/>
      <c r="M369" s="329"/>
      <c r="N369" s="329"/>
      <c r="O369" s="330"/>
      <c r="P369" s="273" t="s">
        <v>306</v>
      </c>
      <c r="Q369" s="331"/>
      <c r="R369" s="455"/>
      <c r="S369" s="279"/>
      <c r="T369" s="334"/>
      <c r="U369" s="232"/>
      <c r="V369" s="334"/>
      <c r="W369" s="334"/>
      <c r="X369" s="334"/>
      <c r="Y369" s="334"/>
      <c r="Z369" s="457"/>
      <c r="AA369" s="458"/>
      <c r="AB369" s="459"/>
      <c r="AC369" s="460"/>
      <c r="AD369" s="459"/>
      <c r="AE369" s="461"/>
      <c r="AF369" s="457"/>
      <c r="AG369" s="331"/>
      <c r="AH369" s="462"/>
      <c r="AI369" s="463"/>
      <c r="AJ369" s="464"/>
      <c r="AK369" s="331"/>
      <c r="AL369" s="163"/>
      <c r="AM369" s="163"/>
      <c r="AN369" s="163"/>
      <c r="AO369" s="163"/>
      <c r="AP369" s="115"/>
      <c r="AQ369" s="115"/>
      <c r="AR369" s="115"/>
      <c r="AS369" s="115"/>
      <c r="AT369" s="116"/>
    </row>
    <row r="370" spans="1:46" ht="39" customHeight="1" x14ac:dyDescent="0.25">
      <c r="A370" s="1468">
        <v>369</v>
      </c>
      <c r="B370" s="128">
        <v>7</v>
      </c>
      <c r="C370" s="290" t="s">
        <v>307</v>
      </c>
      <c r="D370" s="344"/>
      <c r="E370" s="344" t="s">
        <v>47</v>
      </c>
      <c r="F370" s="344"/>
      <c r="G370" s="345" t="s">
        <v>308</v>
      </c>
      <c r="H370" s="346" t="s">
        <v>132</v>
      </c>
      <c r="I370" s="371" t="s">
        <v>309</v>
      </c>
      <c r="J370" s="256">
        <v>403</v>
      </c>
      <c r="K370" s="216"/>
      <c r="L370" s="288"/>
      <c r="M370" s="288"/>
      <c r="N370" s="374"/>
      <c r="O370" s="385"/>
      <c r="P370" s="374"/>
      <c r="Q370" s="373"/>
      <c r="R370" s="982" t="s">
        <v>66</v>
      </c>
      <c r="S370" s="279"/>
      <c r="T370" s="197"/>
      <c r="U370" s="250"/>
      <c r="V370" s="250"/>
      <c r="W370" s="197"/>
      <c r="X370" s="197"/>
      <c r="Y370" s="197"/>
      <c r="Z370" s="246"/>
      <c r="AA370" s="388"/>
      <c r="AB370" s="288"/>
      <c r="AC370" s="223"/>
      <c r="AD370" s="288"/>
      <c r="AE370" s="384"/>
      <c r="AF370" s="384"/>
      <c r="AG370" s="392"/>
      <c r="AH370" s="283"/>
      <c r="AI370" s="254"/>
      <c r="AJ370" s="348"/>
      <c r="AK370" s="291">
        <v>3</v>
      </c>
      <c r="AL370" s="120" t="s">
        <v>336</v>
      </c>
      <c r="AM370" s="120" t="s">
        <v>267</v>
      </c>
      <c r="AN370" s="138"/>
      <c r="AO370" s="138"/>
      <c r="AP370" s="115"/>
      <c r="AQ370" s="115"/>
      <c r="AR370" s="115"/>
      <c r="AS370" s="115"/>
      <c r="AT370" s="115"/>
    </row>
    <row r="371" spans="1:46" ht="39" customHeight="1" x14ac:dyDescent="0.25">
      <c r="A371" s="1468">
        <v>370</v>
      </c>
      <c r="B371" s="141">
        <v>3</v>
      </c>
      <c r="C371" s="475" t="s">
        <v>290</v>
      </c>
      <c r="D371" s="476" t="s">
        <v>134</v>
      </c>
      <c r="E371" s="476"/>
      <c r="F371" s="476"/>
      <c r="G371" s="261" t="s">
        <v>291</v>
      </c>
      <c r="H371" s="262" t="s">
        <v>85</v>
      </c>
      <c r="I371" s="480"/>
      <c r="J371" s="245" t="s">
        <v>556</v>
      </c>
      <c r="K371" s="257"/>
      <c r="L371" s="301"/>
      <c r="M371" s="301"/>
      <c r="N371" s="299"/>
      <c r="O371" s="906" t="s">
        <v>2511</v>
      </c>
      <c r="P371" s="454"/>
      <c r="Q371" s="485" t="s">
        <v>87</v>
      </c>
      <c r="R371" s="998" t="s">
        <v>2510</v>
      </c>
      <c r="S371" s="279">
        <v>27494</v>
      </c>
      <c r="T371" s="289"/>
      <c r="U371" s="251" t="s">
        <v>54</v>
      </c>
      <c r="V371" s="250" t="s">
        <v>2793</v>
      </c>
      <c r="W371" s="197" t="s">
        <v>56</v>
      </c>
      <c r="X371" s="197" t="s">
        <v>57</v>
      </c>
      <c r="Y371" s="197" t="s">
        <v>2609</v>
      </c>
      <c r="Z371" s="246">
        <v>45186</v>
      </c>
      <c r="AA371" s="698"/>
      <c r="AB371" s="299"/>
      <c r="AC371" s="223"/>
      <c r="AD371" s="299"/>
      <c r="AE371" s="289"/>
      <c r="AF371" s="289"/>
      <c r="AG371" s="299"/>
      <c r="AH371" s="299"/>
      <c r="AI371" s="254"/>
      <c r="AJ371" s="348" t="s">
        <v>560</v>
      </c>
      <c r="AK371" s="241">
        <v>4</v>
      </c>
      <c r="AL371" s="171" t="s">
        <v>336</v>
      </c>
      <c r="AM371" s="171" t="s">
        <v>267</v>
      </c>
      <c r="AN371" s="110" t="s">
        <v>4184</v>
      </c>
      <c r="AO371" s="173"/>
      <c r="AP371" s="115"/>
      <c r="AQ371" s="115"/>
      <c r="AR371" s="115"/>
      <c r="AS371" s="115"/>
      <c r="AT371" s="115"/>
    </row>
    <row r="372" spans="1:46" ht="39" customHeight="1" x14ac:dyDescent="0.25">
      <c r="A372" s="1468">
        <v>371</v>
      </c>
      <c r="B372" s="141">
        <v>3</v>
      </c>
      <c r="C372" s="358" t="s">
        <v>297</v>
      </c>
      <c r="D372" s="241" t="s">
        <v>134</v>
      </c>
      <c r="E372" s="241"/>
      <c r="F372" s="241"/>
      <c r="G372" s="261" t="s">
        <v>298</v>
      </c>
      <c r="H372" s="262" t="s">
        <v>85</v>
      </c>
      <c r="I372" s="364"/>
      <c r="J372" s="245" t="s">
        <v>556</v>
      </c>
      <c r="K372" s="216"/>
      <c r="L372" s="288" t="s">
        <v>1526</v>
      </c>
      <c r="M372" s="288" t="s">
        <v>1526</v>
      </c>
      <c r="N372" s="374"/>
      <c r="O372" s="385" t="s">
        <v>1561</v>
      </c>
      <c r="P372" s="374"/>
      <c r="Q372" s="373" t="s">
        <v>87</v>
      </c>
      <c r="R372" s="982" t="s">
        <v>3280</v>
      </c>
      <c r="S372" s="279">
        <v>32861</v>
      </c>
      <c r="T372" s="197"/>
      <c r="U372" s="251" t="s">
        <v>54</v>
      </c>
      <c r="V372" s="250" t="s">
        <v>2793</v>
      </c>
      <c r="W372" s="197" t="s">
        <v>56</v>
      </c>
      <c r="X372" s="197" t="s">
        <v>57</v>
      </c>
      <c r="Y372" s="197" t="s">
        <v>2609</v>
      </c>
      <c r="Z372" s="246">
        <v>45141</v>
      </c>
      <c r="AA372" s="388"/>
      <c r="AB372" s="288"/>
      <c r="AC372" s="223"/>
      <c r="AD372" s="288"/>
      <c r="AE372" s="384"/>
      <c r="AF372" s="384"/>
      <c r="AG372" s="392"/>
      <c r="AH372" s="283"/>
      <c r="AI372" s="254"/>
      <c r="AJ372" s="348" t="s">
        <v>560</v>
      </c>
      <c r="AK372" s="241">
        <v>4</v>
      </c>
      <c r="AL372" s="165" t="s">
        <v>336</v>
      </c>
      <c r="AM372" s="165" t="s">
        <v>267</v>
      </c>
      <c r="AN372" s="110"/>
      <c r="AO372" s="151"/>
      <c r="AP372" s="115"/>
      <c r="AQ372" s="115"/>
      <c r="AR372" s="115"/>
      <c r="AS372" s="115"/>
      <c r="AT372" s="116"/>
    </row>
    <row r="373" spans="1:46" ht="39" customHeight="1" x14ac:dyDescent="0.25">
      <c r="A373" s="1468">
        <v>372</v>
      </c>
      <c r="B373" s="141">
        <v>2</v>
      </c>
      <c r="C373" s="260" t="s">
        <v>311</v>
      </c>
      <c r="D373" s="241"/>
      <c r="E373" s="241"/>
      <c r="F373" s="241"/>
      <c r="G373" s="261" t="s">
        <v>312</v>
      </c>
      <c r="H373" s="262" t="s">
        <v>85</v>
      </c>
      <c r="I373" s="364"/>
      <c r="J373" s="245" t="s">
        <v>556</v>
      </c>
      <c r="K373" s="257"/>
      <c r="L373" s="281"/>
      <c r="M373" s="281"/>
      <c r="N373" s="366"/>
      <c r="O373" s="385" t="s">
        <v>2481</v>
      </c>
      <c r="P373" s="374"/>
      <c r="Q373" s="373" t="s">
        <v>87</v>
      </c>
      <c r="R373" s="982" t="s">
        <v>2480</v>
      </c>
      <c r="S373" s="279">
        <v>30663</v>
      </c>
      <c r="T373" s="197"/>
      <c r="U373" s="251" t="s">
        <v>54</v>
      </c>
      <c r="V373" s="250" t="s">
        <v>2793</v>
      </c>
      <c r="W373" s="197" t="s">
        <v>56</v>
      </c>
      <c r="X373" s="197" t="s">
        <v>57</v>
      </c>
      <c r="Y373" s="197" t="s">
        <v>2609</v>
      </c>
      <c r="Z373" s="246">
        <v>45186</v>
      </c>
      <c r="AA373" s="246"/>
      <c r="AB373" s="361"/>
      <c r="AC373" s="223"/>
      <c r="AD373" s="376"/>
      <c r="AE373" s="258"/>
      <c r="AF373" s="258"/>
      <c r="AG373" s="241"/>
      <c r="AH373" s="283"/>
      <c r="AI373" s="254"/>
      <c r="AJ373" s="348" t="s">
        <v>560</v>
      </c>
      <c r="AK373" s="241">
        <v>4</v>
      </c>
      <c r="AL373" s="165" t="s">
        <v>336</v>
      </c>
      <c r="AM373" s="165" t="s">
        <v>267</v>
      </c>
      <c r="AN373" s="110"/>
      <c r="AO373" s="151"/>
      <c r="AP373" s="115"/>
      <c r="AQ373" s="115"/>
      <c r="AR373" s="115"/>
      <c r="AS373" s="115"/>
      <c r="AT373" s="115"/>
    </row>
    <row r="374" spans="1:46" ht="39" customHeight="1" x14ac:dyDescent="0.25">
      <c r="A374" s="1468">
        <v>373</v>
      </c>
      <c r="B374" s="141">
        <v>2</v>
      </c>
      <c r="C374" s="260" t="s">
        <v>317</v>
      </c>
      <c r="D374" s="241"/>
      <c r="E374" s="241"/>
      <c r="F374" s="241"/>
      <c r="G374" s="261" t="s">
        <v>318</v>
      </c>
      <c r="H374" s="262" t="s">
        <v>87</v>
      </c>
      <c r="I374" s="364"/>
      <c r="J374" s="245" t="s">
        <v>561</v>
      </c>
      <c r="K374" s="684"/>
      <c r="L374" s="685"/>
      <c r="M374" s="685"/>
      <c r="N374" s="684"/>
      <c r="O374" s="385" t="s">
        <v>2547</v>
      </c>
      <c r="P374" s="374"/>
      <c r="Q374" s="373" t="s">
        <v>87</v>
      </c>
      <c r="R374" s="982" t="s">
        <v>2546</v>
      </c>
      <c r="S374" s="279">
        <v>29037</v>
      </c>
      <c r="T374" s="684"/>
      <c r="U374" s="251" t="s">
        <v>54</v>
      </c>
      <c r="V374" s="250" t="s">
        <v>2793</v>
      </c>
      <c r="W374" s="197" t="s">
        <v>56</v>
      </c>
      <c r="X374" s="197" t="s">
        <v>57</v>
      </c>
      <c r="Y374" s="197" t="s">
        <v>2609</v>
      </c>
      <c r="Z374" s="246">
        <v>45151</v>
      </c>
      <c r="AA374" s="684"/>
      <c r="AB374" s="1290"/>
      <c r="AC374" s="684"/>
      <c r="AD374" s="686"/>
      <c r="AE374" s="684"/>
      <c r="AF374" s="684"/>
      <c r="AG374" s="684"/>
      <c r="AH374" s="684"/>
      <c r="AI374" s="685"/>
      <c r="AJ374" s="348" t="s">
        <v>560</v>
      </c>
      <c r="AK374" s="241">
        <v>4</v>
      </c>
      <c r="AL374" s="165" t="s">
        <v>336</v>
      </c>
      <c r="AM374" s="165" t="s">
        <v>267</v>
      </c>
      <c r="AN374" s="110"/>
      <c r="AO374" s="151"/>
      <c r="AP374" s="115"/>
      <c r="AQ374" s="115"/>
      <c r="AR374" s="115"/>
      <c r="AS374" s="115"/>
      <c r="AT374" s="115"/>
    </row>
    <row r="375" spans="1:46" ht="39" customHeight="1" x14ac:dyDescent="0.25">
      <c r="A375" s="1468">
        <v>374</v>
      </c>
      <c r="B375" s="146">
        <v>2</v>
      </c>
      <c r="C375" s="260" t="s">
        <v>319</v>
      </c>
      <c r="D375" s="241"/>
      <c r="E375" s="241"/>
      <c r="F375" s="241"/>
      <c r="G375" s="261" t="s">
        <v>320</v>
      </c>
      <c r="H375" s="262" t="s">
        <v>87</v>
      </c>
      <c r="I375" s="357"/>
      <c r="J375" s="245" t="s">
        <v>561</v>
      </c>
      <c r="K375" s="216"/>
      <c r="L375" s="281" t="s">
        <v>3972</v>
      </c>
      <c r="M375" s="281" t="s">
        <v>3972</v>
      </c>
      <c r="N375" s="366"/>
      <c r="O375" s="216" t="s">
        <v>2272</v>
      </c>
      <c r="P375" s="247" t="s">
        <v>1828</v>
      </c>
      <c r="Q375" s="344" t="s">
        <v>293</v>
      </c>
      <c r="R375" s="982" t="s">
        <v>2271</v>
      </c>
      <c r="S375" s="279">
        <v>37318</v>
      </c>
      <c r="T375" s="197"/>
      <c r="U375" s="251" t="s">
        <v>54</v>
      </c>
      <c r="V375" s="197" t="s">
        <v>2378</v>
      </c>
      <c r="W375" s="197" t="s">
        <v>56</v>
      </c>
      <c r="X375" s="197" t="s">
        <v>57</v>
      </c>
      <c r="Y375" s="197" t="s">
        <v>2380</v>
      </c>
      <c r="Z375" s="246">
        <v>45177</v>
      </c>
      <c r="AA375" s="246"/>
      <c r="AB375" s="361"/>
      <c r="AC375" s="223"/>
      <c r="AD375" s="376"/>
      <c r="AE375" s="258"/>
      <c r="AF375" s="258"/>
      <c r="AG375" s="241"/>
      <c r="AH375" s="283"/>
      <c r="AI375" s="254"/>
      <c r="AJ375" s="348" t="s">
        <v>560</v>
      </c>
      <c r="AK375" s="241">
        <v>4</v>
      </c>
      <c r="AL375" s="165" t="s">
        <v>336</v>
      </c>
      <c r="AM375" s="165" t="s">
        <v>267</v>
      </c>
      <c r="AN375" s="110"/>
      <c r="AO375" s="151"/>
      <c r="AP375" s="115"/>
      <c r="AQ375" s="115"/>
      <c r="AR375" s="115"/>
      <c r="AS375" s="115"/>
      <c r="AT375" s="116"/>
    </row>
    <row r="376" spans="1:46" ht="39" customHeight="1" x14ac:dyDescent="0.25">
      <c r="A376" s="1468">
        <v>375</v>
      </c>
      <c r="B376" s="141">
        <v>2</v>
      </c>
      <c r="C376" s="378" t="s">
        <v>321</v>
      </c>
      <c r="D376" s="303"/>
      <c r="E376" s="241"/>
      <c r="F376" s="241"/>
      <c r="G376" s="261" t="s">
        <v>322</v>
      </c>
      <c r="H376" s="262" t="s">
        <v>87</v>
      </c>
      <c r="I376" s="357"/>
      <c r="J376" s="245" t="s">
        <v>561</v>
      </c>
      <c r="K376" s="684"/>
      <c r="L376" s="685"/>
      <c r="M376" s="685"/>
      <c r="N376" s="684"/>
      <c r="O376" s="216" t="s">
        <v>2479</v>
      </c>
      <c r="P376" s="247"/>
      <c r="Q376" s="344" t="s">
        <v>570</v>
      </c>
      <c r="R376" s="982" t="s">
        <v>2478</v>
      </c>
      <c r="S376" s="279">
        <v>34713</v>
      </c>
      <c r="T376" s="684"/>
      <c r="U376" s="197"/>
      <c r="V376" s="250"/>
      <c r="W376" s="197"/>
      <c r="X376" s="197"/>
      <c r="Y376" s="197"/>
      <c r="Z376" s="246"/>
      <c r="AA376" s="684"/>
      <c r="AB376" s="1290"/>
      <c r="AC376" s="684"/>
      <c r="AD376" s="686"/>
      <c r="AE376" s="684"/>
      <c r="AF376" s="684"/>
      <c r="AG376" s="684"/>
      <c r="AH376" s="684"/>
      <c r="AI376" s="685"/>
      <c r="AJ376" s="348" t="s">
        <v>560</v>
      </c>
      <c r="AK376" s="241">
        <v>4</v>
      </c>
      <c r="AL376" s="165" t="s">
        <v>336</v>
      </c>
      <c r="AM376" s="165" t="s">
        <v>267</v>
      </c>
      <c r="AN376" s="151"/>
      <c r="AO376" s="151"/>
      <c r="AP376" s="115"/>
      <c r="AQ376" s="115"/>
      <c r="AR376" s="115"/>
      <c r="AS376" s="115"/>
      <c r="AT376" s="115"/>
    </row>
    <row r="377" spans="1:46" ht="39" customHeight="1" x14ac:dyDescent="0.25">
      <c r="A377" s="1468">
        <v>376</v>
      </c>
      <c r="B377" s="141">
        <v>1</v>
      </c>
      <c r="C377" s="469" t="s">
        <v>323</v>
      </c>
      <c r="D377" s="470"/>
      <c r="E377" s="471"/>
      <c r="F377" s="471"/>
      <c r="G377" s="472" t="s">
        <v>324</v>
      </c>
      <c r="H377" s="262" t="s">
        <v>87</v>
      </c>
      <c r="I377" s="473"/>
      <c r="J377" s="245" t="s">
        <v>561</v>
      </c>
      <c r="K377" s="684"/>
      <c r="L377" s="281" t="s">
        <v>1993</v>
      </c>
      <c r="M377" s="281" t="s">
        <v>1993</v>
      </c>
      <c r="N377" s="684"/>
      <c r="O377" s="216" t="s">
        <v>3337</v>
      </c>
      <c r="P377" s="247" t="s">
        <v>1828</v>
      </c>
      <c r="Q377" s="344" t="s">
        <v>293</v>
      </c>
      <c r="R377" s="982" t="s">
        <v>3336</v>
      </c>
      <c r="S377" s="279">
        <v>27859</v>
      </c>
      <c r="T377" s="684"/>
      <c r="U377" s="251" t="s">
        <v>54</v>
      </c>
      <c r="V377" s="250" t="s">
        <v>5512</v>
      </c>
      <c r="W377" s="197" t="s">
        <v>56</v>
      </c>
      <c r="X377" s="197" t="s">
        <v>57</v>
      </c>
      <c r="Y377" s="684"/>
      <c r="Z377" s="684"/>
      <c r="AA377" s="684"/>
      <c r="AB377" s="1290"/>
      <c r="AC377" s="684"/>
      <c r="AD377" s="686"/>
      <c r="AE377" s="684"/>
      <c r="AF377" s="684"/>
      <c r="AG377" s="684"/>
      <c r="AH377" s="684"/>
      <c r="AI377" s="685"/>
      <c r="AJ377" s="348" t="s">
        <v>560</v>
      </c>
      <c r="AK377" s="241">
        <v>4</v>
      </c>
      <c r="AL377" s="165" t="s">
        <v>336</v>
      </c>
      <c r="AM377" s="165" t="s">
        <v>267</v>
      </c>
      <c r="AN377" s="167"/>
      <c r="AO377" s="167"/>
      <c r="AP377" s="115"/>
      <c r="AQ377" s="115"/>
      <c r="AR377" s="115"/>
      <c r="AS377" s="115"/>
      <c r="AT377" s="115"/>
    </row>
    <row r="378" spans="1:46" ht="39" customHeight="1" x14ac:dyDescent="0.25">
      <c r="A378" s="1468">
        <v>377</v>
      </c>
      <c r="B378" s="117">
        <v>1</v>
      </c>
      <c r="C378" s="260" t="s">
        <v>325</v>
      </c>
      <c r="D378" s="241"/>
      <c r="E378" s="241"/>
      <c r="F378" s="241"/>
      <c r="G378" s="261" t="s">
        <v>324</v>
      </c>
      <c r="H378" s="262" t="s">
        <v>87</v>
      </c>
      <c r="I378" s="357"/>
      <c r="J378" s="245" t="s">
        <v>561</v>
      </c>
      <c r="K378" s="684"/>
      <c r="L378" s="685"/>
      <c r="M378" s="685"/>
      <c r="N378" s="684"/>
      <c r="O378" s="216" t="s">
        <v>2697</v>
      </c>
      <c r="P378" s="247"/>
      <c r="Q378" s="344" t="s">
        <v>293</v>
      </c>
      <c r="R378" s="982" t="s">
        <v>2696</v>
      </c>
      <c r="S378" s="279">
        <v>31150</v>
      </c>
      <c r="T378" s="684"/>
      <c r="U378" s="251" t="s">
        <v>54</v>
      </c>
      <c r="V378" s="250" t="s">
        <v>2793</v>
      </c>
      <c r="W378" s="197" t="s">
        <v>56</v>
      </c>
      <c r="X378" s="197" t="s">
        <v>57</v>
      </c>
      <c r="Y378" s="197" t="s">
        <v>2609</v>
      </c>
      <c r="Z378" s="246">
        <v>45139</v>
      </c>
      <c r="AA378" s="684"/>
      <c r="AB378" s="1290"/>
      <c r="AC378" s="684"/>
      <c r="AD378" s="686"/>
      <c r="AE378" s="684"/>
      <c r="AF378" s="684"/>
      <c r="AG378" s="684"/>
      <c r="AH378" s="684"/>
      <c r="AI378" s="685"/>
      <c r="AJ378" s="348" t="s">
        <v>560</v>
      </c>
      <c r="AK378" s="241">
        <v>4</v>
      </c>
      <c r="AL378" s="120" t="s">
        <v>336</v>
      </c>
      <c r="AM378" s="120" t="s">
        <v>267</v>
      </c>
      <c r="AN378" s="110"/>
      <c r="AO378" s="110"/>
      <c r="AP378" s="115"/>
      <c r="AQ378" s="115"/>
      <c r="AR378" s="115"/>
      <c r="AS378" s="115"/>
      <c r="AT378" s="115"/>
    </row>
    <row r="379" spans="1:46" ht="39" customHeight="1" x14ac:dyDescent="0.25">
      <c r="A379" s="1468">
        <v>378</v>
      </c>
      <c r="B379" s="117"/>
      <c r="C379" s="455"/>
      <c r="D379" s="331"/>
      <c r="E379" s="331"/>
      <c r="F379" s="331"/>
      <c r="G379" s="432"/>
      <c r="H379" s="456"/>
      <c r="I379" s="456"/>
      <c r="J379" s="329"/>
      <c r="K379" s="432"/>
      <c r="L379" s="329"/>
      <c r="M379" s="329"/>
      <c r="N379" s="329"/>
      <c r="O379" s="330"/>
      <c r="P379" s="273" t="s">
        <v>326</v>
      </c>
      <c r="Q379" s="331"/>
      <c r="R379" s="455"/>
      <c r="S379" s="279"/>
      <c r="T379" s="334"/>
      <c r="U379" s="232"/>
      <c r="V379" s="334"/>
      <c r="W379" s="334"/>
      <c r="X379" s="334"/>
      <c r="Y379" s="334"/>
      <c r="Z379" s="457"/>
      <c r="AA379" s="458"/>
      <c r="AB379" s="459"/>
      <c r="AC379" s="460"/>
      <c r="AD379" s="459"/>
      <c r="AE379" s="461"/>
      <c r="AF379" s="457"/>
      <c r="AG379" s="331"/>
      <c r="AH379" s="462"/>
      <c r="AI379" s="463"/>
      <c r="AJ379" s="464"/>
      <c r="AK379" s="331"/>
      <c r="AL379" s="163"/>
      <c r="AM379" s="163"/>
      <c r="AN379" s="163"/>
      <c r="AO379" s="163"/>
      <c r="AP379" s="115"/>
      <c r="AQ379" s="115"/>
      <c r="AR379" s="115"/>
      <c r="AS379" s="115"/>
      <c r="AT379" s="116"/>
    </row>
    <row r="380" spans="1:46" ht="39" customHeight="1" x14ac:dyDescent="0.25">
      <c r="A380" s="1468">
        <v>379</v>
      </c>
      <c r="B380" s="128">
        <v>5</v>
      </c>
      <c r="C380" s="290" t="s">
        <v>288</v>
      </c>
      <c r="D380" s="344"/>
      <c r="E380" s="344" t="s">
        <v>47</v>
      </c>
      <c r="F380" s="344"/>
      <c r="G380" s="292" t="s">
        <v>289</v>
      </c>
      <c r="H380" s="346" t="s">
        <v>132</v>
      </c>
      <c r="I380" s="344">
        <v>144</v>
      </c>
      <c r="J380" s="256">
        <v>403</v>
      </c>
      <c r="K380" s="216"/>
      <c r="L380" s="281" t="s">
        <v>1086</v>
      </c>
      <c r="M380" s="281"/>
      <c r="N380" s="245"/>
      <c r="O380" s="216" t="s">
        <v>1087</v>
      </c>
      <c r="P380" s="325"/>
      <c r="Q380" s="344" t="s">
        <v>132</v>
      </c>
      <c r="R380" s="996" t="s">
        <v>1088</v>
      </c>
      <c r="S380" s="279">
        <v>30067</v>
      </c>
      <c r="T380" s="252"/>
      <c r="U380" s="250"/>
      <c r="V380" s="252"/>
      <c r="W380" s="197"/>
      <c r="X380" s="197"/>
      <c r="Y380" s="197"/>
      <c r="Z380" s="252"/>
      <c r="AA380" s="246"/>
      <c r="AB380" s="282"/>
      <c r="AC380" s="223" t="s">
        <v>946</v>
      </c>
      <c r="AD380" s="282"/>
      <c r="AE380" s="252"/>
      <c r="AF380" s="252"/>
      <c r="AG380" s="282" t="s">
        <v>61</v>
      </c>
      <c r="AH380" s="283"/>
      <c r="AI380" s="328"/>
      <c r="AJ380" s="348" t="s">
        <v>560</v>
      </c>
      <c r="AK380" s="291">
        <v>3</v>
      </c>
      <c r="AL380" s="120" t="s">
        <v>336</v>
      </c>
      <c r="AM380" s="120" t="s">
        <v>267</v>
      </c>
      <c r="AN380" s="138"/>
      <c r="AO380" s="138"/>
      <c r="AP380" s="115"/>
      <c r="AQ380" s="115"/>
      <c r="AR380" s="115"/>
      <c r="AS380" s="115"/>
      <c r="AT380" s="115"/>
    </row>
    <row r="381" spans="1:46" ht="39" customHeight="1" x14ac:dyDescent="0.25">
      <c r="A381" s="1468">
        <v>380</v>
      </c>
      <c r="B381" s="141">
        <v>3</v>
      </c>
      <c r="C381" s="475" t="s">
        <v>290</v>
      </c>
      <c r="D381" s="476" t="s">
        <v>134</v>
      </c>
      <c r="E381" s="476"/>
      <c r="F381" s="476"/>
      <c r="G381" s="261" t="s">
        <v>291</v>
      </c>
      <c r="H381" s="262" t="s">
        <v>85</v>
      </c>
      <c r="I381" s="479"/>
      <c r="J381" s="245" t="s">
        <v>556</v>
      </c>
      <c r="K381" s="277"/>
      <c r="L381" s="281"/>
      <c r="M381" s="281"/>
      <c r="N381" s="276"/>
      <c r="O381" s="951"/>
      <c r="P381" s="484"/>
      <c r="Q381" s="344"/>
      <c r="R381" s="996" t="s">
        <v>66</v>
      </c>
      <c r="S381" s="279"/>
      <c r="T381" s="398"/>
      <c r="U381" s="250"/>
      <c r="V381" s="250"/>
      <c r="W381" s="197"/>
      <c r="X381" s="197"/>
      <c r="Y381" s="252"/>
      <c r="Z381" s="252"/>
      <c r="AA381" s="486"/>
      <c r="AB381" s="487"/>
      <c r="AC381" s="488"/>
      <c r="AD381" s="487"/>
      <c r="AE381" s="398"/>
      <c r="AF381" s="398"/>
      <c r="AG381" s="487"/>
      <c r="AH381" s="489"/>
      <c r="AI381" s="490"/>
      <c r="AJ381" s="348"/>
      <c r="AK381" s="241">
        <v>4</v>
      </c>
      <c r="AL381" s="120" t="s">
        <v>336</v>
      </c>
      <c r="AM381" s="120" t="s">
        <v>267</v>
      </c>
      <c r="AN381" s="110" t="s">
        <v>4184</v>
      </c>
      <c r="AO381" s="170"/>
      <c r="AP381" s="115"/>
      <c r="AQ381" s="115"/>
      <c r="AR381" s="115"/>
      <c r="AS381" s="115"/>
      <c r="AT381" s="115"/>
    </row>
    <row r="382" spans="1:46" ht="39" customHeight="1" x14ac:dyDescent="0.25">
      <c r="A382" s="1468">
        <v>381</v>
      </c>
      <c r="B382" s="141">
        <v>3</v>
      </c>
      <c r="C382" s="358" t="s">
        <v>297</v>
      </c>
      <c r="D382" s="241" t="s">
        <v>134</v>
      </c>
      <c r="E382" s="241"/>
      <c r="F382" s="241"/>
      <c r="G382" s="261" t="s">
        <v>298</v>
      </c>
      <c r="H382" s="262" t="s">
        <v>85</v>
      </c>
      <c r="I382" s="346"/>
      <c r="J382" s="245" t="s">
        <v>556</v>
      </c>
      <c r="K382" s="216"/>
      <c r="L382" s="288" t="s">
        <v>5916</v>
      </c>
      <c r="M382" s="288" t="s">
        <v>5916</v>
      </c>
      <c r="N382" s="374"/>
      <c r="O382" s="385" t="s">
        <v>6042</v>
      </c>
      <c r="P382" s="374"/>
      <c r="Q382" s="373" t="s">
        <v>567</v>
      </c>
      <c r="R382" s="982" t="s">
        <v>6143</v>
      </c>
      <c r="S382" s="279">
        <v>37031</v>
      </c>
      <c r="T382" s="252"/>
      <c r="U382" s="250"/>
      <c r="V382" s="197"/>
      <c r="W382" s="197"/>
      <c r="X382" s="197"/>
      <c r="Y382" s="197"/>
      <c r="Z382" s="246"/>
      <c r="AA382" s="246"/>
      <c r="AB382" s="282"/>
      <c r="AC382" s="223"/>
      <c r="AD382" s="282"/>
      <c r="AE382" s="252"/>
      <c r="AF382" s="252"/>
      <c r="AG382" s="282"/>
      <c r="AH382" s="283"/>
      <c r="AI382" s="328"/>
      <c r="AJ382" s="348" t="s">
        <v>560</v>
      </c>
      <c r="AK382" s="241">
        <v>4</v>
      </c>
      <c r="AL382" s="120" t="s">
        <v>336</v>
      </c>
      <c r="AM382" s="120" t="s">
        <v>267</v>
      </c>
      <c r="AN382" s="138"/>
      <c r="AO382" s="138"/>
      <c r="AP382" s="115"/>
      <c r="AQ382" s="115"/>
      <c r="AR382" s="115"/>
      <c r="AS382" s="115"/>
      <c r="AT382" s="116"/>
    </row>
    <row r="383" spans="1:46" ht="39" customHeight="1" x14ac:dyDescent="0.25">
      <c r="A383" s="1468">
        <v>382</v>
      </c>
      <c r="B383" s="141">
        <v>2</v>
      </c>
      <c r="C383" s="260" t="s">
        <v>311</v>
      </c>
      <c r="D383" s="241"/>
      <c r="E383" s="241"/>
      <c r="F383" s="241"/>
      <c r="G383" s="261" t="s">
        <v>312</v>
      </c>
      <c r="H383" s="262" t="s">
        <v>85</v>
      </c>
      <c r="I383" s="346"/>
      <c r="J383" s="245" t="s">
        <v>556</v>
      </c>
      <c r="K383" s="684"/>
      <c r="L383" s="685"/>
      <c r="M383" s="685"/>
      <c r="N383" s="684"/>
      <c r="O383" s="216" t="s">
        <v>2641</v>
      </c>
      <c r="P383" s="325"/>
      <c r="Q383" s="344" t="s">
        <v>570</v>
      </c>
      <c r="R383" s="996" t="s">
        <v>2640</v>
      </c>
      <c r="S383" s="279">
        <v>30926</v>
      </c>
      <c r="T383" s="216"/>
      <c r="U383" s="251" t="s">
        <v>54</v>
      </c>
      <c r="V383" s="250" t="s">
        <v>4845</v>
      </c>
      <c r="W383" s="197" t="s">
        <v>4846</v>
      </c>
      <c r="X383" s="197" t="s">
        <v>2376</v>
      </c>
      <c r="Y383" s="197"/>
      <c r="Z383" s="246">
        <v>45245</v>
      </c>
      <c r="AA383" s="684"/>
      <c r="AB383" s="1290"/>
      <c r="AC383" s="684"/>
      <c r="AD383" s="686"/>
      <c r="AE383" s="684"/>
      <c r="AF383" s="684"/>
      <c r="AG383" s="684"/>
      <c r="AH383" s="684"/>
      <c r="AI383" s="685"/>
      <c r="AJ383" s="348" t="s">
        <v>560</v>
      </c>
      <c r="AK383" s="241">
        <v>4</v>
      </c>
      <c r="AL383" s="120" t="s">
        <v>336</v>
      </c>
      <c r="AM383" s="120" t="s">
        <v>267</v>
      </c>
      <c r="AN383" s="138"/>
      <c r="AO383" s="138"/>
      <c r="AP383" s="115"/>
      <c r="AQ383" s="115"/>
      <c r="AR383" s="115"/>
      <c r="AS383" s="115"/>
      <c r="AT383" s="115"/>
    </row>
    <row r="384" spans="1:46" ht="39" customHeight="1" x14ac:dyDescent="0.25">
      <c r="A384" s="1468">
        <v>383</v>
      </c>
      <c r="B384" s="141">
        <v>2</v>
      </c>
      <c r="C384" s="260" t="s">
        <v>317</v>
      </c>
      <c r="D384" s="241"/>
      <c r="E384" s="241"/>
      <c r="F384" s="241"/>
      <c r="G384" s="261" t="s">
        <v>318</v>
      </c>
      <c r="H384" s="262" t="s">
        <v>87</v>
      </c>
      <c r="I384" s="357"/>
      <c r="J384" s="245" t="s">
        <v>561</v>
      </c>
      <c r="K384" s="684"/>
      <c r="L384" s="685"/>
      <c r="M384" s="685"/>
      <c r="N384" s="684"/>
      <c r="O384" s="951" t="s">
        <v>2634</v>
      </c>
      <c r="P384" s="484"/>
      <c r="Q384" s="344" t="s">
        <v>567</v>
      </c>
      <c r="R384" s="996" t="s">
        <v>2633</v>
      </c>
      <c r="S384" s="279">
        <v>28216</v>
      </c>
      <c r="T384" s="996"/>
      <c r="U384" s="251" t="s">
        <v>54</v>
      </c>
      <c r="V384" s="250" t="s">
        <v>2793</v>
      </c>
      <c r="W384" s="197" t="s">
        <v>56</v>
      </c>
      <c r="X384" s="197" t="s">
        <v>57</v>
      </c>
      <c r="Y384" s="197" t="s">
        <v>2609</v>
      </c>
      <c r="Z384" s="246">
        <v>45141</v>
      </c>
      <c r="AA384" s="684"/>
      <c r="AB384" s="1290"/>
      <c r="AC384" s="684"/>
      <c r="AD384" s="686"/>
      <c r="AE384" s="684"/>
      <c r="AF384" s="684"/>
      <c r="AG384" s="684"/>
      <c r="AH384" s="684"/>
      <c r="AI384" s="685"/>
      <c r="AJ384" s="348" t="s">
        <v>560</v>
      </c>
      <c r="AK384" s="241">
        <v>4</v>
      </c>
      <c r="AL384" s="120" t="s">
        <v>336</v>
      </c>
      <c r="AM384" s="120" t="s">
        <v>267</v>
      </c>
      <c r="AN384" s="110"/>
      <c r="AO384" s="151"/>
      <c r="AP384" s="115"/>
      <c r="AQ384" s="115"/>
      <c r="AR384" s="115"/>
      <c r="AS384" s="115"/>
      <c r="AT384" s="115"/>
    </row>
    <row r="385" spans="1:46" ht="39" customHeight="1" x14ac:dyDescent="0.25">
      <c r="A385" s="1468">
        <v>384</v>
      </c>
      <c r="B385" s="146">
        <v>2</v>
      </c>
      <c r="C385" s="260" t="s">
        <v>319</v>
      </c>
      <c r="D385" s="241"/>
      <c r="E385" s="241"/>
      <c r="F385" s="241"/>
      <c r="G385" s="261" t="s">
        <v>320</v>
      </c>
      <c r="H385" s="262" t="s">
        <v>87</v>
      </c>
      <c r="I385" s="364"/>
      <c r="J385" s="245" t="s">
        <v>561</v>
      </c>
      <c r="K385" s="257"/>
      <c r="L385" s="281" t="s">
        <v>1824</v>
      </c>
      <c r="M385" s="281" t="s">
        <v>1824</v>
      </c>
      <c r="N385" s="366"/>
      <c r="O385" s="216" t="s">
        <v>1825</v>
      </c>
      <c r="P385" s="247"/>
      <c r="Q385" s="373" t="s">
        <v>87</v>
      </c>
      <c r="R385" s="982" t="s">
        <v>3353</v>
      </c>
      <c r="S385" s="279">
        <v>37075</v>
      </c>
      <c r="T385" s="289"/>
      <c r="U385" s="251" t="s">
        <v>54</v>
      </c>
      <c r="V385" s="197" t="s">
        <v>2378</v>
      </c>
      <c r="W385" s="819" t="s">
        <v>56</v>
      </c>
      <c r="X385" s="819" t="s">
        <v>57</v>
      </c>
      <c r="Y385" s="949" t="s">
        <v>2379</v>
      </c>
      <c r="Z385" s="246">
        <v>45177</v>
      </c>
      <c r="AA385" s="252"/>
      <c r="AB385" s="299"/>
      <c r="AC385" s="223"/>
      <c r="AD385" s="281" t="s">
        <v>1862</v>
      </c>
      <c r="AE385" s="289"/>
      <c r="AF385" s="289"/>
      <c r="AG385" s="299"/>
      <c r="AH385" s="299"/>
      <c r="AI385" s="296"/>
      <c r="AJ385" s="348" t="s">
        <v>560</v>
      </c>
      <c r="AK385" s="241">
        <v>4</v>
      </c>
      <c r="AL385" s="120" t="s">
        <v>336</v>
      </c>
      <c r="AM385" s="120" t="s">
        <v>267</v>
      </c>
      <c r="AN385" s="110"/>
      <c r="AO385" s="151"/>
      <c r="AP385" s="115"/>
      <c r="AQ385" s="115"/>
      <c r="AR385" s="115"/>
      <c r="AS385" s="115"/>
      <c r="AT385" s="116"/>
    </row>
    <row r="386" spans="1:46" ht="39" customHeight="1" x14ac:dyDescent="0.25">
      <c r="A386" s="1468">
        <v>385</v>
      </c>
      <c r="B386" s="141">
        <v>2</v>
      </c>
      <c r="C386" s="378" t="s">
        <v>321</v>
      </c>
      <c r="D386" s="303"/>
      <c r="E386" s="241"/>
      <c r="F386" s="241"/>
      <c r="G386" s="261" t="s">
        <v>322</v>
      </c>
      <c r="H386" s="262" t="s">
        <v>87</v>
      </c>
      <c r="I386" s="357"/>
      <c r="J386" s="245" t="s">
        <v>561</v>
      </c>
      <c r="K386" s="684"/>
      <c r="L386" s="685"/>
      <c r="M386" s="685"/>
      <c r="N386" s="684"/>
      <c r="O386" s="216" t="s">
        <v>2489</v>
      </c>
      <c r="P386" s="325"/>
      <c r="Q386" s="344" t="s">
        <v>87</v>
      </c>
      <c r="R386" s="996" t="s">
        <v>2488</v>
      </c>
      <c r="S386" s="279">
        <v>31086</v>
      </c>
      <c r="T386" s="713"/>
      <c r="U386" s="251" t="s">
        <v>54</v>
      </c>
      <c r="V386" s="250" t="s">
        <v>2793</v>
      </c>
      <c r="W386" s="197" t="s">
        <v>56</v>
      </c>
      <c r="X386" s="197" t="s">
        <v>57</v>
      </c>
      <c r="Y386" s="197" t="s">
        <v>2609</v>
      </c>
      <c r="Z386" s="246">
        <v>45186</v>
      </c>
      <c r="AA386" s="684"/>
      <c r="AB386" s="1290"/>
      <c r="AC386" s="684"/>
      <c r="AD386" s="686"/>
      <c r="AE386" s="684"/>
      <c r="AF386" s="684"/>
      <c r="AG386" s="684"/>
      <c r="AH386" s="684"/>
      <c r="AI386" s="685"/>
      <c r="AJ386" s="348" t="s">
        <v>560</v>
      </c>
      <c r="AK386" s="241">
        <v>4</v>
      </c>
      <c r="AL386" s="120" t="s">
        <v>336</v>
      </c>
      <c r="AM386" s="120" t="s">
        <v>267</v>
      </c>
      <c r="AN386" s="151"/>
      <c r="AO386" s="151"/>
      <c r="AP386" s="115"/>
      <c r="AQ386" s="115"/>
      <c r="AR386" s="115"/>
      <c r="AS386" s="115"/>
      <c r="AT386" s="115"/>
    </row>
    <row r="387" spans="1:46" ht="39" customHeight="1" x14ac:dyDescent="0.25">
      <c r="A387" s="1468">
        <v>386</v>
      </c>
      <c r="B387" s="141">
        <v>1</v>
      </c>
      <c r="C387" s="469" t="s">
        <v>323</v>
      </c>
      <c r="D387" s="470"/>
      <c r="E387" s="471"/>
      <c r="F387" s="471"/>
      <c r="G387" s="472" t="s">
        <v>324</v>
      </c>
      <c r="H387" s="262" t="s">
        <v>87</v>
      </c>
      <c r="I387" s="492"/>
      <c r="J387" s="245" t="s">
        <v>561</v>
      </c>
      <c r="K387" s="216"/>
      <c r="L387" s="281"/>
      <c r="M387" s="281"/>
      <c r="N387" s="245"/>
      <c r="O387" s="216"/>
      <c r="P387" s="320"/>
      <c r="Q387" s="344"/>
      <c r="R387" s="982" t="s">
        <v>66</v>
      </c>
      <c r="S387" s="279"/>
      <c r="T387" s="250"/>
      <c r="U387" s="250"/>
      <c r="V387" s="250"/>
      <c r="W387" s="197"/>
      <c r="X387" s="197"/>
      <c r="Y387" s="197"/>
      <c r="Z387" s="246"/>
      <c r="AA387" s="246"/>
      <c r="AB387" s="281"/>
      <c r="AC387" s="223"/>
      <c r="AD387" s="281"/>
      <c r="AE387" s="258"/>
      <c r="AF387" s="258"/>
      <c r="AG387" s="241"/>
      <c r="AH387" s="283"/>
      <c r="AI387" s="296"/>
      <c r="AJ387" s="348"/>
      <c r="AK387" s="241">
        <v>4</v>
      </c>
      <c r="AL387" s="165" t="s">
        <v>336</v>
      </c>
      <c r="AM387" s="165" t="s">
        <v>267</v>
      </c>
      <c r="AN387" s="167"/>
      <c r="AO387" s="167"/>
      <c r="AP387" s="115"/>
      <c r="AQ387" s="115"/>
      <c r="AR387" s="115"/>
      <c r="AS387" s="115"/>
      <c r="AT387" s="115"/>
    </row>
    <row r="388" spans="1:46" ht="39" customHeight="1" x14ac:dyDescent="0.25">
      <c r="A388" s="1468">
        <v>387</v>
      </c>
      <c r="B388" s="117">
        <v>1</v>
      </c>
      <c r="C388" s="260" t="s">
        <v>325</v>
      </c>
      <c r="D388" s="241"/>
      <c r="E388" s="241"/>
      <c r="F388" s="241"/>
      <c r="G388" s="261" t="s">
        <v>324</v>
      </c>
      <c r="H388" s="262" t="s">
        <v>87</v>
      </c>
      <c r="I388" s="357"/>
      <c r="J388" s="245" t="s">
        <v>561</v>
      </c>
      <c r="K388" s="216"/>
      <c r="L388" s="301" t="s">
        <v>1993</v>
      </c>
      <c r="M388" s="301" t="s">
        <v>1993</v>
      </c>
      <c r="N388" s="366"/>
      <c r="O388" s="216" t="s">
        <v>2126</v>
      </c>
      <c r="P388" s="484" t="s">
        <v>1828</v>
      </c>
      <c r="Q388" s="298" t="s">
        <v>87</v>
      </c>
      <c r="R388" s="982" t="s">
        <v>2125</v>
      </c>
      <c r="S388" s="279">
        <v>32896</v>
      </c>
      <c r="T388" s="250"/>
      <c r="U388" s="251" t="s">
        <v>54</v>
      </c>
      <c r="V388" s="250" t="s">
        <v>2793</v>
      </c>
      <c r="W388" s="197" t="s">
        <v>56</v>
      </c>
      <c r="X388" s="197" t="s">
        <v>57</v>
      </c>
      <c r="Y388" s="197" t="s">
        <v>2609</v>
      </c>
      <c r="Z388" s="246">
        <v>45148</v>
      </c>
      <c r="AA388" s="246"/>
      <c r="AB388" s="281"/>
      <c r="AC388" s="223"/>
      <c r="AD388" s="306"/>
      <c r="AE388" s="306"/>
      <c r="AF388" s="306"/>
      <c r="AG388" s="301"/>
      <c r="AH388" s="301"/>
      <c r="AI388" s="254"/>
      <c r="AJ388" s="379" t="s">
        <v>560</v>
      </c>
      <c r="AK388" s="241">
        <v>4</v>
      </c>
      <c r="AL388" s="120" t="s">
        <v>336</v>
      </c>
      <c r="AM388" s="120" t="s">
        <v>267</v>
      </c>
      <c r="AN388" s="151"/>
      <c r="AO388" s="151"/>
      <c r="AP388" s="115"/>
      <c r="AQ388" s="115"/>
      <c r="AR388" s="115"/>
      <c r="AS388" s="115"/>
      <c r="AT388" s="115"/>
    </row>
    <row r="389" spans="1:46" ht="39" customHeight="1" x14ac:dyDescent="0.25">
      <c r="A389" s="1468">
        <v>388</v>
      </c>
      <c r="B389" s="117"/>
      <c r="C389" s="455"/>
      <c r="D389" s="331"/>
      <c r="E389" s="331"/>
      <c r="F389" s="331"/>
      <c r="G389" s="432"/>
      <c r="H389" s="456"/>
      <c r="I389" s="456"/>
      <c r="J389" s="329"/>
      <c r="K389" s="432"/>
      <c r="L389" s="329"/>
      <c r="M389" s="329"/>
      <c r="N389" s="329"/>
      <c r="O389" s="330"/>
      <c r="P389" s="273" t="s">
        <v>327</v>
      </c>
      <c r="Q389" s="331"/>
      <c r="R389" s="455"/>
      <c r="S389" s="279"/>
      <c r="T389" s="334"/>
      <c r="U389" s="232"/>
      <c r="V389" s="334"/>
      <c r="W389" s="334"/>
      <c r="X389" s="334"/>
      <c r="Y389" s="334"/>
      <c r="Z389" s="457"/>
      <c r="AA389" s="458"/>
      <c r="AB389" s="459"/>
      <c r="AC389" s="460"/>
      <c r="AD389" s="459"/>
      <c r="AE389" s="461"/>
      <c r="AF389" s="457"/>
      <c r="AG389" s="331"/>
      <c r="AH389" s="462"/>
      <c r="AI389" s="463"/>
      <c r="AJ389" s="464"/>
      <c r="AK389" s="331"/>
      <c r="AL389" s="163"/>
      <c r="AM389" s="163"/>
      <c r="AN389" s="163"/>
      <c r="AO389" s="163"/>
      <c r="AP389" s="115"/>
      <c r="AQ389" s="115"/>
      <c r="AR389" s="115"/>
      <c r="AS389" s="115"/>
      <c r="AT389" s="116"/>
    </row>
    <row r="390" spans="1:46" ht="39" customHeight="1" x14ac:dyDescent="0.25">
      <c r="A390" s="1468">
        <v>389</v>
      </c>
      <c r="B390" s="128">
        <v>5</v>
      </c>
      <c r="C390" s="290" t="s">
        <v>288</v>
      </c>
      <c r="D390" s="344"/>
      <c r="E390" s="344" t="s">
        <v>47</v>
      </c>
      <c r="F390" s="344"/>
      <c r="G390" s="292" t="s">
        <v>289</v>
      </c>
      <c r="H390" s="346" t="s">
        <v>132</v>
      </c>
      <c r="I390" s="344">
        <v>144</v>
      </c>
      <c r="J390" s="256">
        <v>403</v>
      </c>
      <c r="K390" s="216"/>
      <c r="L390" s="288" t="s">
        <v>1526</v>
      </c>
      <c r="M390" s="288" t="s">
        <v>1526</v>
      </c>
      <c r="N390" s="374"/>
      <c r="O390" s="385" t="s">
        <v>1532</v>
      </c>
      <c r="P390" s="374"/>
      <c r="Q390" s="344" t="s">
        <v>293</v>
      </c>
      <c r="R390" s="982" t="s">
        <v>1531</v>
      </c>
      <c r="S390" s="279">
        <v>34785</v>
      </c>
      <c r="T390" s="197"/>
      <c r="U390" s="251" t="s">
        <v>54</v>
      </c>
      <c r="V390" s="250" t="s">
        <v>1922</v>
      </c>
      <c r="W390" s="197" t="s">
        <v>56</v>
      </c>
      <c r="X390" s="197" t="s">
        <v>57</v>
      </c>
      <c r="Y390" s="252" t="s">
        <v>1933</v>
      </c>
      <c r="Z390" s="252">
        <v>45133</v>
      </c>
      <c r="AA390" s="388"/>
      <c r="AB390" s="288"/>
      <c r="AC390" s="223"/>
      <c r="AD390" s="288"/>
      <c r="AE390" s="384"/>
      <c r="AF390" s="384"/>
      <c r="AG390" s="1357"/>
      <c r="AH390" s="283"/>
      <c r="AI390" s="254"/>
      <c r="AJ390" s="348" t="s">
        <v>560</v>
      </c>
      <c r="AK390" s="348">
        <v>3</v>
      </c>
      <c r="AL390" s="120" t="s">
        <v>336</v>
      </c>
      <c r="AM390" s="120" t="s">
        <v>267</v>
      </c>
      <c r="AN390" s="138"/>
      <c r="AO390" s="138"/>
      <c r="AP390" s="115"/>
      <c r="AQ390" s="115"/>
      <c r="AR390" s="115"/>
      <c r="AS390" s="115"/>
      <c r="AT390" s="115"/>
    </row>
    <row r="391" spans="1:46" ht="39" customHeight="1" x14ac:dyDescent="0.25">
      <c r="A391" s="1468">
        <v>390</v>
      </c>
      <c r="B391" s="141">
        <v>3</v>
      </c>
      <c r="C391" s="475" t="s">
        <v>290</v>
      </c>
      <c r="D391" s="476" t="s">
        <v>134</v>
      </c>
      <c r="E391" s="476"/>
      <c r="F391" s="476"/>
      <c r="G391" s="261" t="s">
        <v>291</v>
      </c>
      <c r="H391" s="262" t="s">
        <v>85</v>
      </c>
      <c r="I391" s="479"/>
      <c r="J391" s="245" t="s">
        <v>556</v>
      </c>
      <c r="K391" s="216"/>
      <c r="L391" s="288" t="s">
        <v>1526</v>
      </c>
      <c r="M391" s="288" t="s">
        <v>1526</v>
      </c>
      <c r="N391" s="374"/>
      <c r="O391" s="385" t="s">
        <v>1536</v>
      </c>
      <c r="P391" s="374"/>
      <c r="Q391" s="344" t="s">
        <v>293</v>
      </c>
      <c r="R391" s="982" t="s">
        <v>1535</v>
      </c>
      <c r="S391" s="279">
        <v>25570</v>
      </c>
      <c r="T391" s="197"/>
      <c r="U391" s="251" t="s">
        <v>54</v>
      </c>
      <c r="V391" s="250" t="s">
        <v>1922</v>
      </c>
      <c r="W391" s="197" t="s">
        <v>56</v>
      </c>
      <c r="X391" s="197" t="s">
        <v>57</v>
      </c>
      <c r="Y391" s="252" t="s">
        <v>1933</v>
      </c>
      <c r="Z391" s="246">
        <v>45141</v>
      </c>
      <c r="AA391" s="388"/>
      <c r="AB391" s="288"/>
      <c r="AC391" s="223"/>
      <c r="AD391" s="288"/>
      <c r="AE391" s="384"/>
      <c r="AF391" s="384"/>
      <c r="AG391" s="392"/>
      <c r="AH391" s="283"/>
      <c r="AI391" s="254"/>
      <c r="AJ391" s="348" t="s">
        <v>560</v>
      </c>
      <c r="AK391" s="241">
        <v>4</v>
      </c>
      <c r="AL391" s="168" t="s">
        <v>336</v>
      </c>
      <c r="AM391" s="168" t="s">
        <v>267</v>
      </c>
      <c r="AN391" s="110" t="s">
        <v>4184</v>
      </c>
      <c r="AO391" s="170"/>
      <c r="AP391" s="115"/>
      <c r="AQ391" s="115"/>
      <c r="AR391" s="115"/>
      <c r="AS391" s="115"/>
      <c r="AT391" s="115"/>
    </row>
    <row r="392" spans="1:46" ht="39" customHeight="1" x14ac:dyDescent="0.25">
      <c r="A392" s="1468">
        <v>391</v>
      </c>
      <c r="B392" s="141">
        <v>3</v>
      </c>
      <c r="C392" s="358" t="s">
        <v>297</v>
      </c>
      <c r="D392" s="241" t="s">
        <v>134</v>
      </c>
      <c r="E392" s="241"/>
      <c r="F392" s="241"/>
      <c r="G392" s="261" t="s">
        <v>298</v>
      </c>
      <c r="H392" s="262" t="s">
        <v>85</v>
      </c>
      <c r="I392" s="346"/>
      <c r="J392" s="245" t="s">
        <v>556</v>
      </c>
      <c r="K392" s="216"/>
      <c r="L392" s="288" t="s">
        <v>5916</v>
      </c>
      <c r="M392" s="288" t="s">
        <v>5916</v>
      </c>
      <c r="N392" s="216"/>
      <c r="O392" s="1470" t="s">
        <v>6049</v>
      </c>
      <c r="P392" s="387"/>
      <c r="Q392" s="373" t="s">
        <v>132</v>
      </c>
      <c r="R392" s="982" t="s">
        <v>6048</v>
      </c>
      <c r="S392" s="279">
        <v>32713</v>
      </c>
      <c r="T392" s="250"/>
      <c r="U392" s="250"/>
      <c r="V392" s="197"/>
      <c r="W392" s="197"/>
      <c r="X392" s="197"/>
      <c r="Y392" s="197"/>
      <c r="Z392" s="246"/>
      <c r="AA392" s="250"/>
      <c r="AB392" s="282"/>
      <c r="AC392" s="223"/>
      <c r="AD392" s="282"/>
      <c r="AE392" s="258"/>
      <c r="AF392" s="258"/>
      <c r="AG392" s="241"/>
      <c r="AH392" s="283"/>
      <c r="AI392" s="322"/>
      <c r="AJ392" s="348" t="s">
        <v>560</v>
      </c>
      <c r="AK392" s="241">
        <v>4</v>
      </c>
      <c r="AL392" s="120" t="s">
        <v>336</v>
      </c>
      <c r="AM392" s="120" t="s">
        <v>267</v>
      </c>
      <c r="AN392" s="138"/>
      <c r="AO392" s="138"/>
      <c r="AP392" s="115"/>
      <c r="AQ392" s="115"/>
      <c r="AR392" s="115"/>
      <c r="AS392" s="115"/>
      <c r="AT392" s="116"/>
    </row>
    <row r="393" spans="1:46" ht="39" customHeight="1" x14ac:dyDescent="0.25">
      <c r="A393" s="1468">
        <v>392</v>
      </c>
      <c r="B393" s="141">
        <v>2</v>
      </c>
      <c r="C393" s="260" t="s">
        <v>311</v>
      </c>
      <c r="D393" s="241"/>
      <c r="E393" s="241"/>
      <c r="F393" s="241"/>
      <c r="G393" s="261" t="s">
        <v>312</v>
      </c>
      <c r="H393" s="262" t="s">
        <v>85</v>
      </c>
      <c r="I393" s="346"/>
      <c r="J393" s="245" t="s">
        <v>556</v>
      </c>
      <c r="K393" s="216"/>
      <c r="L393" s="281"/>
      <c r="M393" s="281"/>
      <c r="N393" s="245"/>
      <c r="O393" s="216"/>
      <c r="P393" s="320"/>
      <c r="Q393" s="344"/>
      <c r="R393" s="982" t="s">
        <v>66</v>
      </c>
      <c r="S393" s="279"/>
      <c r="T393" s="250"/>
      <c r="U393" s="250"/>
      <c r="V393" s="250"/>
      <c r="W393" s="197"/>
      <c r="X393" s="197"/>
      <c r="Y393" s="197"/>
      <c r="Z393" s="246"/>
      <c r="AA393" s="246"/>
      <c r="AB393" s="281"/>
      <c r="AC393" s="223"/>
      <c r="AD393" s="281"/>
      <c r="AE393" s="258"/>
      <c r="AF393" s="258"/>
      <c r="AG393" s="241"/>
      <c r="AH393" s="283"/>
      <c r="AI393" s="296"/>
      <c r="AJ393" s="348"/>
      <c r="AK393" s="241">
        <v>4</v>
      </c>
      <c r="AL393" s="120" t="s">
        <v>336</v>
      </c>
      <c r="AM393" s="120" t="s">
        <v>267</v>
      </c>
      <c r="AN393" s="138"/>
      <c r="AO393" s="138"/>
      <c r="AP393" s="115"/>
      <c r="AQ393" s="115"/>
      <c r="AR393" s="115"/>
      <c r="AS393" s="115"/>
      <c r="AT393" s="115"/>
    </row>
    <row r="394" spans="1:46" ht="39" customHeight="1" x14ac:dyDescent="0.25">
      <c r="A394" s="1468">
        <v>393</v>
      </c>
      <c r="B394" s="141">
        <v>2</v>
      </c>
      <c r="C394" s="260" t="s">
        <v>317</v>
      </c>
      <c r="D394" s="241"/>
      <c r="E394" s="241"/>
      <c r="F394" s="241"/>
      <c r="G394" s="261" t="s">
        <v>318</v>
      </c>
      <c r="H394" s="262" t="s">
        <v>87</v>
      </c>
      <c r="I394" s="357"/>
      <c r="J394" s="245" t="s">
        <v>561</v>
      </c>
      <c r="K394" s="216"/>
      <c r="L394" s="301"/>
      <c r="M394" s="216"/>
      <c r="N394" s="366"/>
      <c r="O394" s="950" t="s">
        <v>5834</v>
      </c>
      <c r="P394" s="325"/>
      <c r="Q394" s="373" t="s">
        <v>293</v>
      </c>
      <c r="R394" s="982" t="s">
        <v>2747</v>
      </c>
      <c r="S394" s="279">
        <v>25689</v>
      </c>
      <c r="T394" s="306"/>
      <c r="U394" s="251" t="s">
        <v>54</v>
      </c>
      <c r="V394" s="250" t="s">
        <v>2793</v>
      </c>
      <c r="W394" s="197" t="s">
        <v>56</v>
      </c>
      <c r="X394" s="197" t="s">
        <v>57</v>
      </c>
      <c r="Y394" s="197" t="s">
        <v>2609</v>
      </c>
      <c r="Z394" s="246">
        <v>45141</v>
      </c>
      <c r="AA394" s="246"/>
      <c r="AB394" s="301"/>
      <c r="AC394" s="223"/>
      <c r="AD394" s="301"/>
      <c r="AE394" s="306"/>
      <c r="AF394" s="306"/>
      <c r="AG394" s="301"/>
      <c r="AH394" s="301"/>
      <c r="AI394" s="386"/>
      <c r="AJ394" s="348" t="s">
        <v>560</v>
      </c>
      <c r="AK394" s="241">
        <v>4</v>
      </c>
      <c r="AL394" s="120" t="s">
        <v>336</v>
      </c>
      <c r="AM394" s="120" t="s">
        <v>267</v>
      </c>
      <c r="AN394" s="110"/>
      <c r="AO394" s="151"/>
      <c r="AP394" s="115"/>
      <c r="AQ394" s="115"/>
      <c r="AR394" s="115"/>
      <c r="AS394" s="115"/>
      <c r="AT394" s="115"/>
    </row>
    <row r="395" spans="1:46" ht="39" customHeight="1" x14ac:dyDescent="0.25">
      <c r="A395" s="1468">
        <v>394</v>
      </c>
      <c r="B395" s="146">
        <v>2</v>
      </c>
      <c r="C395" s="260" t="s">
        <v>319</v>
      </c>
      <c r="D395" s="241"/>
      <c r="E395" s="241"/>
      <c r="F395" s="241"/>
      <c r="G395" s="261" t="s">
        <v>320</v>
      </c>
      <c r="H395" s="262" t="s">
        <v>87</v>
      </c>
      <c r="I395" s="357"/>
      <c r="J395" s="245" t="s">
        <v>561</v>
      </c>
      <c r="K395" s="684"/>
      <c r="L395" s="685"/>
      <c r="M395" s="685"/>
      <c r="N395" s="684"/>
      <c r="O395" s="950" t="s">
        <v>2234</v>
      </c>
      <c r="P395" s="684"/>
      <c r="Q395" s="344" t="s">
        <v>87</v>
      </c>
      <c r="R395" s="996" t="s">
        <v>2233</v>
      </c>
      <c r="S395" s="279">
        <v>34956</v>
      </c>
      <c r="T395" s="684"/>
      <c r="U395" s="251" t="s">
        <v>54</v>
      </c>
      <c r="V395" s="250" t="s">
        <v>2793</v>
      </c>
      <c r="W395" s="197" t="s">
        <v>56</v>
      </c>
      <c r="X395" s="197" t="s">
        <v>57</v>
      </c>
      <c r="Y395" s="197" t="s">
        <v>2609</v>
      </c>
      <c r="Z395" s="246">
        <v>45141</v>
      </c>
      <c r="AA395" s="684"/>
      <c r="AB395" s="1290"/>
      <c r="AC395" s="684"/>
      <c r="AD395" s="686"/>
      <c r="AE395" s="684"/>
      <c r="AF395" s="684"/>
      <c r="AG395" s="684"/>
      <c r="AH395" s="684"/>
      <c r="AI395" s="685"/>
      <c r="AJ395" s="348" t="s">
        <v>560</v>
      </c>
      <c r="AK395" s="241">
        <v>4</v>
      </c>
      <c r="AL395" s="120" t="s">
        <v>336</v>
      </c>
      <c r="AM395" s="120" t="s">
        <v>267</v>
      </c>
      <c r="AN395" s="110"/>
      <c r="AO395" s="110"/>
      <c r="AP395" s="115"/>
      <c r="AQ395" s="115"/>
      <c r="AR395" s="115"/>
      <c r="AS395" s="115"/>
      <c r="AT395" s="116"/>
    </row>
    <row r="396" spans="1:46" ht="39" customHeight="1" x14ac:dyDescent="0.25">
      <c r="A396" s="1468">
        <v>395</v>
      </c>
      <c r="B396" s="141">
        <v>2</v>
      </c>
      <c r="C396" s="378" t="s">
        <v>321</v>
      </c>
      <c r="D396" s="303"/>
      <c r="E396" s="241"/>
      <c r="F396" s="241"/>
      <c r="G396" s="261" t="s">
        <v>322</v>
      </c>
      <c r="H396" s="262" t="s">
        <v>87</v>
      </c>
      <c r="I396" s="357"/>
      <c r="J396" s="245" t="s">
        <v>561</v>
      </c>
      <c r="K396" s="684"/>
      <c r="L396" s="685"/>
      <c r="M396" s="685"/>
      <c r="N396" s="684"/>
      <c r="O396" s="950" t="s">
        <v>2519</v>
      </c>
      <c r="P396" s="684"/>
      <c r="Q396" s="344" t="s">
        <v>519</v>
      </c>
      <c r="R396" s="996" t="s">
        <v>2518</v>
      </c>
      <c r="S396" s="279">
        <v>30663</v>
      </c>
      <c r="T396" s="684"/>
      <c r="U396" s="251" t="s">
        <v>54</v>
      </c>
      <c r="V396" s="250" t="s">
        <v>2793</v>
      </c>
      <c r="W396" s="197" t="s">
        <v>56</v>
      </c>
      <c r="X396" s="197" t="s">
        <v>57</v>
      </c>
      <c r="Y396" s="197" t="s">
        <v>2609</v>
      </c>
      <c r="Z396" s="246">
        <v>45186</v>
      </c>
      <c r="AA396" s="684"/>
      <c r="AB396" s="1290"/>
      <c r="AC396" s="684"/>
      <c r="AD396" s="686"/>
      <c r="AE396" s="684"/>
      <c r="AF396" s="684"/>
      <c r="AG396" s="684"/>
      <c r="AH396" s="684"/>
      <c r="AI396" s="685"/>
      <c r="AJ396" s="348" t="s">
        <v>560</v>
      </c>
      <c r="AK396" s="241">
        <v>4</v>
      </c>
      <c r="AL396" s="120" t="s">
        <v>336</v>
      </c>
      <c r="AM396" s="120" t="s">
        <v>267</v>
      </c>
      <c r="AN396" s="151"/>
      <c r="AO396" s="151"/>
      <c r="AP396" s="115"/>
      <c r="AQ396" s="115"/>
      <c r="AR396" s="115"/>
      <c r="AS396" s="115"/>
      <c r="AT396" s="115"/>
    </row>
    <row r="397" spans="1:46" ht="39" customHeight="1" x14ac:dyDescent="0.25">
      <c r="A397" s="1468">
        <v>396</v>
      </c>
      <c r="B397" s="141">
        <v>1</v>
      </c>
      <c r="C397" s="469" t="s">
        <v>323</v>
      </c>
      <c r="D397" s="470"/>
      <c r="E397" s="471"/>
      <c r="F397" s="471"/>
      <c r="G397" s="472" t="s">
        <v>324</v>
      </c>
      <c r="H397" s="262" t="s">
        <v>87</v>
      </c>
      <c r="I397" s="473"/>
      <c r="J397" s="245" t="s">
        <v>561</v>
      </c>
      <c r="K397" s="277"/>
      <c r="L397" s="397"/>
      <c r="M397" s="277"/>
      <c r="N397" s="451"/>
      <c r="O397" s="950"/>
      <c r="P397" s="325"/>
      <c r="Q397" s="373"/>
      <c r="R397" s="982" t="s">
        <v>66</v>
      </c>
      <c r="S397" s="279"/>
      <c r="T397" s="452"/>
      <c r="U397" s="250"/>
      <c r="V397" s="250"/>
      <c r="W397" s="197"/>
      <c r="X397" s="197"/>
      <c r="Y397" s="197"/>
      <c r="Z397" s="246"/>
      <c r="AA397" s="486"/>
      <c r="AB397" s="397"/>
      <c r="AC397" s="488"/>
      <c r="AD397" s="397"/>
      <c r="AE397" s="452"/>
      <c r="AF397" s="452"/>
      <c r="AG397" s="397"/>
      <c r="AH397" s="397"/>
      <c r="AI397" s="523"/>
      <c r="AJ397" s="348"/>
      <c r="AK397" s="241">
        <v>4</v>
      </c>
      <c r="AL397" s="165" t="s">
        <v>336</v>
      </c>
      <c r="AM397" s="165" t="s">
        <v>267</v>
      </c>
      <c r="AN397" s="167"/>
      <c r="AO397" s="167"/>
      <c r="AP397" s="115"/>
      <c r="AQ397" s="115"/>
      <c r="AR397" s="115"/>
      <c r="AS397" s="115"/>
      <c r="AT397" s="115"/>
    </row>
    <row r="398" spans="1:46" ht="39" customHeight="1" x14ac:dyDescent="0.25">
      <c r="A398" s="1468">
        <v>397</v>
      </c>
      <c r="B398" s="161">
        <v>1</v>
      </c>
      <c r="C398" s="260" t="s">
        <v>325</v>
      </c>
      <c r="D398" s="241"/>
      <c r="E398" s="241"/>
      <c r="F398" s="241"/>
      <c r="G398" s="261" t="s">
        <v>324</v>
      </c>
      <c r="H398" s="262" t="s">
        <v>87</v>
      </c>
      <c r="I398" s="364"/>
      <c r="J398" s="245" t="s">
        <v>561</v>
      </c>
      <c r="K398" s="216"/>
      <c r="L398" s="216"/>
      <c r="M398" s="216"/>
      <c r="N398" s="245"/>
      <c r="O398" s="216"/>
      <c r="P398" s="247"/>
      <c r="Q398" s="344"/>
      <c r="R398" s="982" t="s">
        <v>66</v>
      </c>
      <c r="S398" s="279"/>
      <c r="T398" s="306"/>
      <c r="U398" s="250"/>
      <c r="V398" s="385"/>
      <c r="W398" s="280"/>
      <c r="X398" s="197"/>
      <c r="Y398" s="1119"/>
      <c r="Z398" s="252"/>
      <c r="AA398" s="252"/>
      <c r="AB398" s="281"/>
      <c r="AC398" s="223"/>
      <c r="AD398" s="281"/>
      <c r="AE398" s="252"/>
      <c r="AF398" s="252"/>
      <c r="AG398" s="282"/>
      <c r="AH398" s="283"/>
      <c r="AI398" s="296"/>
      <c r="AJ398" s="348"/>
      <c r="AK398" s="241">
        <v>4</v>
      </c>
      <c r="AL398" s="120" t="s">
        <v>336</v>
      </c>
      <c r="AM398" s="120" t="s">
        <v>267</v>
      </c>
      <c r="AN398" s="151"/>
      <c r="AO398" s="151"/>
      <c r="AP398" s="115"/>
      <c r="AQ398" s="115"/>
      <c r="AR398" s="115"/>
      <c r="AS398" s="115"/>
      <c r="AT398" s="115"/>
    </row>
    <row r="399" spans="1:46" ht="39" customHeight="1" x14ac:dyDescent="0.25">
      <c r="A399" s="1468">
        <v>398</v>
      </c>
      <c r="B399" s="117"/>
      <c r="C399" s="455"/>
      <c r="D399" s="331"/>
      <c r="E399" s="331"/>
      <c r="F399" s="331"/>
      <c r="G399" s="432"/>
      <c r="H399" s="456"/>
      <c r="I399" s="456"/>
      <c r="J399" s="329"/>
      <c r="K399" s="432"/>
      <c r="L399" s="329"/>
      <c r="M399" s="329"/>
      <c r="N399" s="329"/>
      <c r="O399" s="329"/>
      <c r="P399" s="273" t="s">
        <v>338</v>
      </c>
      <c r="Q399" s="331"/>
      <c r="R399" s="332"/>
      <c r="S399" s="279"/>
      <c r="T399" s="334"/>
      <c r="U399" s="334"/>
      <c r="V399" s="334"/>
      <c r="W399" s="334"/>
      <c r="X399" s="334"/>
      <c r="Y399" s="334"/>
      <c r="Z399" s="457"/>
      <c r="AA399" s="458"/>
      <c r="AB399" s="459"/>
      <c r="AC399" s="460"/>
      <c r="AD399" s="459"/>
      <c r="AE399" s="461"/>
      <c r="AF399" s="457"/>
      <c r="AG399" s="331"/>
      <c r="AH399" s="462"/>
      <c r="AI399" s="463"/>
      <c r="AJ399" s="464"/>
      <c r="AK399" s="331"/>
      <c r="AL399" s="163"/>
      <c r="AM399" s="163"/>
      <c r="AN399" s="163"/>
      <c r="AO399" s="163"/>
      <c r="AP399" s="115"/>
      <c r="AQ399" s="115"/>
      <c r="AR399" s="115"/>
      <c r="AS399" s="115"/>
      <c r="AT399" s="116"/>
    </row>
    <row r="400" spans="1:46" ht="39" customHeight="1" x14ac:dyDescent="0.25">
      <c r="A400" s="1468">
        <v>399</v>
      </c>
      <c r="B400" s="174">
        <v>14</v>
      </c>
      <c r="C400" s="240" t="s">
        <v>339</v>
      </c>
      <c r="D400" s="241"/>
      <c r="E400" s="242" t="s">
        <v>47</v>
      </c>
      <c r="F400" s="241"/>
      <c r="G400" s="243" t="s">
        <v>340</v>
      </c>
      <c r="H400" s="244" t="s">
        <v>78</v>
      </c>
      <c r="I400" s="244"/>
      <c r="J400" s="245">
        <v>300</v>
      </c>
      <c r="K400" s="216" t="s">
        <v>50</v>
      </c>
      <c r="L400" s="256" t="s">
        <v>1089</v>
      </c>
      <c r="M400" s="256" t="s">
        <v>1089</v>
      </c>
      <c r="N400" s="245"/>
      <c r="O400" s="216" t="s">
        <v>1090</v>
      </c>
      <c r="P400" s="247"/>
      <c r="Q400" s="338" t="s">
        <v>78</v>
      </c>
      <c r="R400" s="259" t="s">
        <v>1091</v>
      </c>
      <c r="S400" s="279">
        <v>31455</v>
      </c>
      <c r="T400" s="197"/>
      <c r="U400" s="251" t="s">
        <v>54</v>
      </c>
      <c r="V400" s="197" t="s">
        <v>55</v>
      </c>
      <c r="W400" s="197" t="s">
        <v>56</v>
      </c>
      <c r="X400" s="197" t="s">
        <v>57</v>
      </c>
      <c r="Y400" s="197" t="s">
        <v>58</v>
      </c>
      <c r="Z400" s="246">
        <v>44783</v>
      </c>
      <c r="AA400" s="197"/>
      <c r="AB400" s="281"/>
      <c r="AC400" s="223" t="s">
        <v>946</v>
      </c>
      <c r="AD400" s="281"/>
      <c r="AE400" s="258">
        <v>43635</v>
      </c>
      <c r="AF400" s="258">
        <v>44730</v>
      </c>
      <c r="AG400" s="241" t="s">
        <v>61</v>
      </c>
      <c r="AH400" s="283"/>
      <c r="AI400" s="296"/>
      <c r="AJ400" s="255" t="s">
        <v>62</v>
      </c>
      <c r="AK400" s="242">
        <v>1</v>
      </c>
      <c r="AL400" s="123" t="s">
        <v>341</v>
      </c>
      <c r="AM400" s="120" t="s">
        <v>267</v>
      </c>
      <c r="AN400" s="137"/>
      <c r="AO400" s="137"/>
      <c r="AP400" s="115"/>
      <c r="AQ400" s="115"/>
      <c r="AR400" s="115"/>
      <c r="AS400" s="115"/>
      <c r="AT400" s="115"/>
    </row>
    <row r="401" spans="1:46" ht="39" customHeight="1" x14ac:dyDescent="0.25">
      <c r="A401" s="1468">
        <v>400</v>
      </c>
      <c r="B401" s="131">
        <v>9</v>
      </c>
      <c r="C401" s="311" t="s">
        <v>284</v>
      </c>
      <c r="D401" s="241"/>
      <c r="E401" s="312" t="s">
        <v>47</v>
      </c>
      <c r="F401" s="241"/>
      <c r="G401" s="313" t="s">
        <v>285</v>
      </c>
      <c r="H401" s="314" t="s">
        <v>283</v>
      </c>
      <c r="I401" s="350"/>
      <c r="J401" s="281">
        <v>410</v>
      </c>
      <c r="K401" s="257"/>
      <c r="L401" s="299" t="s">
        <v>3482</v>
      </c>
      <c r="M401" s="299" t="s">
        <v>3973</v>
      </c>
      <c r="N401" s="245"/>
      <c r="O401" s="950" t="s">
        <v>3505</v>
      </c>
      <c r="P401" s="247" t="s">
        <v>1828</v>
      </c>
      <c r="Q401" s="344" t="s">
        <v>87</v>
      </c>
      <c r="R401" s="1166" t="s">
        <v>3504</v>
      </c>
      <c r="S401" s="279">
        <v>29480</v>
      </c>
      <c r="T401" s="289"/>
      <c r="U401" s="251" t="s">
        <v>54</v>
      </c>
      <c r="V401" s="197" t="s">
        <v>3564</v>
      </c>
      <c r="W401" s="197" t="s">
        <v>56</v>
      </c>
      <c r="X401" s="197" t="s">
        <v>57</v>
      </c>
      <c r="Y401" s="1146" t="s">
        <v>3563</v>
      </c>
      <c r="Z401" s="246">
        <v>45215</v>
      </c>
      <c r="AA401" s="281"/>
      <c r="AB401" s="245"/>
      <c r="AC401" s="223"/>
      <c r="AD401" s="245"/>
      <c r="AE401" s="289"/>
      <c r="AF401" s="289"/>
      <c r="AG401" s="241"/>
      <c r="AH401" s="253"/>
      <c r="AI401" s="284"/>
      <c r="AJ401" s="348" t="s">
        <v>560</v>
      </c>
      <c r="AK401" s="312">
        <v>2</v>
      </c>
      <c r="AL401" s="123" t="s">
        <v>341</v>
      </c>
      <c r="AM401" s="120" t="s">
        <v>267</v>
      </c>
      <c r="AN401" s="157"/>
      <c r="AO401" s="157"/>
      <c r="AP401" s="115"/>
      <c r="AQ401" s="115"/>
      <c r="AR401" s="115"/>
      <c r="AS401" s="115"/>
      <c r="AT401" s="115"/>
    </row>
    <row r="402" spans="1:46" ht="39" customHeight="1" x14ac:dyDescent="0.25">
      <c r="A402" s="1468">
        <v>401</v>
      </c>
      <c r="B402" s="117"/>
      <c r="C402" s="455"/>
      <c r="D402" s="331"/>
      <c r="E402" s="331"/>
      <c r="F402" s="331"/>
      <c r="G402" s="432"/>
      <c r="H402" s="456"/>
      <c r="I402" s="456"/>
      <c r="J402" s="329"/>
      <c r="K402" s="432"/>
      <c r="L402" s="329"/>
      <c r="M402" s="329"/>
      <c r="N402" s="329"/>
      <c r="O402" s="330"/>
      <c r="P402" s="273" t="s">
        <v>342</v>
      </c>
      <c r="Q402" s="331"/>
      <c r="R402" s="455"/>
      <c r="S402" s="279"/>
      <c r="T402" s="334"/>
      <c r="U402" s="334"/>
      <c r="V402" s="334"/>
      <c r="W402" s="369"/>
      <c r="X402" s="369"/>
      <c r="Y402" s="334"/>
      <c r="Z402" s="457"/>
      <c r="AA402" s="458"/>
      <c r="AB402" s="459"/>
      <c r="AC402" s="460"/>
      <c r="AD402" s="459"/>
      <c r="AE402" s="461"/>
      <c r="AF402" s="457"/>
      <c r="AG402" s="331"/>
      <c r="AH402" s="462"/>
      <c r="AI402" s="463"/>
      <c r="AJ402" s="464"/>
      <c r="AK402" s="331"/>
      <c r="AL402" s="163"/>
      <c r="AM402" s="163"/>
      <c r="AN402" s="163"/>
      <c r="AO402" s="163"/>
      <c r="AP402" s="115"/>
      <c r="AQ402" s="115"/>
      <c r="AR402" s="115"/>
      <c r="AS402" s="115"/>
      <c r="AT402" s="116"/>
    </row>
    <row r="403" spans="1:46" ht="39" customHeight="1" x14ac:dyDescent="0.25">
      <c r="A403" s="1468">
        <v>402</v>
      </c>
      <c r="B403" s="119">
        <v>10</v>
      </c>
      <c r="C403" s="240" t="s">
        <v>343</v>
      </c>
      <c r="D403" s="241"/>
      <c r="E403" s="242" t="s">
        <v>47</v>
      </c>
      <c r="F403" s="241"/>
      <c r="G403" s="243" t="s">
        <v>340</v>
      </c>
      <c r="H403" s="244" t="s">
        <v>83</v>
      </c>
      <c r="I403" s="340"/>
      <c r="J403" s="245">
        <v>302</v>
      </c>
      <c r="K403" s="197" t="s">
        <v>50</v>
      </c>
      <c r="L403" s="281"/>
      <c r="M403" s="281"/>
      <c r="N403" s="245"/>
      <c r="O403" s="1476" t="s">
        <v>3619</v>
      </c>
      <c r="P403" s="1197" t="s">
        <v>4016</v>
      </c>
      <c r="Q403" s="338" t="s">
        <v>83</v>
      </c>
      <c r="R403" s="990" t="s">
        <v>3618</v>
      </c>
      <c r="S403" s="279">
        <v>26373</v>
      </c>
      <c r="T403" s="197"/>
      <c r="U403" s="197"/>
      <c r="V403" s="197"/>
      <c r="W403" s="250"/>
      <c r="X403" s="197"/>
      <c r="Y403" s="949"/>
      <c r="Z403" s="252"/>
      <c r="AA403" s="252"/>
      <c r="AB403" s="574"/>
      <c r="AC403" s="223"/>
      <c r="AD403" s="376"/>
      <c r="AE403" s="575"/>
      <c r="AF403" s="252"/>
      <c r="AG403" s="241"/>
      <c r="AH403" s="283"/>
      <c r="AI403" s="386"/>
      <c r="AJ403" s="1014" t="s">
        <v>62</v>
      </c>
      <c r="AK403" s="242">
        <v>1</v>
      </c>
      <c r="AL403" s="123" t="s">
        <v>341</v>
      </c>
      <c r="AM403" s="120" t="s">
        <v>267</v>
      </c>
      <c r="AN403" s="137"/>
      <c r="AO403" s="137"/>
      <c r="AP403" s="115"/>
      <c r="AQ403" s="115"/>
      <c r="AR403" s="115"/>
      <c r="AS403" s="115"/>
      <c r="AT403" s="115"/>
    </row>
    <row r="404" spans="1:46" ht="39" customHeight="1" x14ac:dyDescent="0.25">
      <c r="A404" s="1468">
        <v>403</v>
      </c>
      <c r="B404" s="128">
        <v>7</v>
      </c>
      <c r="C404" s="497" t="s">
        <v>344</v>
      </c>
      <c r="D404" s="498"/>
      <c r="E404" s="498" t="s">
        <v>47</v>
      </c>
      <c r="F404" s="498"/>
      <c r="G404" s="499" t="s">
        <v>345</v>
      </c>
      <c r="H404" s="500" t="s">
        <v>132</v>
      </c>
      <c r="I404" s="479"/>
      <c r="J404" s="256">
        <v>403</v>
      </c>
      <c r="K404" s="277" t="s">
        <v>144</v>
      </c>
      <c r="L404" s="441" t="s">
        <v>1292</v>
      </c>
      <c r="M404" s="216" t="s">
        <v>4590</v>
      </c>
      <c r="N404" s="276"/>
      <c r="O404" s="277" t="s">
        <v>1293</v>
      </c>
      <c r="P404" s="848"/>
      <c r="Q404" s="344" t="s">
        <v>132</v>
      </c>
      <c r="R404" s="998" t="s">
        <v>1294</v>
      </c>
      <c r="S404" s="279">
        <v>35434</v>
      </c>
      <c r="T404" s="443"/>
      <c r="U404" s="251" t="s">
        <v>54</v>
      </c>
      <c r="V404" s="280" t="s">
        <v>55</v>
      </c>
      <c r="W404" s="280" t="s">
        <v>56</v>
      </c>
      <c r="X404" s="280" t="s">
        <v>57</v>
      </c>
      <c r="Y404" s="197" t="s">
        <v>58</v>
      </c>
      <c r="Z404" s="486">
        <v>44783</v>
      </c>
      <c r="AA404" s="486"/>
      <c r="AB404" s="441"/>
      <c r="AC404" s="488" t="s">
        <v>946</v>
      </c>
      <c r="AD404" s="441"/>
      <c r="AE404" s="494">
        <v>44179</v>
      </c>
      <c r="AF404" s="494">
        <v>46004</v>
      </c>
      <c r="AG404" s="476" t="s">
        <v>61</v>
      </c>
      <c r="AH404" s="489"/>
      <c r="AI404" s="866"/>
      <c r="AJ404" s="491" t="s">
        <v>560</v>
      </c>
      <c r="AK404" s="348">
        <v>3</v>
      </c>
      <c r="AL404" s="175" t="s">
        <v>341</v>
      </c>
      <c r="AM404" s="168" t="s">
        <v>267</v>
      </c>
      <c r="AN404" s="170"/>
      <c r="AO404" s="170"/>
      <c r="AP404" s="115"/>
      <c r="AQ404" s="115"/>
      <c r="AR404" s="115"/>
      <c r="AS404" s="115"/>
      <c r="AT404" s="115"/>
    </row>
    <row r="405" spans="1:46" ht="39" customHeight="1" x14ac:dyDescent="0.25">
      <c r="A405" s="1468">
        <v>404</v>
      </c>
      <c r="B405" s="117">
        <v>3</v>
      </c>
      <c r="C405" s="260" t="s">
        <v>346</v>
      </c>
      <c r="D405" s="241"/>
      <c r="E405" s="241"/>
      <c r="F405" s="241"/>
      <c r="G405" s="261" t="s">
        <v>347</v>
      </c>
      <c r="H405" s="262" t="s">
        <v>85</v>
      </c>
      <c r="I405" s="357"/>
      <c r="J405" s="245" t="s">
        <v>556</v>
      </c>
      <c r="K405" s="216"/>
      <c r="L405" s="281"/>
      <c r="M405" s="216" t="s">
        <v>4590</v>
      </c>
      <c r="N405" s="366"/>
      <c r="O405" s="216" t="s">
        <v>2689</v>
      </c>
      <c r="P405" s="402"/>
      <c r="Q405" s="344" t="s">
        <v>293</v>
      </c>
      <c r="R405" s="982" t="s">
        <v>2688</v>
      </c>
      <c r="S405" s="279">
        <v>33180</v>
      </c>
      <c r="T405" s="257"/>
      <c r="U405" s="251" t="s">
        <v>54</v>
      </c>
      <c r="V405" s="250" t="s">
        <v>5926</v>
      </c>
      <c r="W405" s="1127" t="s">
        <v>5852</v>
      </c>
      <c r="X405" s="289" t="s">
        <v>5927</v>
      </c>
      <c r="Y405" s="981" t="s">
        <v>5853</v>
      </c>
      <c r="Z405" s="252">
        <v>45299</v>
      </c>
      <c r="AA405" s="374"/>
      <c r="AB405" s="257"/>
      <c r="AC405" s="223"/>
      <c r="AD405" s="257"/>
      <c r="AE405" s="289"/>
      <c r="AF405" s="289"/>
      <c r="AG405" s="241"/>
      <c r="AH405" s="299"/>
      <c r="AI405" s="254"/>
      <c r="AJ405" s="348" t="s">
        <v>560</v>
      </c>
      <c r="AK405" s="241">
        <v>4</v>
      </c>
      <c r="AL405" s="123" t="s">
        <v>341</v>
      </c>
      <c r="AM405" s="120" t="s">
        <v>267</v>
      </c>
      <c r="AN405" s="151"/>
      <c r="AO405" s="151"/>
      <c r="AP405" s="115"/>
      <c r="AQ405" s="115"/>
      <c r="AR405" s="115"/>
      <c r="AS405" s="115"/>
      <c r="AT405" s="115"/>
    </row>
    <row r="406" spans="1:46" ht="39" customHeight="1" x14ac:dyDescent="0.25">
      <c r="A406" s="1468">
        <v>405</v>
      </c>
      <c r="B406" s="161">
        <v>3</v>
      </c>
      <c r="C406" s="501" t="s">
        <v>348</v>
      </c>
      <c r="D406" s="241"/>
      <c r="E406" s="241"/>
      <c r="F406" s="241"/>
      <c r="G406" s="261" t="s">
        <v>349</v>
      </c>
      <c r="H406" s="262" t="s">
        <v>85</v>
      </c>
      <c r="I406" s="364"/>
      <c r="J406" s="245" t="s">
        <v>556</v>
      </c>
      <c r="K406" s="296"/>
      <c r="L406" s="197"/>
      <c r="M406" s="216" t="s">
        <v>4590</v>
      </c>
      <c r="N406" s="245"/>
      <c r="O406" s="216" t="s">
        <v>2763</v>
      </c>
      <c r="P406" s="247"/>
      <c r="Q406" s="344" t="s">
        <v>293</v>
      </c>
      <c r="R406" s="982" t="s">
        <v>2762</v>
      </c>
      <c r="S406" s="279">
        <v>26523</v>
      </c>
      <c r="T406" s="307"/>
      <c r="U406" s="251" t="s">
        <v>54</v>
      </c>
      <c r="V406" s="250" t="s">
        <v>2793</v>
      </c>
      <c r="W406" s="197" t="s">
        <v>56</v>
      </c>
      <c r="X406" s="197" t="s">
        <v>57</v>
      </c>
      <c r="Y406" s="197" t="s">
        <v>2609</v>
      </c>
      <c r="Z406" s="246">
        <v>45141</v>
      </c>
      <c r="AA406" s="246"/>
      <c r="AB406" s="250"/>
      <c r="AC406" s="223"/>
      <c r="AD406" s="299"/>
      <c r="AE406" s="246"/>
      <c r="AF406" s="246"/>
      <c r="AG406" s="241"/>
      <c r="AH406" s="253"/>
      <c r="AI406" s="254"/>
      <c r="AJ406" s="348" t="s">
        <v>560</v>
      </c>
      <c r="AK406" s="241">
        <v>4</v>
      </c>
      <c r="AL406" s="123" t="s">
        <v>341</v>
      </c>
      <c r="AM406" s="120" t="s">
        <v>267</v>
      </c>
      <c r="AN406" s="151" t="s">
        <v>5764</v>
      </c>
      <c r="AO406" s="151"/>
      <c r="AP406" s="115"/>
      <c r="AQ406" s="115"/>
      <c r="AR406" s="115"/>
      <c r="AS406" s="115"/>
      <c r="AT406" s="115"/>
    </row>
    <row r="407" spans="1:46" ht="39" customHeight="1" x14ac:dyDescent="0.25">
      <c r="A407" s="1468">
        <v>406</v>
      </c>
      <c r="B407" s="146">
        <v>2</v>
      </c>
      <c r="C407" s="260" t="s">
        <v>319</v>
      </c>
      <c r="D407" s="241"/>
      <c r="E407" s="241"/>
      <c r="F407" s="241"/>
      <c r="G407" s="261" t="s">
        <v>350</v>
      </c>
      <c r="H407" s="262" t="s">
        <v>87</v>
      </c>
      <c r="I407" s="357"/>
      <c r="J407" s="245" t="s">
        <v>561</v>
      </c>
      <c r="K407" s="684"/>
      <c r="L407" s="245" t="s">
        <v>2524</v>
      </c>
      <c r="M407" s="245" t="s">
        <v>2524</v>
      </c>
      <c r="N407" s="1234" t="s">
        <v>4212</v>
      </c>
      <c r="O407" s="250" t="s">
        <v>2523</v>
      </c>
      <c r="P407" s="706" t="s">
        <v>1828</v>
      </c>
      <c r="Q407" s="485" t="s">
        <v>293</v>
      </c>
      <c r="R407" s="998" t="s">
        <v>2522</v>
      </c>
      <c r="S407" s="279">
        <v>29362</v>
      </c>
      <c r="T407" s="684"/>
      <c r="U407" s="251" t="s">
        <v>54</v>
      </c>
      <c r="V407" s="950" t="s">
        <v>3484</v>
      </c>
      <c r="W407" s="268" t="s">
        <v>56</v>
      </c>
      <c r="X407" s="268" t="s">
        <v>57</v>
      </c>
      <c r="Y407" s="197" t="s">
        <v>2609</v>
      </c>
      <c r="Z407" s="252">
        <v>45202</v>
      </c>
      <c r="AA407" s="252"/>
      <c r="AB407" s="1290"/>
      <c r="AC407" s="684"/>
      <c r="AD407" s="686"/>
      <c r="AE407" s="684"/>
      <c r="AF407" s="684"/>
      <c r="AG407" s="684"/>
      <c r="AH407" s="684"/>
      <c r="AI407" s="685"/>
      <c r="AJ407" s="491" t="s">
        <v>560</v>
      </c>
      <c r="AK407" s="241">
        <v>4</v>
      </c>
      <c r="AL407" s="123" t="s">
        <v>341</v>
      </c>
      <c r="AM407" s="120" t="s">
        <v>267</v>
      </c>
      <c r="AN407" s="151"/>
      <c r="AO407" s="151"/>
      <c r="AP407" s="115"/>
      <c r="AQ407" s="115"/>
      <c r="AR407" s="115"/>
      <c r="AS407" s="115"/>
      <c r="AT407" s="115"/>
    </row>
    <row r="408" spans="1:46" ht="39" customHeight="1" x14ac:dyDescent="0.25">
      <c r="A408" s="1468">
        <v>407</v>
      </c>
      <c r="B408" s="146">
        <v>2</v>
      </c>
      <c r="C408" s="260" t="s">
        <v>319</v>
      </c>
      <c r="D408" s="241"/>
      <c r="E408" s="241"/>
      <c r="F408" s="241"/>
      <c r="G408" s="261" t="s">
        <v>350</v>
      </c>
      <c r="H408" s="262" t="s">
        <v>87</v>
      </c>
      <c r="I408" s="357"/>
      <c r="J408" s="245" t="s">
        <v>561</v>
      </c>
      <c r="K408" s="216"/>
      <c r="L408" s="216"/>
      <c r="M408" s="216"/>
      <c r="N408" s="366"/>
      <c r="O408" s="216" t="s">
        <v>2288</v>
      </c>
      <c r="P408" s="402"/>
      <c r="Q408" s="344" t="s">
        <v>87</v>
      </c>
      <c r="R408" s="982" t="s">
        <v>2287</v>
      </c>
      <c r="S408" s="279">
        <v>31558</v>
      </c>
      <c r="T408" s="257"/>
      <c r="U408" s="251" t="s">
        <v>54</v>
      </c>
      <c r="V408" s="250" t="s">
        <v>2793</v>
      </c>
      <c r="W408" s="197" t="s">
        <v>56</v>
      </c>
      <c r="X408" s="197" t="s">
        <v>57</v>
      </c>
      <c r="Y408" s="197" t="s">
        <v>2609</v>
      </c>
      <c r="Z408" s="246">
        <v>45141</v>
      </c>
      <c r="AA408" s="252"/>
      <c r="AB408" s="257"/>
      <c r="AC408" s="223"/>
      <c r="AD408" s="257"/>
      <c r="AE408" s="306"/>
      <c r="AF408" s="306"/>
      <c r="AG408" s="385"/>
      <c r="AH408" s="299"/>
      <c r="AI408" s="254"/>
      <c r="AJ408" s="348" t="s">
        <v>560</v>
      </c>
      <c r="AK408" s="241">
        <v>4</v>
      </c>
      <c r="AL408" s="123" t="s">
        <v>341</v>
      </c>
      <c r="AM408" s="120" t="s">
        <v>267</v>
      </c>
      <c r="AN408" s="151"/>
      <c r="AO408" s="151"/>
      <c r="AP408" s="115"/>
      <c r="AQ408" s="115"/>
      <c r="AR408" s="115"/>
      <c r="AS408" s="115"/>
      <c r="AT408" s="115"/>
    </row>
    <row r="409" spans="1:46" ht="39" customHeight="1" x14ac:dyDescent="0.25">
      <c r="A409" s="1468">
        <v>408</v>
      </c>
      <c r="B409" s="128">
        <v>4</v>
      </c>
      <c r="C409" s="290" t="s">
        <v>351</v>
      </c>
      <c r="D409" s="291"/>
      <c r="E409" s="291" t="s">
        <v>47</v>
      </c>
      <c r="F409" s="291"/>
      <c r="G409" s="292" t="s">
        <v>352</v>
      </c>
      <c r="H409" s="293" t="s">
        <v>132</v>
      </c>
      <c r="I409" s="346"/>
      <c r="J409" s="256">
        <v>403</v>
      </c>
      <c r="K409" s="197"/>
      <c r="L409" s="216"/>
      <c r="M409" s="216" t="s">
        <v>4590</v>
      </c>
      <c r="N409" s="366"/>
      <c r="O409" s="216" t="s">
        <v>2655</v>
      </c>
      <c r="P409" s="402"/>
      <c r="Q409" s="344" t="s">
        <v>293</v>
      </c>
      <c r="R409" s="1409" t="s">
        <v>2654</v>
      </c>
      <c r="S409" s="279">
        <v>33472</v>
      </c>
      <c r="T409" s="250"/>
      <c r="U409" s="250"/>
      <c r="V409" s="250"/>
      <c r="W409" s="197" t="s">
        <v>4076</v>
      </c>
      <c r="X409" s="197"/>
      <c r="Y409" s="197"/>
      <c r="Z409" s="246"/>
      <c r="AA409" s="252"/>
      <c r="AB409" s="301"/>
      <c r="AC409" s="223"/>
      <c r="AD409" s="301"/>
      <c r="AE409" s="306"/>
      <c r="AF409" s="306"/>
      <c r="AG409" s="282"/>
      <c r="AH409" s="301"/>
      <c r="AI409" s="254"/>
      <c r="AJ409" s="348" t="s">
        <v>560</v>
      </c>
      <c r="AK409" s="348">
        <v>3</v>
      </c>
      <c r="AL409" s="123" t="s">
        <v>341</v>
      </c>
      <c r="AM409" s="120" t="s">
        <v>267</v>
      </c>
      <c r="AN409" s="138"/>
      <c r="AO409" s="138"/>
      <c r="AP409" s="115"/>
      <c r="AQ409" s="115"/>
      <c r="AR409" s="115"/>
      <c r="AS409" s="115"/>
      <c r="AT409" s="115"/>
    </row>
    <row r="410" spans="1:46" ht="39" customHeight="1" x14ac:dyDescent="0.25">
      <c r="A410" s="1468">
        <v>409</v>
      </c>
      <c r="B410" s="117">
        <v>3</v>
      </c>
      <c r="C410" s="260" t="s">
        <v>346</v>
      </c>
      <c r="D410" s="241"/>
      <c r="E410" s="241"/>
      <c r="F410" s="241"/>
      <c r="G410" s="261" t="s">
        <v>347</v>
      </c>
      <c r="H410" s="262" t="s">
        <v>85</v>
      </c>
      <c r="I410" s="357"/>
      <c r="J410" s="245" t="s">
        <v>556</v>
      </c>
      <c r="K410" s="684"/>
      <c r="L410" s="685"/>
      <c r="M410" s="685"/>
      <c r="N410" s="684"/>
      <c r="O410" s="216" t="s">
        <v>2402</v>
      </c>
      <c r="P410" s="402" t="s">
        <v>1828</v>
      </c>
      <c r="Q410" s="373" t="s">
        <v>570</v>
      </c>
      <c r="R410" s="982" t="s">
        <v>2401</v>
      </c>
      <c r="S410" s="279">
        <v>27967</v>
      </c>
      <c r="T410" s="684"/>
      <c r="U410" s="251" t="s">
        <v>54</v>
      </c>
      <c r="V410" s="250" t="s">
        <v>4047</v>
      </c>
      <c r="W410" s="197" t="s">
        <v>70</v>
      </c>
      <c r="X410" s="289" t="s">
        <v>71</v>
      </c>
      <c r="Y410" s="288" t="s">
        <v>4218</v>
      </c>
      <c r="Z410" s="252">
        <v>45232</v>
      </c>
      <c r="AA410" s="252"/>
      <c r="AB410" s="1290"/>
      <c r="AC410" s="684"/>
      <c r="AD410" s="686"/>
      <c r="AE410" s="494"/>
      <c r="AF410" s="494"/>
      <c r="AG410" s="684"/>
      <c r="AH410" s="684"/>
      <c r="AI410" s="685"/>
      <c r="AJ410" s="348" t="s">
        <v>560</v>
      </c>
      <c r="AK410" s="241">
        <v>4</v>
      </c>
      <c r="AL410" s="123" t="s">
        <v>341</v>
      </c>
      <c r="AM410" s="120" t="s">
        <v>267</v>
      </c>
      <c r="AN410" s="110"/>
      <c r="AO410" s="110"/>
      <c r="AP410" s="115"/>
      <c r="AQ410" s="115"/>
      <c r="AR410" s="115"/>
      <c r="AS410" s="115"/>
      <c r="AT410" s="115"/>
    </row>
    <row r="411" spans="1:46" ht="39" customHeight="1" x14ac:dyDescent="0.25">
      <c r="A411" s="1468">
        <v>410</v>
      </c>
      <c r="B411" s="146">
        <v>2</v>
      </c>
      <c r="C411" s="260" t="s">
        <v>319</v>
      </c>
      <c r="D411" s="241"/>
      <c r="E411" s="241"/>
      <c r="F411" s="241"/>
      <c r="G411" s="261" t="s">
        <v>350</v>
      </c>
      <c r="H411" s="262" t="s">
        <v>87</v>
      </c>
      <c r="I411" s="357"/>
      <c r="J411" s="245" t="s">
        <v>561</v>
      </c>
      <c r="K411" s="216"/>
      <c r="L411" s="250" t="s">
        <v>2797</v>
      </c>
      <c r="M411" s="216" t="s">
        <v>4590</v>
      </c>
      <c r="N411" s="366"/>
      <c r="O411" s="216" t="s">
        <v>2673</v>
      </c>
      <c r="P411" s="402"/>
      <c r="Q411" s="344" t="s">
        <v>87</v>
      </c>
      <c r="R411" s="982" t="s">
        <v>2672</v>
      </c>
      <c r="S411" s="279">
        <v>31937</v>
      </c>
      <c r="T411" s="289"/>
      <c r="U411" s="251" t="s">
        <v>54</v>
      </c>
      <c r="V411" s="250" t="s">
        <v>2793</v>
      </c>
      <c r="W411" s="197" t="s">
        <v>56</v>
      </c>
      <c r="X411" s="197" t="s">
        <v>57</v>
      </c>
      <c r="Y411" s="197" t="s">
        <v>2609</v>
      </c>
      <c r="Z411" s="246">
        <v>45141</v>
      </c>
      <c r="AA411" s="252"/>
      <c r="AB411" s="301"/>
      <c r="AC411" s="223"/>
      <c r="AD411" s="301"/>
      <c r="AE411" s="306"/>
      <c r="AF411" s="306"/>
      <c r="AG411" s="301"/>
      <c r="AH411" s="301"/>
      <c r="AI411" s="223"/>
      <c r="AJ411" s="348" t="s">
        <v>560</v>
      </c>
      <c r="AK411" s="241">
        <v>4</v>
      </c>
      <c r="AL411" s="123" t="s">
        <v>341</v>
      </c>
      <c r="AM411" s="120" t="s">
        <v>267</v>
      </c>
      <c r="AN411" s="151"/>
      <c r="AO411" s="151"/>
      <c r="AP411" s="115"/>
      <c r="AQ411" s="115"/>
      <c r="AR411" s="115"/>
      <c r="AS411" s="115"/>
      <c r="AT411" s="115"/>
    </row>
    <row r="412" spans="1:46" ht="39" customHeight="1" x14ac:dyDescent="0.25">
      <c r="A412" s="1468">
        <v>411</v>
      </c>
      <c r="B412" s="146">
        <v>2</v>
      </c>
      <c r="C412" s="260" t="s">
        <v>319</v>
      </c>
      <c r="D412" s="241"/>
      <c r="E412" s="241"/>
      <c r="F412" s="241"/>
      <c r="G412" s="261" t="s">
        <v>350</v>
      </c>
      <c r="H412" s="262" t="s">
        <v>87</v>
      </c>
      <c r="I412" s="357"/>
      <c r="J412" s="245" t="s">
        <v>561</v>
      </c>
      <c r="K412" s="684"/>
      <c r="L412" s="301" t="s">
        <v>2800</v>
      </c>
      <c r="M412" s="216" t="s">
        <v>4590</v>
      </c>
      <c r="N412" s="684"/>
      <c r="O412" s="950" t="s">
        <v>2228</v>
      </c>
      <c r="P412" s="325"/>
      <c r="Q412" s="344" t="s">
        <v>87</v>
      </c>
      <c r="R412" s="834" t="s">
        <v>2227</v>
      </c>
      <c r="S412" s="279">
        <v>34426</v>
      </c>
      <c r="T412" s="684"/>
      <c r="U412" s="251" t="s">
        <v>54</v>
      </c>
      <c r="V412" s="250" t="s">
        <v>2793</v>
      </c>
      <c r="W412" s="197" t="s">
        <v>56</v>
      </c>
      <c r="X412" s="197" t="s">
        <v>57</v>
      </c>
      <c r="Y412" s="197" t="s">
        <v>2609</v>
      </c>
      <c r="Z412" s="246">
        <v>45141</v>
      </c>
      <c r="AA412" s="684"/>
      <c r="AB412" s="1290"/>
      <c r="AC412" s="684"/>
      <c r="AD412" s="686"/>
      <c r="AE412" s="684"/>
      <c r="AF412" s="684"/>
      <c r="AG412" s="684"/>
      <c r="AH412" s="684"/>
      <c r="AI412" s="685"/>
      <c r="AJ412" s="743" t="s">
        <v>560</v>
      </c>
      <c r="AK412" s="241">
        <v>4</v>
      </c>
      <c r="AL412" s="123" t="s">
        <v>341</v>
      </c>
      <c r="AM412" s="120" t="s">
        <v>267</v>
      </c>
      <c r="AN412" s="151"/>
      <c r="AO412" s="151"/>
      <c r="AP412" s="115"/>
      <c r="AQ412" s="115"/>
      <c r="AR412" s="115"/>
      <c r="AS412" s="115"/>
      <c r="AT412" s="115"/>
    </row>
    <row r="413" spans="1:46" ht="39" customHeight="1" x14ac:dyDescent="0.25">
      <c r="A413" s="1468">
        <v>412</v>
      </c>
      <c r="B413" s="117">
        <v>2</v>
      </c>
      <c r="C413" s="501" t="s">
        <v>353</v>
      </c>
      <c r="D413" s="241"/>
      <c r="E413" s="241"/>
      <c r="F413" s="241"/>
      <c r="G413" s="261" t="s">
        <v>354</v>
      </c>
      <c r="H413" s="262" t="s">
        <v>87</v>
      </c>
      <c r="I413" s="357"/>
      <c r="J413" s="245" t="s">
        <v>561</v>
      </c>
      <c r="K413" s="197"/>
      <c r="L413" s="256"/>
      <c r="M413" s="216" t="s">
        <v>4590</v>
      </c>
      <c r="N413" s="245"/>
      <c r="O413" s="950" t="s">
        <v>2677</v>
      </c>
      <c r="P413" s="402"/>
      <c r="Q413" s="344" t="s">
        <v>87</v>
      </c>
      <c r="R413" s="982" t="s">
        <v>2676</v>
      </c>
      <c r="S413" s="279">
        <v>32801</v>
      </c>
      <c r="T413" s="250"/>
      <c r="U413" s="251" t="s">
        <v>54</v>
      </c>
      <c r="V413" s="250" t="s">
        <v>2793</v>
      </c>
      <c r="W413" s="197" t="s">
        <v>56</v>
      </c>
      <c r="X413" s="197" t="s">
        <v>57</v>
      </c>
      <c r="Y413" s="197" t="s">
        <v>2609</v>
      </c>
      <c r="Z413" s="246">
        <v>45141</v>
      </c>
      <c r="AA413" s="252"/>
      <c r="AB413" s="281"/>
      <c r="AC413" s="281"/>
      <c r="AD413" s="281"/>
      <c r="AE413" s="252"/>
      <c r="AF413" s="252"/>
      <c r="AG413" s="282"/>
      <c r="AH413" s="282"/>
      <c r="AI413" s="296"/>
      <c r="AJ413" s="348" t="s">
        <v>560</v>
      </c>
      <c r="AK413" s="241">
        <v>4</v>
      </c>
      <c r="AL413" s="123" t="s">
        <v>341</v>
      </c>
      <c r="AM413" s="120" t="s">
        <v>267</v>
      </c>
      <c r="AN413" s="151" t="s">
        <v>5764</v>
      </c>
      <c r="AO413" s="151"/>
      <c r="AP413" s="115"/>
      <c r="AQ413" s="115"/>
      <c r="AR413" s="115"/>
      <c r="AS413" s="115"/>
      <c r="AT413" s="115"/>
    </row>
    <row r="414" spans="1:46" ht="39" customHeight="1" x14ac:dyDescent="0.25">
      <c r="A414" s="1468">
        <v>413</v>
      </c>
      <c r="B414" s="158">
        <v>4</v>
      </c>
      <c r="C414" s="290" t="s">
        <v>351</v>
      </c>
      <c r="D414" s="291"/>
      <c r="E414" s="291" t="s">
        <v>47</v>
      </c>
      <c r="F414" s="291"/>
      <c r="G414" s="292" t="s">
        <v>352</v>
      </c>
      <c r="H414" s="370" t="s">
        <v>132</v>
      </c>
      <c r="I414" s="371"/>
      <c r="J414" s="256">
        <v>403</v>
      </c>
      <c r="K414" s="216"/>
      <c r="L414" s="250"/>
      <c r="M414" s="216" t="s">
        <v>4590</v>
      </c>
      <c r="N414" s="366"/>
      <c r="O414" s="216" t="s">
        <v>2675</v>
      </c>
      <c r="P414" s="402"/>
      <c r="Q414" s="344" t="s">
        <v>293</v>
      </c>
      <c r="R414" s="982" t="s">
        <v>2674</v>
      </c>
      <c r="S414" s="279">
        <v>31894</v>
      </c>
      <c r="T414" s="257"/>
      <c r="U414" s="251" t="s">
        <v>54</v>
      </c>
      <c r="V414" s="250" t="s">
        <v>2793</v>
      </c>
      <c r="W414" s="197" t="s">
        <v>56</v>
      </c>
      <c r="X414" s="197" t="s">
        <v>57</v>
      </c>
      <c r="Y414" s="197" t="s">
        <v>2609</v>
      </c>
      <c r="Z414" s="246">
        <v>45141</v>
      </c>
      <c r="AA414" s="252"/>
      <c r="AB414" s="257"/>
      <c r="AC414" s="223"/>
      <c r="AD414" s="299"/>
      <c r="AE414" s="289"/>
      <c r="AF414" s="289"/>
      <c r="AG414" s="241"/>
      <c r="AH414" s="281"/>
      <c r="AI414" s="254"/>
      <c r="AJ414" s="348" t="s">
        <v>560</v>
      </c>
      <c r="AK414" s="348">
        <v>3</v>
      </c>
      <c r="AL414" s="123" t="s">
        <v>341</v>
      </c>
      <c r="AM414" s="120" t="s">
        <v>267</v>
      </c>
      <c r="AN414" s="138"/>
      <c r="AO414" s="138"/>
      <c r="AP414" s="115"/>
      <c r="AQ414" s="115"/>
      <c r="AR414" s="115"/>
      <c r="AS414" s="115"/>
      <c r="AT414" s="115"/>
    </row>
    <row r="415" spans="1:46" ht="39" customHeight="1" x14ac:dyDescent="0.25">
      <c r="A415" s="1468">
        <v>414</v>
      </c>
      <c r="B415" s="117">
        <v>3</v>
      </c>
      <c r="C415" s="260" t="s">
        <v>346</v>
      </c>
      <c r="D415" s="241"/>
      <c r="E415" s="241"/>
      <c r="F415" s="241"/>
      <c r="G415" s="261" t="s">
        <v>347</v>
      </c>
      <c r="H415" s="262" t="s">
        <v>85</v>
      </c>
      <c r="I415" s="357"/>
      <c r="J415" s="245" t="s">
        <v>556</v>
      </c>
      <c r="K415" s="684"/>
      <c r="L415" s="685"/>
      <c r="M415" s="216" t="s">
        <v>4590</v>
      </c>
      <c r="N415" s="684"/>
      <c r="O415" s="216" t="s">
        <v>2721</v>
      </c>
      <c r="P415" s="325"/>
      <c r="Q415" s="344" t="s">
        <v>293</v>
      </c>
      <c r="R415" s="982" t="s">
        <v>2720</v>
      </c>
      <c r="S415" s="279">
        <v>27257</v>
      </c>
      <c r="T415" s="684"/>
      <c r="U415" s="251" t="s">
        <v>54</v>
      </c>
      <c r="V415" s="250" t="s">
        <v>2793</v>
      </c>
      <c r="W415" s="197" t="s">
        <v>56</v>
      </c>
      <c r="X415" s="197" t="s">
        <v>57</v>
      </c>
      <c r="Y415" s="197" t="s">
        <v>2609</v>
      </c>
      <c r="Z415" s="246">
        <v>45141</v>
      </c>
      <c r="AA415" s="684"/>
      <c r="AB415" s="1290"/>
      <c r="AC415" s="684"/>
      <c r="AD415" s="686"/>
      <c r="AE415" s="684"/>
      <c r="AF415" s="684"/>
      <c r="AG415" s="684"/>
      <c r="AH415" s="684"/>
      <c r="AI415" s="685"/>
      <c r="AJ415" s="743" t="s">
        <v>560</v>
      </c>
      <c r="AK415" s="241">
        <v>4</v>
      </c>
      <c r="AL415" s="123" t="s">
        <v>341</v>
      </c>
      <c r="AM415" s="120" t="s">
        <v>267</v>
      </c>
      <c r="AN415" s="151"/>
      <c r="AO415" s="151"/>
      <c r="AP415" s="115"/>
      <c r="AQ415" s="115"/>
      <c r="AR415" s="115"/>
      <c r="AS415" s="115"/>
      <c r="AT415" s="115"/>
    </row>
    <row r="416" spans="1:46" ht="39" customHeight="1" x14ac:dyDescent="0.25">
      <c r="A416" s="1468">
        <v>415</v>
      </c>
      <c r="B416" s="146">
        <v>2</v>
      </c>
      <c r="C416" s="260" t="s">
        <v>319</v>
      </c>
      <c r="D416" s="241"/>
      <c r="E416" s="241"/>
      <c r="F416" s="241"/>
      <c r="G416" s="261" t="s">
        <v>350</v>
      </c>
      <c r="H416" s="262" t="s">
        <v>87</v>
      </c>
      <c r="I416" s="364"/>
      <c r="J416" s="245" t="s">
        <v>561</v>
      </c>
      <c r="K416" s="216"/>
      <c r="L416" s="301"/>
      <c r="M416" s="216" t="s">
        <v>4590</v>
      </c>
      <c r="N416" s="404"/>
      <c r="O416" s="950" t="s">
        <v>2746</v>
      </c>
      <c r="P416" s="325"/>
      <c r="Q416" s="373" t="s">
        <v>293</v>
      </c>
      <c r="R416" s="982" t="s">
        <v>2745</v>
      </c>
      <c r="S416" s="279">
        <v>28239</v>
      </c>
      <c r="T416" s="396"/>
      <c r="U416" s="251" t="s">
        <v>54</v>
      </c>
      <c r="V416" s="250" t="s">
        <v>2793</v>
      </c>
      <c r="W416" s="197" t="s">
        <v>4851</v>
      </c>
      <c r="X416" s="197" t="s">
        <v>57</v>
      </c>
      <c r="Y416" s="197" t="s">
        <v>2609</v>
      </c>
      <c r="Z416" s="246">
        <v>45141</v>
      </c>
      <c r="AA416" s="246"/>
      <c r="AB416" s="301"/>
      <c r="AC416" s="223"/>
      <c r="AD416" s="301"/>
      <c r="AE416" s="306"/>
      <c r="AF416" s="306"/>
      <c r="AG416" s="301"/>
      <c r="AH416" s="301"/>
      <c r="AI416" s="386"/>
      <c r="AJ416" s="348" t="s">
        <v>560</v>
      </c>
      <c r="AK416" s="241">
        <v>4</v>
      </c>
      <c r="AL416" s="123" t="s">
        <v>341</v>
      </c>
      <c r="AM416" s="120" t="s">
        <v>267</v>
      </c>
      <c r="AN416" s="151"/>
      <c r="AO416" s="151"/>
      <c r="AP416" s="115"/>
      <c r="AQ416" s="115"/>
      <c r="AR416" s="115"/>
      <c r="AS416" s="115"/>
      <c r="AT416" s="115"/>
    </row>
    <row r="417" spans="1:46" ht="39" customHeight="1" x14ac:dyDescent="0.25">
      <c r="A417" s="1468">
        <v>416</v>
      </c>
      <c r="B417" s="146">
        <v>2</v>
      </c>
      <c r="C417" s="503" t="s">
        <v>319</v>
      </c>
      <c r="D417" s="471"/>
      <c r="E417" s="471"/>
      <c r="F417" s="471"/>
      <c r="G417" s="472" t="s">
        <v>350</v>
      </c>
      <c r="H417" s="262" t="s">
        <v>87</v>
      </c>
      <c r="I417" s="473"/>
      <c r="J417" s="245" t="s">
        <v>561</v>
      </c>
      <c r="K417" s="197"/>
      <c r="L417" s="256"/>
      <c r="M417" s="216" t="s">
        <v>4590</v>
      </c>
      <c r="N417" s="245"/>
      <c r="O417" s="216" t="s">
        <v>2778</v>
      </c>
      <c r="P417" s="402"/>
      <c r="Q417" s="344" t="s">
        <v>293</v>
      </c>
      <c r="R417" s="982" t="s">
        <v>2777</v>
      </c>
      <c r="S417" s="279">
        <v>28626</v>
      </c>
      <c r="T417" s="250"/>
      <c r="U417" s="251" t="s">
        <v>54</v>
      </c>
      <c r="V417" s="250" t="s">
        <v>2793</v>
      </c>
      <c r="W417" s="197" t="s">
        <v>56</v>
      </c>
      <c r="X417" s="197" t="s">
        <v>57</v>
      </c>
      <c r="Y417" s="197" t="s">
        <v>2609</v>
      </c>
      <c r="Z417" s="246">
        <v>45141</v>
      </c>
      <c r="AA417" s="252"/>
      <c r="AB417" s="281"/>
      <c r="AC417" s="281"/>
      <c r="AD417" s="281"/>
      <c r="AE417" s="252"/>
      <c r="AF417" s="252"/>
      <c r="AG417" s="282"/>
      <c r="AH417" s="282"/>
      <c r="AI417" s="296"/>
      <c r="AJ417" s="348" t="s">
        <v>560</v>
      </c>
      <c r="AK417" s="241">
        <v>4</v>
      </c>
      <c r="AL417" s="176" t="s">
        <v>341</v>
      </c>
      <c r="AM417" s="165" t="s">
        <v>267</v>
      </c>
      <c r="AN417" s="167"/>
      <c r="AO417" s="167"/>
      <c r="AP417" s="115"/>
      <c r="AQ417" s="115"/>
      <c r="AR417" s="115"/>
      <c r="AS417" s="115"/>
      <c r="AT417" s="115"/>
    </row>
    <row r="418" spans="1:46" ht="39" customHeight="1" x14ac:dyDescent="0.25">
      <c r="A418" s="1468">
        <v>417</v>
      </c>
      <c r="B418" s="117">
        <v>2</v>
      </c>
      <c r="C418" s="501" t="s">
        <v>353</v>
      </c>
      <c r="D418" s="241"/>
      <c r="E418" s="241"/>
      <c r="F418" s="241"/>
      <c r="G418" s="261" t="s">
        <v>354</v>
      </c>
      <c r="H418" s="262" t="s">
        <v>87</v>
      </c>
      <c r="I418" s="357"/>
      <c r="J418" s="245" t="s">
        <v>561</v>
      </c>
      <c r="K418" s="296"/>
      <c r="L418" s="197"/>
      <c r="M418" s="216"/>
      <c r="N418" s="245"/>
      <c r="O418" s="216"/>
      <c r="P418" s="247"/>
      <c r="Q418" s="344"/>
      <c r="R418" s="982" t="s">
        <v>66</v>
      </c>
      <c r="S418" s="279"/>
      <c r="T418" s="307"/>
      <c r="U418" s="250"/>
      <c r="V418" s="250"/>
      <c r="W418" s="197"/>
      <c r="X418" s="197"/>
      <c r="Y418" s="197"/>
      <c r="Z418" s="246"/>
      <c r="AA418" s="246"/>
      <c r="AB418" s="250"/>
      <c r="AC418" s="223"/>
      <c r="AD418" s="299"/>
      <c r="AE418" s="246"/>
      <c r="AF418" s="246"/>
      <c r="AG418" s="241"/>
      <c r="AH418" s="253"/>
      <c r="AI418" s="254"/>
      <c r="AJ418" s="348"/>
      <c r="AK418" s="241">
        <v>4</v>
      </c>
      <c r="AL418" s="123" t="s">
        <v>341</v>
      </c>
      <c r="AM418" s="120" t="s">
        <v>267</v>
      </c>
      <c r="AN418" s="151" t="s">
        <v>5764</v>
      </c>
      <c r="AO418" s="151"/>
      <c r="AP418" s="115"/>
      <c r="AQ418" s="115"/>
      <c r="AR418" s="115"/>
      <c r="AS418" s="115"/>
      <c r="AT418" s="115"/>
    </row>
    <row r="419" spans="1:46" ht="39" customHeight="1" x14ac:dyDescent="0.25">
      <c r="A419" s="1468">
        <v>418</v>
      </c>
      <c r="B419" s="117"/>
      <c r="C419" s="455"/>
      <c r="D419" s="331"/>
      <c r="E419" s="331"/>
      <c r="F419" s="331"/>
      <c r="G419" s="432"/>
      <c r="H419" s="456"/>
      <c r="I419" s="456"/>
      <c r="J419" s="329"/>
      <c r="K419" s="432"/>
      <c r="L419" s="329"/>
      <c r="M419" s="329"/>
      <c r="O419" s="330"/>
      <c r="P419" s="273" t="s">
        <v>355</v>
      </c>
      <c r="Q419" s="331"/>
      <c r="R419" s="329"/>
      <c r="S419" s="279"/>
      <c r="T419" s="332"/>
      <c r="U419" s="332"/>
      <c r="V419" s="332"/>
      <c r="W419" s="332"/>
      <c r="X419" s="334"/>
      <c r="Y419" s="334"/>
      <c r="Z419" s="457"/>
      <c r="AA419" s="458"/>
      <c r="AB419" s="459"/>
      <c r="AC419" s="460"/>
      <c r="AD419" s="459"/>
      <c r="AE419" s="461"/>
      <c r="AF419" s="457"/>
      <c r="AG419" s="331"/>
      <c r="AH419" s="462"/>
      <c r="AI419" s="463"/>
      <c r="AJ419" s="464"/>
      <c r="AK419" s="331"/>
      <c r="AL419" s="163"/>
      <c r="AM419" s="163"/>
      <c r="AN419" s="163"/>
      <c r="AO419" s="163"/>
      <c r="AP419" s="115"/>
      <c r="AQ419" s="115"/>
      <c r="AR419" s="115"/>
      <c r="AS419" s="115"/>
      <c r="AT419" s="116"/>
    </row>
    <row r="420" spans="1:46" ht="39" customHeight="1" x14ac:dyDescent="0.25">
      <c r="A420" s="1468">
        <v>419</v>
      </c>
      <c r="B420" s="119">
        <v>10</v>
      </c>
      <c r="C420" s="240" t="s">
        <v>305</v>
      </c>
      <c r="D420" s="241"/>
      <c r="E420" s="242" t="s">
        <v>47</v>
      </c>
      <c r="F420" s="241"/>
      <c r="G420" s="243" t="s">
        <v>340</v>
      </c>
      <c r="H420" s="244" t="s">
        <v>83</v>
      </c>
      <c r="I420" s="340"/>
      <c r="J420" s="245">
        <v>302</v>
      </c>
      <c r="K420" s="265"/>
      <c r="L420" s="395"/>
      <c r="M420" s="395" t="s">
        <v>2789</v>
      </c>
      <c r="N420" s="265"/>
      <c r="O420" s="1476" t="s">
        <v>3191</v>
      </c>
      <c r="P420" s="266"/>
      <c r="Q420" s="582" t="s">
        <v>2053</v>
      </c>
      <c r="R420" s="1165" t="s">
        <v>1230</v>
      </c>
      <c r="S420" s="279">
        <v>35576</v>
      </c>
      <c r="T420" s="414"/>
      <c r="U420" s="251" t="s">
        <v>54</v>
      </c>
      <c r="V420" s="197" t="s">
        <v>2378</v>
      </c>
      <c r="W420" s="197" t="s">
        <v>56</v>
      </c>
      <c r="X420" s="197" t="s">
        <v>57</v>
      </c>
      <c r="Y420" s="1038" t="s">
        <v>2379</v>
      </c>
      <c r="Z420" s="405">
        <v>45177</v>
      </c>
      <c r="AA420" s="1039"/>
      <c r="AB420" s="438"/>
      <c r="AC420" s="474"/>
      <c r="AD420" s="438"/>
      <c r="AE420" s="584"/>
      <c r="AF420" s="584"/>
      <c r="AG420" s="471"/>
      <c r="AH420" s="585"/>
      <c r="AI420" s="586"/>
      <c r="AJ420" s="587" t="s">
        <v>62</v>
      </c>
      <c r="AK420" s="242">
        <v>1</v>
      </c>
      <c r="AL420" s="123" t="s">
        <v>341</v>
      </c>
      <c r="AM420" s="120" t="s">
        <v>267</v>
      </c>
      <c r="AN420" s="137"/>
      <c r="AO420" s="137"/>
      <c r="AP420" s="115"/>
      <c r="AQ420" s="115"/>
      <c r="AR420" s="115"/>
      <c r="AS420" s="115"/>
      <c r="AT420" s="115"/>
    </row>
    <row r="421" spans="1:46" ht="39" customHeight="1" x14ac:dyDescent="0.25">
      <c r="A421" s="1468">
        <v>420</v>
      </c>
      <c r="B421" s="128">
        <v>7</v>
      </c>
      <c r="C421" s="497" t="s">
        <v>344</v>
      </c>
      <c r="D421" s="498"/>
      <c r="E421" s="498" t="s">
        <v>47</v>
      </c>
      <c r="F421" s="498"/>
      <c r="G421" s="499" t="s">
        <v>345</v>
      </c>
      <c r="H421" s="500" t="s">
        <v>132</v>
      </c>
      <c r="I421" s="479">
        <v>178</v>
      </c>
      <c r="J421" s="256">
        <v>403</v>
      </c>
      <c r="K421" s="216"/>
      <c r="L421" s="245"/>
      <c r="M421" s="216" t="s">
        <v>4590</v>
      </c>
      <c r="N421" s="366"/>
      <c r="O421" s="216" t="s">
        <v>5832</v>
      </c>
      <c r="P421" s="402"/>
      <c r="Q421" s="344" t="s">
        <v>570</v>
      </c>
      <c r="R421" s="982" t="s">
        <v>2639</v>
      </c>
      <c r="S421" s="279">
        <v>30365</v>
      </c>
      <c r="T421" s="197"/>
      <c r="U421" s="251" t="s">
        <v>54</v>
      </c>
      <c r="V421" s="250" t="s">
        <v>2793</v>
      </c>
      <c r="W421" s="197" t="s">
        <v>56</v>
      </c>
      <c r="X421" s="197" t="s">
        <v>57</v>
      </c>
      <c r="Y421" s="197" t="s">
        <v>2609</v>
      </c>
      <c r="Z421" s="246">
        <v>45141</v>
      </c>
      <c r="AA421" s="252"/>
      <c r="AB421" s="241"/>
      <c r="AC421" s="223"/>
      <c r="AD421" s="257"/>
      <c r="AE421" s="246"/>
      <c r="AF421" s="246"/>
      <c r="AG421" s="301"/>
      <c r="AH421" s="253"/>
      <c r="AI421" s="284"/>
      <c r="AJ421" s="348" t="s">
        <v>560</v>
      </c>
      <c r="AK421" s="348">
        <v>3</v>
      </c>
      <c r="AL421" s="175" t="s">
        <v>341</v>
      </c>
      <c r="AM421" s="168" t="s">
        <v>267</v>
      </c>
      <c r="AN421" s="177"/>
      <c r="AO421" s="177"/>
      <c r="AP421" s="115"/>
      <c r="AQ421" s="115"/>
      <c r="AR421" s="115"/>
      <c r="AS421" s="115"/>
      <c r="AT421" s="115"/>
    </row>
    <row r="422" spans="1:46" ht="39" customHeight="1" x14ac:dyDescent="0.25">
      <c r="A422" s="1468">
        <v>421</v>
      </c>
      <c r="B422" s="117">
        <v>3</v>
      </c>
      <c r="C422" s="260" t="s">
        <v>346</v>
      </c>
      <c r="D422" s="241"/>
      <c r="E422" s="241"/>
      <c r="F422" s="241"/>
      <c r="G422" s="261" t="s">
        <v>347</v>
      </c>
      <c r="H422" s="262" t="s">
        <v>85</v>
      </c>
      <c r="I422" s="357"/>
      <c r="J422" s="245" t="s">
        <v>556</v>
      </c>
      <c r="K422" s="216"/>
      <c r="L422" s="216"/>
      <c r="M422" s="216" t="s">
        <v>4590</v>
      </c>
      <c r="N422" s="366"/>
      <c r="O422" s="216" t="s">
        <v>2669</v>
      </c>
      <c r="P422" s="402"/>
      <c r="Q422" s="344" t="s">
        <v>293</v>
      </c>
      <c r="R422" s="982" t="s">
        <v>2668</v>
      </c>
      <c r="S422" s="279">
        <v>30835</v>
      </c>
      <c r="T422" s="289"/>
      <c r="U422" s="251" t="s">
        <v>54</v>
      </c>
      <c r="V422" s="250" t="s">
        <v>2793</v>
      </c>
      <c r="W422" s="197" t="s">
        <v>56</v>
      </c>
      <c r="X422" s="197" t="s">
        <v>57</v>
      </c>
      <c r="Y422" s="197" t="s">
        <v>2609</v>
      </c>
      <c r="Z422" s="246">
        <v>45141</v>
      </c>
      <c r="AA422" s="252"/>
      <c r="AB422" s="301"/>
      <c r="AC422" s="223"/>
      <c r="AD422" s="301"/>
      <c r="AE422" s="384"/>
      <c r="AF422" s="306"/>
      <c r="AG422" s="385"/>
      <c r="AH422" s="301"/>
      <c r="AI422" s="254"/>
      <c r="AJ422" s="348" t="s">
        <v>560</v>
      </c>
      <c r="AK422" s="241">
        <v>4</v>
      </c>
      <c r="AL422" s="123" t="s">
        <v>341</v>
      </c>
      <c r="AM422" s="120" t="s">
        <v>267</v>
      </c>
      <c r="AN422" s="151"/>
      <c r="AO422" s="151"/>
      <c r="AP422" s="115"/>
      <c r="AQ422" s="115"/>
      <c r="AR422" s="115"/>
      <c r="AS422" s="115"/>
      <c r="AT422" s="115"/>
    </row>
    <row r="423" spans="1:46" ht="39" customHeight="1" x14ac:dyDescent="0.25">
      <c r="A423" s="1468">
        <v>422</v>
      </c>
      <c r="B423" s="146">
        <v>2</v>
      </c>
      <c r="C423" s="260" t="s">
        <v>319</v>
      </c>
      <c r="D423" s="241"/>
      <c r="E423" s="241"/>
      <c r="F423" s="241"/>
      <c r="G423" s="261" t="s">
        <v>350</v>
      </c>
      <c r="H423" s="262" t="s">
        <v>87</v>
      </c>
      <c r="I423" s="357"/>
      <c r="J423" s="245" t="s">
        <v>561</v>
      </c>
      <c r="K423" s="216"/>
      <c r="L423" s="216"/>
      <c r="M423" s="216" t="s">
        <v>4590</v>
      </c>
      <c r="N423" s="245"/>
      <c r="O423" s="245" t="s">
        <v>2232</v>
      </c>
      <c r="P423" s="245"/>
      <c r="Q423" s="344" t="s">
        <v>293</v>
      </c>
      <c r="R423" s="982" t="s">
        <v>2231</v>
      </c>
      <c r="S423" s="279">
        <v>34569</v>
      </c>
      <c r="T423" s="250"/>
      <c r="U423" s="251" t="s">
        <v>54</v>
      </c>
      <c r="V423" s="250" t="s">
        <v>2793</v>
      </c>
      <c r="W423" s="197" t="s">
        <v>56</v>
      </c>
      <c r="X423" s="197" t="s">
        <v>57</v>
      </c>
      <c r="Y423" s="197" t="s">
        <v>2609</v>
      </c>
      <c r="Z423" s="246">
        <v>45141</v>
      </c>
      <c r="AA423" s="197"/>
      <c r="AB423" s="301"/>
      <c r="AC423" s="223"/>
      <c r="AD423" s="301"/>
      <c r="AE423" s="258"/>
      <c r="AF423" s="258"/>
      <c r="AG423" s="241"/>
      <c r="AH423" s="301"/>
      <c r="AI423" s="223"/>
      <c r="AJ423" s="348" t="s">
        <v>560</v>
      </c>
      <c r="AK423" s="241">
        <v>4</v>
      </c>
      <c r="AL423" s="123" t="s">
        <v>341</v>
      </c>
      <c r="AM423" s="120" t="s">
        <v>267</v>
      </c>
      <c r="AN423" s="151"/>
      <c r="AO423" s="151"/>
      <c r="AP423" s="115"/>
      <c r="AQ423" s="115"/>
      <c r="AR423" s="115"/>
      <c r="AS423" s="115"/>
      <c r="AT423" s="115"/>
    </row>
    <row r="424" spans="1:46" ht="39" customHeight="1" x14ac:dyDescent="0.25">
      <c r="A424" s="1468">
        <v>423</v>
      </c>
      <c r="B424" s="161">
        <v>2</v>
      </c>
      <c r="C424" s="260" t="s">
        <v>356</v>
      </c>
      <c r="D424" s="241"/>
      <c r="E424" s="241"/>
      <c r="F424" s="241"/>
      <c r="G424" s="261" t="s">
        <v>357</v>
      </c>
      <c r="H424" s="262" t="s">
        <v>87</v>
      </c>
      <c r="I424" s="364">
        <v>533</v>
      </c>
      <c r="J424" s="245" t="s">
        <v>561</v>
      </c>
      <c r="K424" s="216"/>
      <c r="L424" s="216"/>
      <c r="M424" s="216"/>
      <c r="N424" s="366"/>
      <c r="O424" s="216"/>
      <c r="P424" s="320"/>
      <c r="Q424" s="344"/>
      <c r="R424" s="982" t="s">
        <v>66</v>
      </c>
      <c r="S424" s="279"/>
      <c r="T424" s="223"/>
      <c r="U424" s="250"/>
      <c r="V424" s="250"/>
      <c r="W424" s="197"/>
      <c r="X424" s="197"/>
      <c r="Y424" s="197"/>
      <c r="Z424" s="246"/>
      <c r="AA424" s="388"/>
      <c r="AB424" s="223"/>
      <c r="AC424" s="223"/>
      <c r="AD424" s="257"/>
      <c r="AE424" s="223"/>
      <c r="AF424" s="223"/>
      <c r="AG424" s="392"/>
      <c r="AH424" s="299"/>
      <c r="AI424" s="254"/>
      <c r="AJ424" s="348"/>
      <c r="AK424" s="241">
        <v>4</v>
      </c>
      <c r="AL424" s="123" t="s">
        <v>341</v>
      </c>
      <c r="AM424" s="120" t="s">
        <v>267</v>
      </c>
      <c r="AN424" s="151"/>
      <c r="AO424" s="151"/>
      <c r="AP424" s="115"/>
      <c r="AQ424" s="115"/>
      <c r="AR424" s="115"/>
      <c r="AS424" s="115"/>
      <c r="AT424" s="115"/>
    </row>
    <row r="425" spans="1:46" ht="39" customHeight="1" x14ac:dyDescent="0.25">
      <c r="A425" s="1468">
        <v>424</v>
      </c>
      <c r="B425" s="117">
        <v>2</v>
      </c>
      <c r="C425" s="501" t="s">
        <v>353</v>
      </c>
      <c r="D425" s="241"/>
      <c r="E425" s="241"/>
      <c r="F425" s="241"/>
      <c r="G425" s="261" t="s">
        <v>354</v>
      </c>
      <c r="H425" s="262" t="s">
        <v>87</v>
      </c>
      <c r="I425" s="357"/>
      <c r="J425" s="245" t="s">
        <v>561</v>
      </c>
      <c r="K425" s="216"/>
      <c r="L425" s="250"/>
      <c r="M425" s="216" t="s">
        <v>4590</v>
      </c>
      <c r="N425" s="366"/>
      <c r="O425" s="216" t="s">
        <v>2711</v>
      </c>
      <c r="P425" s="325"/>
      <c r="Q425" s="344" t="s">
        <v>293</v>
      </c>
      <c r="R425" s="982" t="s">
        <v>2710</v>
      </c>
      <c r="S425" s="279">
        <v>30616</v>
      </c>
      <c r="T425" s="257"/>
      <c r="U425" s="251" t="s">
        <v>54</v>
      </c>
      <c r="V425" s="250" t="s">
        <v>2793</v>
      </c>
      <c r="W425" s="197" t="s">
        <v>56</v>
      </c>
      <c r="X425" s="197" t="s">
        <v>57</v>
      </c>
      <c r="Y425" s="197" t="s">
        <v>2609</v>
      </c>
      <c r="Z425" s="246">
        <v>45141</v>
      </c>
      <c r="AA425" s="252"/>
      <c r="AB425" s="257"/>
      <c r="AC425" s="223"/>
      <c r="AD425" s="257"/>
      <c r="AE425" s="384"/>
      <c r="AF425" s="384"/>
      <c r="AG425" s="392"/>
      <c r="AH425" s="299"/>
      <c r="AI425" s="254"/>
      <c r="AJ425" s="348" t="s">
        <v>560</v>
      </c>
      <c r="AK425" s="241">
        <v>4</v>
      </c>
      <c r="AL425" s="123" t="s">
        <v>341</v>
      </c>
      <c r="AM425" s="120" t="s">
        <v>267</v>
      </c>
      <c r="AN425" s="151" t="s">
        <v>4193</v>
      </c>
      <c r="AO425" s="151"/>
      <c r="AP425" s="115"/>
      <c r="AQ425" s="115"/>
      <c r="AR425" s="115"/>
      <c r="AS425" s="115"/>
      <c r="AT425" s="115"/>
    </row>
    <row r="426" spans="1:46" ht="39" customHeight="1" x14ac:dyDescent="0.25">
      <c r="A426" s="1468">
        <v>425</v>
      </c>
      <c r="B426" s="128">
        <v>4</v>
      </c>
      <c r="C426" s="290" t="s">
        <v>351</v>
      </c>
      <c r="D426" s="291"/>
      <c r="E426" s="291" t="s">
        <v>47</v>
      </c>
      <c r="F426" s="291"/>
      <c r="G426" s="292" t="s">
        <v>352</v>
      </c>
      <c r="H426" s="293" t="s">
        <v>132</v>
      </c>
      <c r="I426" s="346"/>
      <c r="J426" s="256">
        <v>403</v>
      </c>
      <c r="K426" s="299"/>
      <c r="L426" s="216"/>
      <c r="M426" s="216" t="s">
        <v>4590</v>
      </c>
      <c r="N426" s="366"/>
      <c r="O426" s="950" t="s">
        <v>2268</v>
      </c>
      <c r="P426" s="484"/>
      <c r="Q426" s="344" t="s">
        <v>293</v>
      </c>
      <c r="R426" s="982" t="s">
        <v>2267</v>
      </c>
      <c r="S426" s="279">
        <v>36434</v>
      </c>
      <c r="T426" s="223"/>
      <c r="U426" s="251" t="s">
        <v>886</v>
      </c>
      <c r="V426" s="250" t="s">
        <v>5900</v>
      </c>
      <c r="W426" s="197" t="s">
        <v>886</v>
      </c>
      <c r="X426" s="197" t="s">
        <v>886</v>
      </c>
      <c r="Y426" s="252"/>
      <c r="Z426" s="246">
        <v>45285</v>
      </c>
      <c r="AA426" s="374"/>
      <c r="AB426" s="223"/>
      <c r="AC426" s="223"/>
      <c r="AD426" s="257"/>
      <c r="AE426" s="223"/>
      <c r="AF426" s="223"/>
      <c r="AG426" s="241"/>
      <c r="AH426" s="299"/>
      <c r="AI426" s="254"/>
      <c r="AJ426" s="348" t="s">
        <v>560</v>
      </c>
      <c r="AK426" s="291">
        <v>3</v>
      </c>
      <c r="AL426" s="123" t="s">
        <v>341</v>
      </c>
      <c r="AM426" s="120" t="s">
        <v>267</v>
      </c>
      <c r="AN426" s="138"/>
      <c r="AO426" s="138"/>
      <c r="AP426" s="115"/>
      <c r="AQ426" s="115"/>
      <c r="AR426" s="115"/>
      <c r="AS426" s="115"/>
      <c r="AT426" s="115"/>
    </row>
    <row r="427" spans="1:46" ht="39" customHeight="1" x14ac:dyDescent="0.25">
      <c r="A427" s="1468">
        <v>426</v>
      </c>
      <c r="B427" s="117">
        <v>3</v>
      </c>
      <c r="C427" s="260" t="s">
        <v>346</v>
      </c>
      <c r="D427" s="241"/>
      <c r="E427" s="241"/>
      <c r="F427" s="241"/>
      <c r="G427" s="261" t="s">
        <v>347</v>
      </c>
      <c r="H427" s="262" t="s">
        <v>85</v>
      </c>
      <c r="I427" s="357"/>
      <c r="J427" s="245" t="s">
        <v>556</v>
      </c>
      <c r="K427" s="257"/>
      <c r="L427" s="281"/>
      <c r="M427" s="216" t="s">
        <v>4590</v>
      </c>
      <c r="N427" s="366"/>
      <c r="O427" s="906" t="s">
        <v>2685</v>
      </c>
      <c r="P427" s="454"/>
      <c r="Q427" s="485" t="s">
        <v>87</v>
      </c>
      <c r="R427" s="998" t="s">
        <v>2684</v>
      </c>
      <c r="S427" s="279">
        <v>35167</v>
      </c>
      <c r="T427" s="197"/>
      <c r="U427" s="251" t="s">
        <v>54</v>
      </c>
      <c r="V427" s="250" t="s">
        <v>2793</v>
      </c>
      <c r="W427" s="197" t="s">
        <v>56</v>
      </c>
      <c r="X427" s="197" t="s">
        <v>57</v>
      </c>
      <c r="Y427" s="197" t="s">
        <v>2609</v>
      </c>
      <c r="Z427" s="246">
        <v>45141</v>
      </c>
      <c r="AA427" s="246"/>
      <c r="AB427" s="361"/>
      <c r="AC427" s="223"/>
      <c r="AD427" s="376"/>
      <c r="AE427" s="258"/>
      <c r="AF427" s="258"/>
      <c r="AG427" s="241"/>
      <c r="AH427" s="283"/>
      <c r="AI427" s="254"/>
      <c r="AJ427" s="491" t="s">
        <v>560</v>
      </c>
      <c r="AK427" s="241">
        <v>4</v>
      </c>
      <c r="AL427" s="123" t="s">
        <v>341</v>
      </c>
      <c r="AM427" s="120" t="s">
        <v>267</v>
      </c>
      <c r="AN427" s="151"/>
      <c r="AO427" s="151"/>
      <c r="AP427" s="115"/>
      <c r="AQ427" s="115"/>
      <c r="AR427" s="115"/>
      <c r="AS427" s="115"/>
      <c r="AT427" s="115"/>
    </row>
    <row r="428" spans="1:46" ht="39" customHeight="1" x14ac:dyDescent="0.25">
      <c r="A428" s="1468">
        <v>427</v>
      </c>
      <c r="B428" s="146">
        <v>2</v>
      </c>
      <c r="C428" s="260" t="s">
        <v>319</v>
      </c>
      <c r="D428" s="241"/>
      <c r="E428" s="241"/>
      <c r="F428" s="241"/>
      <c r="G428" s="261" t="s">
        <v>350</v>
      </c>
      <c r="H428" s="262" t="s">
        <v>87</v>
      </c>
      <c r="I428" s="357"/>
      <c r="J428" s="245" t="s">
        <v>561</v>
      </c>
      <c r="K428" s="216"/>
      <c r="L428" s="301"/>
      <c r="M428" s="216" t="s">
        <v>4590</v>
      </c>
      <c r="N428" s="366"/>
      <c r="O428" s="950" t="s">
        <v>2761</v>
      </c>
      <c r="P428" s="325"/>
      <c r="Q428" s="373" t="s">
        <v>293</v>
      </c>
      <c r="R428" s="982" t="s">
        <v>2760</v>
      </c>
      <c r="S428" s="279">
        <v>26190</v>
      </c>
      <c r="T428" s="306"/>
      <c r="U428" s="251" t="s">
        <v>54</v>
      </c>
      <c r="V428" s="250" t="s">
        <v>2793</v>
      </c>
      <c r="W428" s="197" t="s">
        <v>56</v>
      </c>
      <c r="X428" s="197" t="s">
        <v>57</v>
      </c>
      <c r="Y428" s="197" t="s">
        <v>2609</v>
      </c>
      <c r="Z428" s="246">
        <v>45141</v>
      </c>
      <c r="AA428" s="246"/>
      <c r="AB428" s="301"/>
      <c r="AC428" s="223"/>
      <c r="AD428" s="301"/>
      <c r="AE428" s="306"/>
      <c r="AF428" s="306"/>
      <c r="AG428" s="301"/>
      <c r="AH428" s="301"/>
      <c r="AI428" s="386"/>
      <c r="AJ428" s="348" t="s">
        <v>560</v>
      </c>
      <c r="AK428" s="241">
        <v>4</v>
      </c>
      <c r="AL428" s="123" t="s">
        <v>341</v>
      </c>
      <c r="AM428" s="120" t="s">
        <v>267</v>
      </c>
      <c r="AN428" s="110"/>
      <c r="AO428" s="110"/>
      <c r="AP428" s="115"/>
      <c r="AQ428" s="115"/>
      <c r="AR428" s="115"/>
      <c r="AS428" s="115"/>
      <c r="AT428" s="115"/>
    </row>
    <row r="429" spans="1:46" ht="39" customHeight="1" x14ac:dyDescent="0.25">
      <c r="A429" s="1468">
        <v>428</v>
      </c>
      <c r="B429" s="146">
        <v>2</v>
      </c>
      <c r="C429" s="260" t="s">
        <v>319</v>
      </c>
      <c r="D429" s="241"/>
      <c r="E429" s="241"/>
      <c r="F429" s="241"/>
      <c r="G429" s="261" t="s">
        <v>350</v>
      </c>
      <c r="H429" s="262" t="s">
        <v>87</v>
      </c>
      <c r="I429" s="357"/>
      <c r="J429" s="245" t="s">
        <v>561</v>
      </c>
      <c r="K429" s="257"/>
      <c r="L429" s="299"/>
      <c r="M429" s="216" t="s">
        <v>4590</v>
      </c>
      <c r="N429" s="299"/>
      <c r="O429" s="216" t="s">
        <v>2679</v>
      </c>
      <c r="P429" s="300"/>
      <c r="Q429" s="344" t="s">
        <v>293</v>
      </c>
      <c r="R429" s="982" t="s">
        <v>2678</v>
      </c>
      <c r="S429" s="279">
        <v>30873</v>
      </c>
      <c r="T429" s="684"/>
      <c r="U429" s="251" t="s">
        <v>54</v>
      </c>
      <c r="V429" s="250" t="s">
        <v>2793</v>
      </c>
      <c r="W429" s="197" t="s">
        <v>56</v>
      </c>
      <c r="X429" s="197" t="s">
        <v>57</v>
      </c>
      <c r="Y429" s="197" t="s">
        <v>2609</v>
      </c>
      <c r="Z429" s="246">
        <v>45141</v>
      </c>
      <c r="AA429" s="684"/>
      <c r="AB429" s="1290"/>
      <c r="AC429" s="684"/>
      <c r="AD429" s="686"/>
      <c r="AE429" s="684"/>
      <c r="AF429" s="684"/>
      <c r="AG429" s="684"/>
      <c r="AH429" s="684"/>
      <c r="AI429" s="685"/>
      <c r="AJ429" s="348" t="s">
        <v>560</v>
      </c>
      <c r="AK429" s="241">
        <v>4</v>
      </c>
      <c r="AL429" s="123" t="s">
        <v>341</v>
      </c>
      <c r="AM429" s="120" t="s">
        <v>267</v>
      </c>
      <c r="AN429" s="151"/>
      <c r="AO429" s="151"/>
      <c r="AP429" s="115"/>
      <c r="AQ429" s="115"/>
      <c r="AR429" s="115"/>
      <c r="AS429" s="115"/>
      <c r="AT429" s="115"/>
    </row>
    <row r="430" spans="1:46" ht="39" customHeight="1" x14ac:dyDescent="0.25">
      <c r="A430" s="1468">
        <v>429</v>
      </c>
      <c r="B430" s="117">
        <v>2</v>
      </c>
      <c r="C430" s="501" t="s">
        <v>353</v>
      </c>
      <c r="D430" s="241"/>
      <c r="E430" s="241"/>
      <c r="F430" s="241"/>
      <c r="G430" s="261" t="s">
        <v>354</v>
      </c>
      <c r="H430" s="262" t="s">
        <v>87</v>
      </c>
      <c r="I430" s="357"/>
      <c r="J430" s="245" t="s">
        <v>561</v>
      </c>
      <c r="K430" s="257"/>
      <c r="L430" s="299"/>
      <c r="M430" s="216" t="s">
        <v>4590</v>
      </c>
      <c r="N430" s="299"/>
      <c r="O430" s="216" t="s">
        <v>2713</v>
      </c>
      <c r="P430" s="372"/>
      <c r="Q430" s="485" t="s">
        <v>293</v>
      </c>
      <c r="R430" s="982" t="s">
        <v>2712</v>
      </c>
      <c r="S430" s="279">
        <v>29410</v>
      </c>
      <c r="T430" s="289"/>
      <c r="U430" s="251" t="s">
        <v>54</v>
      </c>
      <c r="V430" s="250" t="s">
        <v>2793</v>
      </c>
      <c r="W430" s="197" t="s">
        <v>56</v>
      </c>
      <c r="X430" s="197" t="s">
        <v>57</v>
      </c>
      <c r="Y430" s="197" t="s">
        <v>2609</v>
      </c>
      <c r="Z430" s="246">
        <v>45141</v>
      </c>
      <c r="AA430" s="289"/>
      <c r="AB430" s="299"/>
      <c r="AC430" s="223"/>
      <c r="AD430" s="299"/>
      <c r="AE430" s="289"/>
      <c r="AF430" s="289"/>
      <c r="AG430" s="299"/>
      <c r="AH430" s="299"/>
      <c r="AI430" s="223"/>
      <c r="AJ430" s="348" t="s">
        <v>560</v>
      </c>
      <c r="AK430" s="241">
        <v>4</v>
      </c>
      <c r="AL430" s="123" t="s">
        <v>341</v>
      </c>
      <c r="AM430" s="120" t="s">
        <v>267</v>
      </c>
      <c r="AN430" s="151" t="s">
        <v>5764</v>
      </c>
      <c r="AO430" s="151"/>
      <c r="AP430" s="115"/>
      <c r="AQ430" s="115"/>
      <c r="AR430" s="115"/>
      <c r="AS430" s="115"/>
      <c r="AT430" s="115"/>
    </row>
    <row r="431" spans="1:46" ht="39" customHeight="1" x14ac:dyDescent="0.25">
      <c r="A431" s="1468">
        <v>430</v>
      </c>
      <c r="B431" s="128">
        <v>4</v>
      </c>
      <c r="C431" s="290" t="s">
        <v>351</v>
      </c>
      <c r="D431" s="291"/>
      <c r="E431" s="291" t="s">
        <v>47</v>
      </c>
      <c r="F431" s="291"/>
      <c r="G431" s="292" t="s">
        <v>352</v>
      </c>
      <c r="H431" s="293" t="s">
        <v>132</v>
      </c>
      <c r="I431" s="346"/>
      <c r="J431" s="256">
        <v>403</v>
      </c>
      <c r="K431" s="216"/>
      <c r="L431" s="250"/>
      <c r="M431" s="216" t="s">
        <v>4590</v>
      </c>
      <c r="N431" s="366"/>
      <c r="O431" s="216" t="s">
        <v>2638</v>
      </c>
      <c r="P431" s="372"/>
      <c r="Q431" s="344" t="s">
        <v>567</v>
      </c>
      <c r="R431" s="982" t="s">
        <v>2637</v>
      </c>
      <c r="S431" s="279">
        <v>30530</v>
      </c>
      <c r="T431" s="197"/>
      <c r="U431" s="251" t="s">
        <v>54</v>
      </c>
      <c r="V431" s="250" t="s">
        <v>2793</v>
      </c>
      <c r="W431" s="197" t="s">
        <v>56</v>
      </c>
      <c r="X431" s="197" t="s">
        <v>57</v>
      </c>
      <c r="Y431" s="197" t="s">
        <v>2609</v>
      </c>
      <c r="Z431" s="246">
        <v>45141</v>
      </c>
      <c r="AA431" s="252"/>
      <c r="AB431" s="245"/>
      <c r="AC431" s="223"/>
      <c r="AD431" s="245"/>
      <c r="AE431" s="258"/>
      <c r="AF431" s="258"/>
      <c r="AG431" s="385"/>
      <c r="AH431" s="253"/>
      <c r="AI431" s="386"/>
      <c r="AJ431" s="348" t="s">
        <v>560</v>
      </c>
      <c r="AK431" s="291">
        <v>3</v>
      </c>
      <c r="AL431" s="123" t="s">
        <v>341</v>
      </c>
      <c r="AM431" s="120" t="s">
        <v>267</v>
      </c>
      <c r="AN431" s="138"/>
      <c r="AO431" s="138"/>
      <c r="AP431" s="115"/>
      <c r="AQ431" s="115"/>
      <c r="AR431" s="115"/>
      <c r="AS431" s="115"/>
      <c r="AT431" s="115"/>
    </row>
    <row r="432" spans="1:46" ht="39" customHeight="1" x14ac:dyDescent="0.25">
      <c r="A432" s="1468">
        <v>431</v>
      </c>
      <c r="B432" s="161">
        <v>3</v>
      </c>
      <c r="C432" s="260" t="s">
        <v>346</v>
      </c>
      <c r="D432" s="241"/>
      <c r="E432" s="241"/>
      <c r="F432" s="241"/>
      <c r="G432" s="261" t="s">
        <v>347</v>
      </c>
      <c r="H432" s="262" t="s">
        <v>85</v>
      </c>
      <c r="I432" s="364"/>
      <c r="J432" s="245" t="s">
        <v>556</v>
      </c>
      <c r="K432" s="216"/>
      <c r="L432" s="216"/>
      <c r="M432" s="216"/>
      <c r="N432" s="404"/>
      <c r="O432" s="216" t="s">
        <v>2643</v>
      </c>
      <c r="P432" s="372"/>
      <c r="Q432" s="344" t="s">
        <v>570</v>
      </c>
      <c r="R432" s="982" t="s">
        <v>2642</v>
      </c>
      <c r="S432" s="279">
        <v>31516</v>
      </c>
      <c r="T432" s="434"/>
      <c r="U432" s="251" t="s">
        <v>54</v>
      </c>
      <c r="V432" s="250" t="s">
        <v>2793</v>
      </c>
      <c r="W432" s="197" t="s">
        <v>56</v>
      </c>
      <c r="X432" s="197" t="s">
        <v>57</v>
      </c>
      <c r="Y432" s="197" t="s">
        <v>2609</v>
      </c>
      <c r="Z432" s="246">
        <v>45141</v>
      </c>
      <c r="AA432" s="257"/>
      <c r="AB432" s="257"/>
      <c r="AC432" s="223"/>
      <c r="AD432" s="257"/>
      <c r="AE432" s="289"/>
      <c r="AF432" s="289"/>
      <c r="AG432" s="241"/>
      <c r="AH432" s="299"/>
      <c r="AI432" s="296"/>
      <c r="AJ432" s="348" t="s">
        <v>560</v>
      </c>
      <c r="AK432" s="241">
        <v>4</v>
      </c>
      <c r="AL432" s="123" t="s">
        <v>341</v>
      </c>
      <c r="AM432" s="120" t="s">
        <v>267</v>
      </c>
      <c r="AN432" s="151"/>
      <c r="AO432" s="151"/>
      <c r="AP432" s="115"/>
      <c r="AQ432" s="115"/>
      <c r="AR432" s="115"/>
      <c r="AS432" s="115"/>
      <c r="AT432" s="115"/>
    </row>
    <row r="433" spans="1:46" ht="39" customHeight="1" x14ac:dyDescent="0.25">
      <c r="A433" s="1468">
        <v>432</v>
      </c>
      <c r="B433" s="146">
        <v>2</v>
      </c>
      <c r="C433" s="260" t="s">
        <v>319</v>
      </c>
      <c r="D433" s="241"/>
      <c r="E433" s="241"/>
      <c r="F433" s="241"/>
      <c r="G433" s="261" t="s">
        <v>350</v>
      </c>
      <c r="H433" s="262" t="s">
        <v>87</v>
      </c>
      <c r="I433" s="357"/>
      <c r="J433" s="245" t="s">
        <v>561</v>
      </c>
      <c r="K433" s="216"/>
      <c r="L433" s="216"/>
      <c r="M433" s="216"/>
      <c r="N433" s="366"/>
      <c r="O433" s="216" t="s">
        <v>2703</v>
      </c>
      <c r="P433" s="402"/>
      <c r="R433" s="982" t="s">
        <v>2702</v>
      </c>
      <c r="S433" s="279">
        <v>29293</v>
      </c>
      <c r="T433" s="482"/>
      <c r="U433" s="251" t="s">
        <v>54</v>
      </c>
      <c r="V433" s="250" t="s">
        <v>2793</v>
      </c>
      <c r="W433" s="197" t="s">
        <v>56</v>
      </c>
      <c r="X433" s="197" t="s">
        <v>57</v>
      </c>
      <c r="Y433" s="197" t="s">
        <v>2609</v>
      </c>
      <c r="Z433" s="246">
        <v>45141</v>
      </c>
      <c r="AA433" s="252"/>
      <c r="AB433" s="301"/>
      <c r="AC433" s="223"/>
      <c r="AD433" s="301"/>
      <c r="AE433" s="306"/>
      <c r="AF433" s="306"/>
      <c r="AG433" s="385"/>
      <c r="AH433" s="483"/>
      <c r="AI433" s="254"/>
      <c r="AJ433" s="348" t="s">
        <v>560</v>
      </c>
      <c r="AK433" s="241">
        <v>4</v>
      </c>
      <c r="AL433" s="123" t="s">
        <v>341</v>
      </c>
      <c r="AM433" s="120" t="s">
        <v>267</v>
      </c>
      <c r="AN433" s="151"/>
      <c r="AO433" s="151"/>
      <c r="AP433" s="115"/>
      <c r="AQ433" s="115"/>
      <c r="AR433" s="115"/>
      <c r="AS433" s="115"/>
      <c r="AT433" s="115"/>
    </row>
    <row r="434" spans="1:46" ht="39" customHeight="1" x14ac:dyDescent="0.25">
      <c r="A434" s="1468">
        <v>433</v>
      </c>
      <c r="B434" s="146">
        <v>2</v>
      </c>
      <c r="C434" s="260" t="s">
        <v>319</v>
      </c>
      <c r="D434" s="241"/>
      <c r="E434" s="241"/>
      <c r="F434" s="241"/>
      <c r="G434" s="261" t="s">
        <v>350</v>
      </c>
      <c r="H434" s="262" t="s">
        <v>87</v>
      </c>
      <c r="I434" s="357"/>
      <c r="J434" s="245" t="s">
        <v>561</v>
      </c>
      <c r="K434" s="197"/>
      <c r="L434" s="216"/>
      <c r="M434" s="216"/>
      <c r="N434" s="366"/>
      <c r="O434" s="216" t="s">
        <v>2728</v>
      </c>
      <c r="P434" s="402"/>
      <c r="Q434" s="344" t="s">
        <v>293</v>
      </c>
      <c r="R434" s="982" t="s">
        <v>2727</v>
      </c>
      <c r="S434" s="279">
        <v>32148</v>
      </c>
      <c r="T434" s="250"/>
      <c r="U434" s="251" t="s">
        <v>54</v>
      </c>
      <c r="V434" s="250" t="s">
        <v>2793</v>
      </c>
      <c r="W434" s="197" t="s">
        <v>56</v>
      </c>
      <c r="X434" s="197" t="s">
        <v>57</v>
      </c>
      <c r="Y434" s="197" t="s">
        <v>2609</v>
      </c>
      <c r="Z434" s="246">
        <v>45141</v>
      </c>
      <c r="AA434" s="246"/>
      <c r="AB434" s="281"/>
      <c r="AC434" s="223"/>
      <c r="AD434" s="657"/>
      <c r="AE434" s="306"/>
      <c r="AF434" s="306"/>
      <c r="AG434" s="282"/>
      <c r="AH434" s="283"/>
      <c r="AI434" s="386"/>
      <c r="AJ434" s="348" t="s">
        <v>560</v>
      </c>
      <c r="AK434" s="241">
        <v>4</v>
      </c>
      <c r="AL434" s="123" t="s">
        <v>341</v>
      </c>
      <c r="AM434" s="120" t="s">
        <v>267</v>
      </c>
      <c r="AN434" s="151"/>
      <c r="AO434" s="151"/>
      <c r="AP434" s="115"/>
      <c r="AQ434" s="115"/>
      <c r="AR434" s="115"/>
      <c r="AS434" s="115"/>
      <c r="AT434" s="115"/>
    </row>
    <row r="435" spans="1:46" ht="39" customHeight="1" x14ac:dyDescent="0.25">
      <c r="A435" s="1468">
        <v>434</v>
      </c>
      <c r="B435" s="117">
        <v>2</v>
      </c>
      <c r="C435" s="504" t="s">
        <v>353</v>
      </c>
      <c r="D435" s="471"/>
      <c r="E435" s="471"/>
      <c r="F435" s="471"/>
      <c r="G435" s="261" t="s">
        <v>354</v>
      </c>
      <c r="H435" s="262" t="s">
        <v>87</v>
      </c>
      <c r="I435" s="473"/>
      <c r="J435" s="245" t="s">
        <v>561</v>
      </c>
      <c r="K435" s="216"/>
      <c r="L435" s="216" t="s">
        <v>1490</v>
      </c>
      <c r="M435" s="216" t="s">
        <v>1490</v>
      </c>
      <c r="N435" s="305"/>
      <c r="O435" s="216" t="s">
        <v>1510</v>
      </c>
      <c r="P435" s="320" t="s">
        <v>1828</v>
      </c>
      <c r="Q435" s="373" t="s">
        <v>132</v>
      </c>
      <c r="R435" s="982" t="s">
        <v>1509</v>
      </c>
      <c r="S435" s="279">
        <v>23533</v>
      </c>
      <c r="T435" s="197"/>
      <c r="U435" s="251" t="s">
        <v>54</v>
      </c>
      <c r="V435" s="250" t="s">
        <v>2793</v>
      </c>
      <c r="W435" s="197" t="s">
        <v>56</v>
      </c>
      <c r="X435" s="197" t="s">
        <v>57</v>
      </c>
      <c r="Y435" s="197" t="s">
        <v>2609</v>
      </c>
      <c r="Z435" s="246">
        <v>45141</v>
      </c>
      <c r="AA435" s="252"/>
      <c r="AB435" s="250"/>
      <c r="AC435" s="223"/>
      <c r="AD435" s="250"/>
      <c r="AE435" s="306"/>
      <c r="AF435" s="306"/>
      <c r="AG435" s="282"/>
      <c r="AH435" s="283"/>
      <c r="AI435" s="223"/>
      <c r="AJ435" s="348" t="s">
        <v>560</v>
      </c>
      <c r="AK435" s="241">
        <v>4</v>
      </c>
      <c r="AL435" s="176" t="s">
        <v>341</v>
      </c>
      <c r="AM435" s="165" t="s">
        <v>267</v>
      </c>
      <c r="AN435" s="151" t="s">
        <v>5764</v>
      </c>
      <c r="AO435" s="167"/>
      <c r="AP435" s="115"/>
      <c r="AQ435" s="115"/>
      <c r="AR435" s="115"/>
      <c r="AS435" s="115"/>
      <c r="AT435" s="115"/>
    </row>
    <row r="436" spans="1:46" ht="39" customHeight="1" x14ac:dyDescent="0.25">
      <c r="A436" s="1468">
        <v>435</v>
      </c>
      <c r="B436" s="117">
        <v>2</v>
      </c>
      <c r="C436" s="501" t="s">
        <v>360</v>
      </c>
      <c r="D436" s="241"/>
      <c r="E436" s="241"/>
      <c r="F436" s="241"/>
      <c r="G436" s="261" t="s">
        <v>354</v>
      </c>
      <c r="H436" s="262" t="s">
        <v>87</v>
      </c>
      <c r="I436" s="357" t="s">
        <v>361</v>
      </c>
      <c r="J436" s="245" t="s">
        <v>561</v>
      </c>
      <c r="K436" s="216"/>
      <c r="L436" s="197"/>
      <c r="M436" s="216" t="s">
        <v>4590</v>
      </c>
      <c r="N436" s="374"/>
      <c r="O436" s="216" t="s">
        <v>2765</v>
      </c>
      <c r="P436" s="247"/>
      <c r="Q436" s="1529" t="s">
        <v>293</v>
      </c>
      <c r="R436" s="982" t="s">
        <v>2764</v>
      </c>
      <c r="S436" s="279">
        <v>25404</v>
      </c>
      <c r="T436" s="299"/>
      <c r="U436" s="251" t="s">
        <v>54</v>
      </c>
      <c r="V436" s="250" t="s">
        <v>2793</v>
      </c>
      <c r="W436" s="197" t="s">
        <v>56</v>
      </c>
      <c r="X436" s="197" t="s">
        <v>57</v>
      </c>
      <c r="Y436" s="197" t="s">
        <v>2609</v>
      </c>
      <c r="Z436" s="246">
        <v>45141</v>
      </c>
      <c r="AA436" s="306"/>
      <c r="AB436" s="299"/>
      <c r="AC436" s="223"/>
      <c r="AD436" s="288"/>
      <c r="AE436" s="384"/>
      <c r="AF436" s="384"/>
      <c r="AG436" s="392"/>
      <c r="AH436" s="253"/>
      <c r="AI436" s="254"/>
      <c r="AJ436" s="348" t="s">
        <v>560</v>
      </c>
      <c r="AK436" s="241">
        <v>4</v>
      </c>
      <c r="AL436" s="123" t="s">
        <v>341</v>
      </c>
      <c r="AM436" s="120" t="s">
        <v>267</v>
      </c>
      <c r="AN436" s="151" t="s">
        <v>5764</v>
      </c>
      <c r="AO436" s="127"/>
      <c r="AP436" s="178"/>
      <c r="AQ436" s="164"/>
      <c r="AR436" s="115"/>
      <c r="AS436" s="115"/>
      <c r="AT436" s="115"/>
    </row>
    <row r="437" spans="1:46" ht="39" customHeight="1" x14ac:dyDescent="0.25">
      <c r="A437" s="1468">
        <v>436</v>
      </c>
      <c r="B437" s="117"/>
      <c r="C437" s="455"/>
      <c r="D437" s="331"/>
      <c r="E437" s="331"/>
      <c r="F437" s="331"/>
      <c r="G437" s="432"/>
      <c r="H437" s="456"/>
      <c r="I437" s="456"/>
      <c r="J437" s="329"/>
      <c r="K437" s="432"/>
      <c r="L437" s="329"/>
      <c r="M437" s="329"/>
      <c r="N437" s="329"/>
      <c r="O437" s="330"/>
      <c r="P437" s="273" t="s">
        <v>363</v>
      </c>
      <c r="Q437" s="331"/>
      <c r="R437" s="455"/>
      <c r="S437" s="279"/>
      <c r="T437" s="334"/>
      <c r="U437" s="250"/>
      <c r="V437" s="334"/>
      <c r="W437" s="334"/>
      <c r="X437" s="334"/>
      <c r="Y437" s="334"/>
      <c r="Z437" s="457"/>
      <c r="AA437" s="458"/>
      <c r="AB437" s="459"/>
      <c r="AC437" s="460"/>
      <c r="AD437" s="459"/>
      <c r="AE437" s="461"/>
      <c r="AF437" s="457"/>
      <c r="AG437" s="331"/>
      <c r="AH437" s="462"/>
      <c r="AI437" s="463"/>
      <c r="AJ437" s="464"/>
      <c r="AK437" s="331"/>
      <c r="AL437" s="163"/>
      <c r="AM437" s="163"/>
      <c r="AN437" s="163"/>
      <c r="AO437" s="163"/>
      <c r="AP437" s="115"/>
      <c r="AQ437" s="115"/>
      <c r="AR437" s="115"/>
      <c r="AS437" s="115"/>
      <c r="AT437" s="116"/>
    </row>
    <row r="438" spans="1:46" ht="39" customHeight="1" x14ac:dyDescent="0.25">
      <c r="A438" s="1468">
        <v>437</v>
      </c>
      <c r="B438" s="119">
        <v>10</v>
      </c>
      <c r="C438" s="240" t="s">
        <v>305</v>
      </c>
      <c r="D438" s="241"/>
      <c r="E438" s="242" t="s">
        <v>47</v>
      </c>
      <c r="F438" s="241"/>
      <c r="G438" s="243" t="s">
        <v>340</v>
      </c>
      <c r="H438" s="244" t="s">
        <v>83</v>
      </c>
      <c r="I438" s="340"/>
      <c r="J438" s="245">
        <v>302</v>
      </c>
      <c r="K438" s="197" t="s">
        <v>50</v>
      </c>
      <c r="L438" s="281" t="s">
        <v>2571</v>
      </c>
      <c r="M438" s="281" t="s">
        <v>2386</v>
      </c>
      <c r="N438" s="281"/>
      <c r="O438" s="216" t="s">
        <v>2613</v>
      </c>
      <c r="P438" s="287"/>
      <c r="Q438" s="242" t="s">
        <v>92</v>
      </c>
      <c r="R438" s="259" t="s">
        <v>2612</v>
      </c>
      <c r="S438" s="279">
        <v>29988</v>
      </c>
      <c r="T438" s="250"/>
      <c r="U438" s="251" t="s">
        <v>54</v>
      </c>
      <c r="V438" s="250" t="s">
        <v>2793</v>
      </c>
      <c r="W438" s="197" t="s">
        <v>56</v>
      </c>
      <c r="X438" s="197" t="s">
        <v>57</v>
      </c>
      <c r="Y438" s="197" t="s">
        <v>2609</v>
      </c>
      <c r="Z438" s="252">
        <v>45148</v>
      </c>
      <c r="AA438" s="252"/>
      <c r="AB438" s="282"/>
      <c r="AC438" s="223"/>
      <c r="AD438" s="281"/>
      <c r="AE438" s="252"/>
      <c r="AF438" s="252"/>
      <c r="AG438" s="241"/>
      <c r="AH438" s="283"/>
      <c r="AI438" s="254"/>
      <c r="AJ438" s="587" t="s">
        <v>62</v>
      </c>
      <c r="AK438" s="242">
        <v>1</v>
      </c>
      <c r="AL438" s="123" t="s">
        <v>341</v>
      </c>
      <c r="AM438" s="120" t="s">
        <v>267</v>
      </c>
      <c r="AN438" s="137"/>
      <c r="AO438" s="137"/>
      <c r="AP438" s="115"/>
      <c r="AQ438" s="115"/>
      <c r="AR438" s="115"/>
      <c r="AS438" s="115"/>
      <c r="AT438" s="115"/>
    </row>
    <row r="439" spans="1:46" ht="39" customHeight="1" x14ac:dyDescent="0.25">
      <c r="A439" s="1468">
        <v>438</v>
      </c>
      <c r="B439" s="117">
        <v>3</v>
      </c>
      <c r="C439" s="260" t="s">
        <v>364</v>
      </c>
      <c r="D439" s="241"/>
      <c r="E439" s="241"/>
      <c r="F439" s="241"/>
      <c r="G439" s="261" t="s">
        <v>365</v>
      </c>
      <c r="H439" s="262" t="s">
        <v>85</v>
      </c>
      <c r="I439" s="357"/>
      <c r="J439" s="245" t="s">
        <v>556</v>
      </c>
      <c r="K439" s="216"/>
      <c r="L439" s="216"/>
      <c r="M439" s="216" t="s">
        <v>4590</v>
      </c>
      <c r="N439" s="245"/>
      <c r="O439" s="392" t="s">
        <v>3219</v>
      </c>
      <c r="P439" s="446"/>
      <c r="Q439" s="344" t="s">
        <v>132</v>
      </c>
      <c r="R439" s="982" t="s">
        <v>1401</v>
      </c>
      <c r="S439" s="279">
        <v>37729</v>
      </c>
      <c r="T439" s="250"/>
      <c r="U439" s="251" t="s">
        <v>54</v>
      </c>
      <c r="V439" s="197" t="s">
        <v>5800</v>
      </c>
      <c r="W439" s="197" t="s">
        <v>56</v>
      </c>
      <c r="X439" s="197" t="s">
        <v>57</v>
      </c>
      <c r="Y439" s="197" t="s">
        <v>4631</v>
      </c>
      <c r="Z439" s="246">
        <v>45286</v>
      </c>
      <c r="AA439" s="246"/>
      <c r="AB439" s="282"/>
      <c r="AC439" s="223"/>
      <c r="AD439" s="282"/>
      <c r="AE439" s="258"/>
      <c r="AF439" s="258"/>
      <c r="AG439" s="241"/>
      <c r="AH439" s="283"/>
      <c r="AI439" s="254"/>
      <c r="AJ439" s="348" t="s">
        <v>560</v>
      </c>
      <c r="AK439" s="241">
        <v>4</v>
      </c>
      <c r="AL439" s="123" t="s">
        <v>341</v>
      </c>
      <c r="AM439" s="120" t="s">
        <v>267</v>
      </c>
      <c r="AN439" s="151"/>
      <c r="AO439" s="151"/>
      <c r="AP439" s="115"/>
      <c r="AQ439" s="115"/>
      <c r="AR439" s="115"/>
      <c r="AS439" s="115"/>
      <c r="AT439" s="115"/>
    </row>
    <row r="440" spans="1:46" ht="39" customHeight="1" x14ac:dyDescent="0.25">
      <c r="A440" s="1468">
        <v>439</v>
      </c>
      <c r="B440" s="117"/>
      <c r="C440" s="455"/>
      <c r="D440" s="331"/>
      <c r="E440" s="331"/>
      <c r="F440" s="331"/>
      <c r="G440" s="432"/>
      <c r="H440" s="456"/>
      <c r="I440" s="456"/>
      <c r="J440" s="329"/>
      <c r="K440" s="432"/>
      <c r="L440" s="329"/>
      <c r="M440" s="329"/>
      <c r="N440" s="329"/>
      <c r="O440" s="330"/>
      <c r="P440" s="273" t="s">
        <v>366</v>
      </c>
      <c r="Q440" s="331"/>
      <c r="R440" s="455"/>
      <c r="S440" s="279"/>
      <c r="T440" s="334"/>
      <c r="U440" s="250"/>
      <c r="V440" s="334"/>
      <c r="W440" s="334"/>
      <c r="X440" s="334"/>
      <c r="Y440" s="334"/>
      <c r="Z440" s="457"/>
      <c r="AA440" s="458"/>
      <c r="AB440" s="459"/>
      <c r="AC440" s="460"/>
      <c r="AD440" s="459"/>
      <c r="AE440" s="461"/>
      <c r="AF440" s="457"/>
      <c r="AG440" s="331"/>
      <c r="AH440" s="462"/>
      <c r="AI440" s="463"/>
      <c r="AJ440" s="464"/>
      <c r="AK440" s="331"/>
      <c r="AL440" s="163"/>
      <c r="AM440" s="163"/>
      <c r="AN440" s="163"/>
      <c r="AO440" s="163"/>
      <c r="AP440" s="115"/>
      <c r="AQ440" s="115"/>
      <c r="AR440" s="115"/>
      <c r="AS440" s="115"/>
      <c r="AT440" s="116"/>
    </row>
    <row r="441" spans="1:46" ht="39" customHeight="1" x14ac:dyDescent="0.25">
      <c r="A441" s="1468">
        <v>440</v>
      </c>
      <c r="B441" s="128">
        <v>5</v>
      </c>
      <c r="C441" s="290" t="s">
        <v>367</v>
      </c>
      <c r="D441" s="291"/>
      <c r="E441" s="291" t="s">
        <v>47</v>
      </c>
      <c r="F441" s="291"/>
      <c r="G441" s="292" t="s">
        <v>368</v>
      </c>
      <c r="H441" s="293" t="s">
        <v>132</v>
      </c>
      <c r="I441" s="346"/>
      <c r="J441" s="256">
        <v>403</v>
      </c>
      <c r="K441" s="216"/>
      <c r="L441" s="216"/>
      <c r="M441" s="216" t="s">
        <v>4590</v>
      </c>
      <c r="N441" s="366"/>
      <c r="O441" s="216" t="s">
        <v>2645</v>
      </c>
      <c r="P441" s="320" t="s">
        <v>1828</v>
      </c>
      <c r="Q441" s="373" t="s">
        <v>570</v>
      </c>
      <c r="R441" s="982" t="s">
        <v>2644</v>
      </c>
      <c r="S441" s="279">
        <v>30143</v>
      </c>
      <c r="T441" s="257"/>
      <c r="U441" s="251" t="s">
        <v>54</v>
      </c>
      <c r="V441" s="250" t="s">
        <v>2793</v>
      </c>
      <c r="W441" s="197" t="s">
        <v>56</v>
      </c>
      <c r="X441" s="197" t="s">
        <v>57</v>
      </c>
      <c r="Y441" s="197" t="s">
        <v>2609</v>
      </c>
      <c r="Z441" s="246">
        <v>45141</v>
      </c>
      <c r="AA441" s="252"/>
      <c r="AB441" s="257"/>
      <c r="AC441" s="223"/>
      <c r="AD441" s="257"/>
      <c r="AE441" s="289"/>
      <c r="AF441" s="289"/>
      <c r="AG441" s="392"/>
      <c r="AH441" s="299"/>
      <c r="AI441" s="254"/>
      <c r="AJ441" s="348" t="s">
        <v>560</v>
      </c>
      <c r="AK441" s="291">
        <v>3</v>
      </c>
      <c r="AL441" s="123" t="s">
        <v>341</v>
      </c>
      <c r="AM441" s="120" t="s">
        <v>267</v>
      </c>
      <c r="AN441" s="138"/>
      <c r="AO441" s="138"/>
      <c r="AP441" s="115"/>
      <c r="AQ441" s="115"/>
      <c r="AR441" s="115"/>
      <c r="AS441" s="115"/>
      <c r="AT441" s="115"/>
    </row>
    <row r="442" spans="1:46" ht="39" customHeight="1" x14ac:dyDescent="0.25">
      <c r="A442" s="1468">
        <v>441</v>
      </c>
      <c r="B442" s="117">
        <v>3</v>
      </c>
      <c r="C442" s="506" t="s">
        <v>369</v>
      </c>
      <c r="D442" s="507"/>
      <c r="E442" s="476"/>
      <c r="F442" s="476"/>
      <c r="G442" s="477" t="s">
        <v>370</v>
      </c>
      <c r="H442" s="262" t="s">
        <v>87</v>
      </c>
      <c r="I442" s="508"/>
      <c r="J442" s="245" t="s">
        <v>561</v>
      </c>
      <c r="K442" s="216"/>
      <c r="L442" s="216" t="s">
        <v>1993</v>
      </c>
      <c r="M442" s="216" t="s">
        <v>4590</v>
      </c>
      <c r="N442" s="366"/>
      <c r="O442" s="216" t="s">
        <v>2349</v>
      </c>
      <c r="P442" s="320" t="s">
        <v>1828</v>
      </c>
      <c r="Q442" s="373" t="s">
        <v>87</v>
      </c>
      <c r="R442" s="982" t="s">
        <v>2348</v>
      </c>
      <c r="S442" s="279">
        <v>25247</v>
      </c>
      <c r="T442" s="502"/>
      <c r="U442" s="251" t="s">
        <v>54</v>
      </c>
      <c r="V442" s="250" t="s">
        <v>2793</v>
      </c>
      <c r="W442" s="197" t="s">
        <v>56</v>
      </c>
      <c r="X442" s="197" t="s">
        <v>57</v>
      </c>
      <c r="Y442" s="197" t="s">
        <v>2609</v>
      </c>
      <c r="Z442" s="246">
        <v>45141</v>
      </c>
      <c r="AA442" s="252"/>
      <c r="AB442" s="301"/>
      <c r="AC442" s="223"/>
      <c r="AD442" s="301"/>
      <c r="AE442" s="306"/>
      <c r="AF442" s="306"/>
      <c r="AG442" s="241"/>
      <c r="AH442" s="483"/>
      <c r="AI442" s="296"/>
      <c r="AJ442" s="348" t="s">
        <v>560</v>
      </c>
      <c r="AK442" s="241">
        <v>4</v>
      </c>
      <c r="AL442" s="123" t="s">
        <v>341</v>
      </c>
      <c r="AM442" s="120" t="s">
        <v>267</v>
      </c>
      <c r="AN442" s="173"/>
      <c r="AO442" s="173"/>
      <c r="AP442" s="115"/>
      <c r="AQ442" s="115"/>
      <c r="AR442" s="115"/>
      <c r="AS442" s="115"/>
      <c r="AT442" s="115"/>
    </row>
    <row r="443" spans="1:46" ht="39" customHeight="1" x14ac:dyDescent="0.25">
      <c r="A443" s="1468">
        <v>442</v>
      </c>
      <c r="B443" s="161">
        <v>2</v>
      </c>
      <c r="C443" s="503" t="s">
        <v>371</v>
      </c>
      <c r="D443" s="471"/>
      <c r="E443" s="471"/>
      <c r="F443" s="471"/>
      <c r="G443" s="472" t="s">
        <v>372</v>
      </c>
      <c r="H443" s="262" t="s">
        <v>87</v>
      </c>
      <c r="I443" s="492"/>
      <c r="J443" s="245" t="s">
        <v>561</v>
      </c>
      <c r="K443" s="216"/>
      <c r="L443" s="301"/>
      <c r="M443" s="216" t="s">
        <v>4590</v>
      </c>
      <c r="N443" s="366"/>
      <c r="O443" s="950" t="s">
        <v>2757</v>
      </c>
      <c r="P443" s="325"/>
      <c r="Q443" s="373" t="s">
        <v>293</v>
      </c>
      <c r="R443" s="982" t="s">
        <v>2756</v>
      </c>
      <c r="S443" s="279">
        <v>38491</v>
      </c>
      <c r="T443" s="306"/>
      <c r="U443" s="251" t="s">
        <v>54</v>
      </c>
      <c r="V443" s="250" t="s">
        <v>2793</v>
      </c>
      <c r="W443" s="197" t="s">
        <v>56</v>
      </c>
      <c r="X443" s="197" t="s">
        <v>57</v>
      </c>
      <c r="Y443" s="197" t="s">
        <v>2609</v>
      </c>
      <c r="Z443" s="246">
        <v>45141</v>
      </c>
      <c r="AA443" s="246"/>
      <c r="AB443" s="301"/>
      <c r="AC443" s="223"/>
      <c r="AD443" s="301"/>
      <c r="AE443" s="306"/>
      <c r="AF443" s="306"/>
      <c r="AG443" s="301"/>
      <c r="AH443" s="301"/>
      <c r="AI443" s="386"/>
      <c r="AJ443" s="348" t="s">
        <v>560</v>
      </c>
      <c r="AK443" s="241">
        <v>4</v>
      </c>
      <c r="AL443" s="123" t="s">
        <v>341</v>
      </c>
      <c r="AM443" s="120" t="s">
        <v>267</v>
      </c>
      <c r="AN443" s="167"/>
      <c r="AO443" s="167"/>
      <c r="AP443" s="115"/>
      <c r="AQ443" s="115"/>
      <c r="AR443" s="115"/>
      <c r="AS443" s="115"/>
      <c r="AT443" s="115"/>
    </row>
    <row r="444" spans="1:46" ht="39" customHeight="1" x14ac:dyDescent="0.25">
      <c r="A444" s="1468">
        <v>443</v>
      </c>
      <c r="B444" s="117">
        <v>2</v>
      </c>
      <c r="C444" s="501" t="s">
        <v>353</v>
      </c>
      <c r="D444" s="241"/>
      <c r="E444" s="241"/>
      <c r="F444" s="241"/>
      <c r="G444" s="261" t="s">
        <v>354</v>
      </c>
      <c r="H444" s="262" t="s">
        <v>87</v>
      </c>
      <c r="I444" s="357"/>
      <c r="J444" s="245" t="s">
        <v>561</v>
      </c>
      <c r="K444" s="216"/>
      <c r="L444" s="250"/>
      <c r="M444" s="250"/>
      <c r="N444" s="366"/>
      <c r="O444" s="216" t="s">
        <v>2681</v>
      </c>
      <c r="P444" s="325"/>
      <c r="Q444" s="344" t="s">
        <v>293</v>
      </c>
      <c r="R444" s="982" t="s">
        <v>2680</v>
      </c>
      <c r="S444" s="279">
        <v>28024</v>
      </c>
      <c r="T444" s="197"/>
      <c r="U444" s="251" t="s">
        <v>54</v>
      </c>
      <c r="V444" s="250" t="s">
        <v>2793</v>
      </c>
      <c r="W444" s="197" t="s">
        <v>56</v>
      </c>
      <c r="X444" s="197" t="s">
        <v>57</v>
      </c>
      <c r="Y444" s="197" t="s">
        <v>2609</v>
      </c>
      <c r="Z444" s="246">
        <v>45141</v>
      </c>
      <c r="AA444" s="252"/>
      <c r="AB444" s="257"/>
      <c r="AC444" s="223"/>
      <c r="AD444" s="257"/>
      <c r="AE444" s="223"/>
      <c r="AF444" s="223"/>
      <c r="AG444" s="241"/>
      <c r="AH444" s="283"/>
      <c r="AI444" s="223"/>
      <c r="AJ444" s="348" t="s">
        <v>560</v>
      </c>
      <c r="AK444" s="241">
        <v>4</v>
      </c>
      <c r="AL444" s="123" t="s">
        <v>341</v>
      </c>
      <c r="AM444" s="120" t="s">
        <v>267</v>
      </c>
      <c r="AN444" s="151" t="s">
        <v>4193</v>
      </c>
      <c r="AO444" s="151"/>
      <c r="AP444" s="115"/>
      <c r="AQ444" s="115"/>
      <c r="AR444" s="115"/>
      <c r="AS444" s="115"/>
      <c r="AT444" s="115"/>
    </row>
    <row r="445" spans="1:46" ht="39" customHeight="1" x14ac:dyDescent="0.25">
      <c r="A445" s="1468">
        <v>444</v>
      </c>
      <c r="B445" s="117"/>
      <c r="C445" s="455"/>
      <c r="D445" s="331"/>
      <c r="E445" s="331"/>
      <c r="F445" s="331"/>
      <c r="G445" s="432"/>
      <c r="H445" s="456"/>
      <c r="I445" s="456"/>
      <c r="J445" s="329"/>
      <c r="K445" s="432"/>
      <c r="L445" s="329"/>
      <c r="M445" s="329"/>
      <c r="N445" s="329"/>
      <c r="O445" s="330"/>
      <c r="P445" s="273" t="s">
        <v>373</v>
      </c>
      <c r="Q445" s="331"/>
      <c r="R445" s="455"/>
      <c r="S445" s="279"/>
      <c r="T445" s="334"/>
      <c r="U445" s="250"/>
      <c r="V445" s="334"/>
      <c r="W445" s="334"/>
      <c r="X445" s="334"/>
      <c r="Y445" s="334"/>
      <c r="Z445" s="457"/>
      <c r="AA445" s="458"/>
      <c r="AB445" s="459"/>
      <c r="AC445" s="460"/>
      <c r="AD445" s="459"/>
      <c r="AE445" s="461"/>
      <c r="AF445" s="457"/>
      <c r="AG445" s="331"/>
      <c r="AH445" s="462"/>
      <c r="AI445" s="463"/>
      <c r="AJ445" s="464"/>
      <c r="AK445" s="331"/>
      <c r="AL445" s="163"/>
      <c r="AM445" s="163"/>
      <c r="AN445" s="163"/>
      <c r="AO445" s="163"/>
      <c r="AP445" s="115"/>
      <c r="AQ445" s="115"/>
      <c r="AR445" s="115"/>
      <c r="AS445" s="115"/>
      <c r="AT445" s="116"/>
    </row>
    <row r="446" spans="1:46" ht="39" customHeight="1" x14ac:dyDescent="0.25">
      <c r="A446" s="1468">
        <v>445</v>
      </c>
      <c r="B446" s="128">
        <v>7</v>
      </c>
      <c r="C446" s="290" t="s">
        <v>374</v>
      </c>
      <c r="D446" s="291"/>
      <c r="E446" s="291" t="s">
        <v>47</v>
      </c>
      <c r="F446" s="291"/>
      <c r="G446" s="292" t="s">
        <v>375</v>
      </c>
      <c r="H446" s="293" t="s">
        <v>132</v>
      </c>
      <c r="I446" s="346"/>
      <c r="J446" s="256">
        <v>403</v>
      </c>
      <c r="K446" s="265"/>
      <c r="L446" s="265" t="s">
        <v>1490</v>
      </c>
      <c r="M446" s="216" t="s">
        <v>4590</v>
      </c>
      <c r="N446" s="404"/>
      <c r="O446" s="265" t="s">
        <v>1512</v>
      </c>
      <c r="P446" s="739" t="s">
        <v>1828</v>
      </c>
      <c r="Q446" s="786" t="s">
        <v>293</v>
      </c>
      <c r="R446" s="834" t="s">
        <v>1511</v>
      </c>
      <c r="S446" s="279">
        <v>26411</v>
      </c>
      <c r="T446" s="434"/>
      <c r="U446" s="251" t="s">
        <v>178</v>
      </c>
      <c r="V446" s="250" t="s">
        <v>6084</v>
      </c>
      <c r="W446" s="197" t="s">
        <v>1955</v>
      </c>
      <c r="X446" s="197" t="s">
        <v>3477</v>
      </c>
      <c r="Y446" s="949" t="s">
        <v>6096</v>
      </c>
      <c r="Z446" s="246">
        <v>45317</v>
      </c>
      <c r="AA446" s="440">
        <v>45376</v>
      </c>
      <c r="AB446" s="434"/>
      <c r="AC446" s="474"/>
      <c r="AD446" s="434"/>
      <c r="AE446" s="440"/>
      <c r="AF446" s="440"/>
      <c r="AG446" s="471"/>
      <c r="AH446" s="496"/>
      <c r="AI446" s="586"/>
      <c r="AJ446" s="743" t="s">
        <v>560</v>
      </c>
      <c r="AK446" s="348">
        <v>3</v>
      </c>
      <c r="AL446" s="123" t="s">
        <v>341</v>
      </c>
      <c r="AM446" s="120" t="s">
        <v>267</v>
      </c>
      <c r="AN446" s="138"/>
      <c r="AO446" s="138"/>
      <c r="AP446" s="115"/>
      <c r="AQ446" s="115"/>
      <c r="AR446" s="115"/>
      <c r="AS446" s="115"/>
      <c r="AT446" s="115"/>
    </row>
    <row r="447" spans="1:46" ht="39" customHeight="1" x14ac:dyDescent="0.25">
      <c r="A447" s="1468">
        <v>446</v>
      </c>
      <c r="B447" s="117">
        <v>3</v>
      </c>
      <c r="C447" s="510" t="s">
        <v>376</v>
      </c>
      <c r="D447" s="476"/>
      <c r="E447" s="476"/>
      <c r="F447" s="476"/>
      <c r="G447" s="477" t="s">
        <v>377</v>
      </c>
      <c r="H447" s="262" t="s">
        <v>85</v>
      </c>
      <c r="I447" s="508"/>
      <c r="J447" s="245" t="s">
        <v>556</v>
      </c>
      <c r="K447" s="216"/>
      <c r="L447" s="250"/>
      <c r="M447" s="216" t="s">
        <v>4590</v>
      </c>
      <c r="N447" s="366"/>
      <c r="O447" s="216" t="s">
        <v>2695</v>
      </c>
      <c r="P447" s="402"/>
      <c r="Q447" s="344" t="s">
        <v>293</v>
      </c>
      <c r="R447" s="982" t="s">
        <v>2694</v>
      </c>
      <c r="S447" s="279">
        <v>30132</v>
      </c>
      <c r="T447" s="257"/>
      <c r="U447" s="251" t="s">
        <v>54</v>
      </c>
      <c r="V447" s="250" t="s">
        <v>2793</v>
      </c>
      <c r="W447" s="197" t="s">
        <v>56</v>
      </c>
      <c r="X447" s="197" t="s">
        <v>57</v>
      </c>
      <c r="Y447" s="197" t="s">
        <v>2609</v>
      </c>
      <c r="Z447" s="246">
        <v>45141</v>
      </c>
      <c r="AA447" s="252"/>
      <c r="AB447" s="257"/>
      <c r="AC447" s="223"/>
      <c r="AD447" s="257"/>
      <c r="AE447" s="289"/>
      <c r="AF447" s="1132"/>
      <c r="AG447" s="1133"/>
      <c r="AH447" s="281"/>
      <c r="AI447" s="254"/>
      <c r="AJ447" s="348" t="s">
        <v>560</v>
      </c>
      <c r="AK447" s="241">
        <v>4</v>
      </c>
      <c r="AL447" s="123" t="s">
        <v>341</v>
      </c>
      <c r="AM447" s="120" t="s">
        <v>267</v>
      </c>
      <c r="AN447" s="173"/>
      <c r="AO447" s="173"/>
      <c r="AP447" s="115"/>
      <c r="AQ447" s="115"/>
      <c r="AR447" s="115"/>
      <c r="AS447" s="115"/>
      <c r="AT447" s="115"/>
    </row>
    <row r="448" spans="1:46" ht="39" customHeight="1" x14ac:dyDescent="0.25">
      <c r="A448" s="1468">
        <v>447</v>
      </c>
      <c r="B448" s="117">
        <v>2</v>
      </c>
      <c r="C448" s="503" t="s">
        <v>299</v>
      </c>
      <c r="D448" s="471"/>
      <c r="E448" s="471"/>
      <c r="F448" s="471"/>
      <c r="G448" s="472" t="s">
        <v>300</v>
      </c>
      <c r="H448" s="262" t="s">
        <v>87</v>
      </c>
      <c r="I448" s="473"/>
      <c r="J448" s="245" t="s">
        <v>561</v>
      </c>
      <c r="K448" s="684"/>
      <c r="L448" s="685"/>
      <c r="M448" s="216" t="s">
        <v>4590</v>
      </c>
      <c r="N448" s="684"/>
      <c r="O448" s="216" t="s">
        <v>2738</v>
      </c>
      <c r="P448" s="402"/>
      <c r="Q448" s="344" t="s">
        <v>293</v>
      </c>
      <c r="R448" s="982" t="s">
        <v>2737</v>
      </c>
      <c r="S448" s="279">
        <v>31443</v>
      </c>
      <c r="T448" s="684"/>
      <c r="U448" s="251" t="s">
        <v>886</v>
      </c>
      <c r="V448" s="250" t="s">
        <v>4048</v>
      </c>
      <c r="W448" s="197" t="s">
        <v>4049</v>
      </c>
      <c r="X448" s="197" t="s">
        <v>886</v>
      </c>
      <c r="Y448" s="197"/>
      <c r="Z448" s="246">
        <v>45226</v>
      </c>
      <c r="AA448" s="684"/>
      <c r="AB448" s="1290"/>
      <c r="AC448" s="684"/>
      <c r="AD448" s="686"/>
      <c r="AE448" s="684"/>
      <c r="AF448" s="684"/>
      <c r="AG448" s="684"/>
      <c r="AH448" s="684"/>
      <c r="AI448" s="685"/>
      <c r="AJ448" s="348" t="s">
        <v>560</v>
      </c>
      <c r="AK448" s="241">
        <v>4</v>
      </c>
      <c r="AL448" s="176" t="s">
        <v>341</v>
      </c>
      <c r="AM448" s="165" t="s">
        <v>267</v>
      </c>
      <c r="AN448" s="167"/>
      <c r="AO448" s="167"/>
      <c r="AP448" s="115"/>
      <c r="AQ448" s="115"/>
      <c r="AR448" s="115"/>
      <c r="AS448" s="115"/>
      <c r="AT448" s="115"/>
    </row>
    <row r="449" spans="1:46" ht="39" customHeight="1" x14ac:dyDescent="0.25">
      <c r="A449" s="1468">
        <v>448</v>
      </c>
      <c r="B449" s="117">
        <v>2</v>
      </c>
      <c r="C449" s="501" t="s">
        <v>360</v>
      </c>
      <c r="D449" s="241"/>
      <c r="E449" s="241"/>
      <c r="F449" s="241"/>
      <c r="G449" s="261" t="s">
        <v>354</v>
      </c>
      <c r="H449" s="262" t="s">
        <v>87</v>
      </c>
      <c r="I449" s="357"/>
      <c r="J449" s="245" t="s">
        <v>561</v>
      </c>
      <c r="K449" s="257"/>
      <c r="L449" s="299"/>
      <c r="M449" s="216" t="s">
        <v>4590</v>
      </c>
      <c r="N449" s="299"/>
      <c r="O449" s="216" t="s">
        <v>2707</v>
      </c>
      <c r="P449" s="402"/>
      <c r="Q449" s="344" t="s">
        <v>293</v>
      </c>
      <c r="R449" s="982" t="s">
        <v>2706</v>
      </c>
      <c r="S449" s="279">
        <v>31383</v>
      </c>
      <c r="T449" s="289"/>
      <c r="U449" s="251" t="s">
        <v>54</v>
      </c>
      <c r="V449" s="1416" t="s">
        <v>5857</v>
      </c>
      <c r="W449" s="197" t="s">
        <v>56</v>
      </c>
      <c r="X449" s="197" t="s">
        <v>57</v>
      </c>
      <c r="Y449" s="197" t="s">
        <v>2609</v>
      </c>
      <c r="Z449" s="246">
        <v>45301</v>
      </c>
      <c r="AA449" s="289"/>
      <c r="AB449" s="299"/>
      <c r="AC449" s="223"/>
      <c r="AD449" s="299"/>
      <c r="AE449" s="289"/>
      <c r="AF449" s="289"/>
      <c r="AG449" s="299"/>
      <c r="AH449" s="299"/>
      <c r="AI449" s="223"/>
      <c r="AJ449" s="348" t="s">
        <v>560</v>
      </c>
      <c r="AK449" s="241">
        <v>4</v>
      </c>
      <c r="AL449" s="123" t="s">
        <v>341</v>
      </c>
      <c r="AM449" s="120" t="s">
        <v>267</v>
      </c>
      <c r="AN449" s="151"/>
      <c r="AO449" s="151"/>
      <c r="AP449" s="115"/>
      <c r="AQ449" s="115"/>
      <c r="AR449" s="115"/>
      <c r="AS449" s="115"/>
      <c r="AT449" s="115"/>
    </row>
    <row r="450" spans="1:46" ht="39" customHeight="1" x14ac:dyDescent="0.25">
      <c r="A450" s="1468">
        <v>449</v>
      </c>
      <c r="B450" s="117"/>
      <c r="C450" s="455"/>
      <c r="D450" s="331"/>
      <c r="E450" s="331"/>
      <c r="F450" s="331"/>
      <c r="G450" s="432"/>
      <c r="H450" s="456"/>
      <c r="I450" s="456"/>
      <c r="J450" s="329"/>
      <c r="K450" s="432"/>
      <c r="L450" s="329"/>
      <c r="M450" s="329"/>
      <c r="N450" s="329"/>
      <c r="O450" s="330"/>
      <c r="P450" s="273" t="s">
        <v>378</v>
      </c>
      <c r="Q450" s="331"/>
      <c r="R450" s="455"/>
      <c r="S450" s="279"/>
      <c r="T450" s="334"/>
      <c r="U450" s="250"/>
      <c r="V450" s="334"/>
      <c r="W450" s="334"/>
      <c r="X450" s="334"/>
      <c r="Y450" s="334"/>
      <c r="Z450" s="457"/>
      <c r="AA450" s="458"/>
      <c r="AB450" s="459"/>
      <c r="AC450" s="460"/>
      <c r="AD450" s="459"/>
      <c r="AE450" s="461"/>
      <c r="AF450" s="457"/>
      <c r="AG450" s="331"/>
      <c r="AH450" s="462"/>
      <c r="AI450" s="463"/>
      <c r="AJ450" s="464"/>
      <c r="AK450" s="331"/>
      <c r="AL450" s="163"/>
      <c r="AM450" s="163"/>
      <c r="AN450" s="163"/>
      <c r="AO450" s="163"/>
      <c r="AP450" s="115"/>
      <c r="AQ450" s="115"/>
      <c r="AR450" s="115"/>
      <c r="AS450" s="115"/>
      <c r="AT450" s="116"/>
    </row>
    <row r="451" spans="1:46" ht="39" customHeight="1" x14ac:dyDescent="0.25">
      <c r="A451" s="1468">
        <v>450</v>
      </c>
      <c r="B451" s="119">
        <v>10</v>
      </c>
      <c r="C451" s="240" t="s">
        <v>305</v>
      </c>
      <c r="D451" s="282"/>
      <c r="E451" s="338" t="s">
        <v>47</v>
      </c>
      <c r="F451" s="282"/>
      <c r="G451" s="243" t="s">
        <v>91</v>
      </c>
      <c r="H451" s="244" t="s">
        <v>83</v>
      </c>
      <c r="I451" s="340"/>
      <c r="J451" s="245">
        <v>302</v>
      </c>
      <c r="K451" s="197" t="s">
        <v>50</v>
      </c>
      <c r="L451" s="281" t="s">
        <v>3965</v>
      </c>
      <c r="M451" s="281" t="s">
        <v>3560</v>
      </c>
      <c r="N451" s="245"/>
      <c r="O451" s="1476" t="s">
        <v>3213</v>
      </c>
      <c r="P451" s="247"/>
      <c r="Q451" s="338" t="s">
        <v>119</v>
      </c>
      <c r="R451" s="990" t="s">
        <v>1126</v>
      </c>
      <c r="S451" s="279">
        <v>36712</v>
      </c>
      <c r="T451" s="250"/>
      <c r="U451" s="251" t="s">
        <v>54</v>
      </c>
      <c r="V451" s="250" t="s">
        <v>2031</v>
      </c>
      <c r="W451" s="197" t="s">
        <v>56</v>
      </c>
      <c r="X451" s="197" t="s">
        <v>475</v>
      </c>
      <c r="Y451" s="250" t="s">
        <v>1471</v>
      </c>
      <c r="Z451" s="289">
        <v>45139</v>
      </c>
      <c r="AA451" s="252"/>
      <c r="AB451" s="245"/>
      <c r="AC451" s="223"/>
      <c r="AD451" s="281"/>
      <c r="AE451" s="252"/>
      <c r="AF451" s="252"/>
      <c r="AG451" s="241"/>
      <c r="AH451" s="283"/>
      <c r="AI451" s="296"/>
      <c r="AJ451" s="255" t="s">
        <v>62</v>
      </c>
      <c r="AK451" s="242">
        <v>1</v>
      </c>
      <c r="AL451" s="123" t="s">
        <v>379</v>
      </c>
      <c r="AM451" s="120" t="s">
        <v>267</v>
      </c>
      <c r="AN451" s="137"/>
      <c r="AO451" s="137"/>
      <c r="AP451" s="115"/>
      <c r="AQ451" s="115"/>
      <c r="AR451" s="115"/>
      <c r="AS451" s="115"/>
      <c r="AT451" s="115"/>
    </row>
    <row r="452" spans="1:46" ht="39" customHeight="1" x14ac:dyDescent="0.25">
      <c r="A452" s="1468">
        <v>451</v>
      </c>
      <c r="B452" s="117"/>
      <c r="C452" s="455"/>
      <c r="D452" s="331"/>
      <c r="E452" s="331"/>
      <c r="F452" s="331"/>
      <c r="G452" s="432"/>
      <c r="H452" s="456"/>
      <c r="I452" s="456"/>
      <c r="J452" s="329"/>
      <c r="K452" s="432"/>
      <c r="L452" s="329"/>
      <c r="M452" s="329"/>
      <c r="N452" s="329"/>
      <c r="O452" s="330"/>
      <c r="P452" s="273" t="s">
        <v>380</v>
      </c>
      <c r="Q452" s="331"/>
      <c r="R452" s="455"/>
      <c r="S452" s="279"/>
      <c r="T452" s="334"/>
      <c r="U452" s="250"/>
      <c r="V452" s="334"/>
      <c r="W452" s="334"/>
      <c r="X452" s="334"/>
      <c r="Y452" s="334"/>
      <c r="Z452" s="457"/>
      <c r="AA452" s="458"/>
      <c r="AB452" s="459"/>
      <c r="AC452" s="460"/>
      <c r="AD452" s="459"/>
      <c r="AE452" s="461"/>
      <c r="AF452" s="457"/>
      <c r="AG452" s="331"/>
      <c r="AH452" s="462"/>
      <c r="AI452" s="463"/>
      <c r="AJ452" s="464"/>
      <c r="AK452" s="331"/>
      <c r="AL452" s="163"/>
      <c r="AM452" s="163"/>
      <c r="AN452" s="163"/>
      <c r="AO452" s="163"/>
      <c r="AP452" s="115"/>
      <c r="AQ452" s="115"/>
      <c r="AR452" s="115"/>
      <c r="AS452" s="115"/>
      <c r="AT452" s="116"/>
    </row>
    <row r="453" spans="1:46" ht="39" customHeight="1" x14ac:dyDescent="0.25">
      <c r="A453" s="1468">
        <v>452</v>
      </c>
      <c r="B453" s="128">
        <v>7</v>
      </c>
      <c r="C453" s="290" t="s">
        <v>374</v>
      </c>
      <c r="D453" s="344"/>
      <c r="E453" s="344" t="s">
        <v>47</v>
      </c>
      <c r="F453" s="344"/>
      <c r="G453" s="292" t="s">
        <v>381</v>
      </c>
      <c r="H453" s="293" t="s">
        <v>132</v>
      </c>
      <c r="I453" s="346"/>
      <c r="J453" s="256">
        <v>403</v>
      </c>
      <c r="K453" s="684"/>
      <c r="L453" s="299" t="s">
        <v>2007</v>
      </c>
      <c r="M453" s="216" t="s">
        <v>4590</v>
      </c>
      <c r="N453" s="684"/>
      <c r="O453" s="216" t="s">
        <v>2006</v>
      </c>
      <c r="P453" s="684"/>
      <c r="Q453" s="344" t="s">
        <v>293</v>
      </c>
      <c r="R453" s="982" t="s">
        <v>2005</v>
      </c>
      <c r="S453" s="279">
        <v>34830</v>
      </c>
      <c r="T453" s="684"/>
      <c r="U453" s="251" t="s">
        <v>54</v>
      </c>
      <c r="V453" s="250" t="s">
        <v>2793</v>
      </c>
      <c r="W453" s="197" t="s">
        <v>56</v>
      </c>
      <c r="X453" s="197" t="s">
        <v>57</v>
      </c>
      <c r="Y453" s="197" t="s">
        <v>2609</v>
      </c>
      <c r="Z453" s="246">
        <v>45142</v>
      </c>
      <c r="AA453" s="684"/>
      <c r="AB453" s="1290"/>
      <c r="AC453" s="684"/>
      <c r="AD453" s="686"/>
      <c r="AE453" s="684"/>
      <c r="AF453" s="684"/>
      <c r="AG453" s="684"/>
      <c r="AH453" s="684"/>
      <c r="AI453" s="685"/>
      <c r="AJ453" s="348" t="s">
        <v>560</v>
      </c>
      <c r="AK453" s="291">
        <v>3</v>
      </c>
      <c r="AL453" s="123" t="s">
        <v>379</v>
      </c>
      <c r="AM453" s="120" t="s">
        <v>267</v>
      </c>
      <c r="AN453" s="138"/>
      <c r="AO453" s="138"/>
      <c r="AP453" s="115"/>
      <c r="AQ453" s="115"/>
      <c r="AR453" s="115"/>
      <c r="AS453" s="115"/>
      <c r="AT453" s="115"/>
    </row>
    <row r="454" spans="1:46" ht="39" customHeight="1" x14ac:dyDescent="0.25">
      <c r="A454" s="1468">
        <v>453</v>
      </c>
      <c r="B454" s="159">
        <v>4</v>
      </c>
      <c r="C454" s="475" t="s">
        <v>382</v>
      </c>
      <c r="D454" s="487" t="s">
        <v>134</v>
      </c>
      <c r="E454" s="487"/>
      <c r="F454" s="487"/>
      <c r="G454" s="477" t="s">
        <v>310</v>
      </c>
      <c r="H454" s="262" t="s">
        <v>85</v>
      </c>
      <c r="I454" s="508"/>
      <c r="J454" s="245" t="s">
        <v>556</v>
      </c>
      <c r="K454" s="257"/>
      <c r="L454" s="299"/>
      <c r="M454" s="216" t="s">
        <v>4590</v>
      </c>
      <c r="N454" s="299"/>
      <c r="O454" s="216" t="s">
        <v>2004</v>
      </c>
      <c r="P454" s="300"/>
      <c r="Q454" s="375" t="s">
        <v>293</v>
      </c>
      <c r="R454" s="982" t="s">
        <v>2003</v>
      </c>
      <c r="S454" s="279">
        <v>36496</v>
      </c>
      <c r="T454" s="289"/>
      <c r="U454" s="251" t="s">
        <v>54</v>
      </c>
      <c r="V454" s="250" t="s">
        <v>2793</v>
      </c>
      <c r="W454" s="197" t="s">
        <v>56</v>
      </c>
      <c r="X454" s="197" t="s">
        <v>57</v>
      </c>
      <c r="Y454" s="197" t="s">
        <v>2609</v>
      </c>
      <c r="Z454" s="246">
        <v>45142</v>
      </c>
      <c r="AA454" s="289"/>
      <c r="AB454" s="299"/>
      <c r="AC454" s="223"/>
      <c r="AD454" s="299"/>
      <c r="AE454" s="289"/>
      <c r="AF454" s="289"/>
      <c r="AG454" s="299"/>
      <c r="AH454" s="299"/>
      <c r="AI454" s="223"/>
      <c r="AJ454" s="348" t="s">
        <v>560</v>
      </c>
      <c r="AK454" s="241">
        <v>4</v>
      </c>
      <c r="AL454" s="123" t="s">
        <v>379</v>
      </c>
      <c r="AM454" s="120" t="s">
        <v>267</v>
      </c>
      <c r="AN454" s="172" t="s">
        <v>4184</v>
      </c>
      <c r="AO454" s="173"/>
      <c r="AP454" s="115"/>
      <c r="AQ454" s="115"/>
      <c r="AR454" s="115"/>
      <c r="AS454" s="115"/>
      <c r="AT454" s="115"/>
    </row>
    <row r="455" spans="1:46" ht="39" customHeight="1" x14ac:dyDescent="0.25">
      <c r="A455" s="1468">
        <v>454</v>
      </c>
      <c r="B455" s="117">
        <v>3</v>
      </c>
      <c r="C455" s="260" t="s">
        <v>346</v>
      </c>
      <c r="D455" s="282"/>
      <c r="E455" s="282"/>
      <c r="F455" s="282"/>
      <c r="G455" s="261" t="s">
        <v>383</v>
      </c>
      <c r="H455" s="262" t="s">
        <v>85</v>
      </c>
      <c r="I455" s="357"/>
      <c r="J455" s="245" t="s">
        <v>556</v>
      </c>
      <c r="K455" s="216"/>
      <c r="L455" s="299"/>
      <c r="M455" s="299"/>
      <c r="N455" s="366"/>
      <c r="O455" s="392" t="s">
        <v>3194</v>
      </c>
      <c r="P455" s="374"/>
      <c r="Q455" s="373" t="s">
        <v>570</v>
      </c>
      <c r="R455" s="982" t="s">
        <v>1392</v>
      </c>
      <c r="S455" s="279">
        <v>36598</v>
      </c>
      <c r="T455" s="197"/>
      <c r="U455" s="251" t="s">
        <v>54</v>
      </c>
      <c r="V455" s="197" t="s">
        <v>2378</v>
      </c>
      <c r="W455" s="819" t="s">
        <v>56</v>
      </c>
      <c r="X455" s="819" t="s">
        <v>57</v>
      </c>
      <c r="Y455" s="949" t="s">
        <v>2379</v>
      </c>
      <c r="Z455" s="246">
        <v>45177</v>
      </c>
      <c r="AA455" s="374"/>
      <c r="AB455" s="257"/>
      <c r="AC455" s="223"/>
      <c r="AD455" s="257"/>
      <c r="AE455" s="223"/>
      <c r="AF455" s="223"/>
      <c r="AG455" s="282"/>
      <c r="AH455" s="299"/>
      <c r="AI455" s="386"/>
      <c r="AJ455" s="348" t="s">
        <v>560</v>
      </c>
      <c r="AK455" s="241">
        <v>4</v>
      </c>
      <c r="AL455" s="123" t="s">
        <v>379</v>
      </c>
      <c r="AM455" s="120" t="s">
        <v>267</v>
      </c>
      <c r="AN455" s="151"/>
      <c r="AO455" s="151"/>
      <c r="AP455" s="115"/>
      <c r="AQ455" s="115"/>
      <c r="AR455" s="115"/>
      <c r="AS455" s="115"/>
      <c r="AT455" s="115"/>
    </row>
    <row r="456" spans="1:46" ht="39" customHeight="1" x14ac:dyDescent="0.25">
      <c r="A456" s="1468">
        <v>455</v>
      </c>
      <c r="B456" s="159">
        <v>2</v>
      </c>
      <c r="C456" s="358" t="s">
        <v>385</v>
      </c>
      <c r="D456" s="282"/>
      <c r="E456" s="282"/>
      <c r="F456" s="282"/>
      <c r="G456" s="261" t="s">
        <v>386</v>
      </c>
      <c r="H456" s="262" t="s">
        <v>85</v>
      </c>
      <c r="I456" s="357"/>
      <c r="J456" s="245" t="s">
        <v>556</v>
      </c>
      <c r="K456" s="216"/>
      <c r="L456" s="288" t="s">
        <v>1526</v>
      </c>
      <c r="M456" s="216" t="s">
        <v>4590</v>
      </c>
      <c r="N456" s="374"/>
      <c r="O456" s="385" t="s">
        <v>1590</v>
      </c>
      <c r="P456" s="374"/>
      <c r="Q456" s="373" t="s">
        <v>87</v>
      </c>
      <c r="R456" s="982" t="s">
        <v>1591</v>
      </c>
      <c r="S456" s="279">
        <v>30275</v>
      </c>
      <c r="T456" s="197"/>
      <c r="U456" s="251" t="s">
        <v>54</v>
      </c>
      <c r="V456" s="250" t="s">
        <v>1922</v>
      </c>
      <c r="W456" s="197" t="s">
        <v>56</v>
      </c>
      <c r="X456" s="197" t="s">
        <v>57</v>
      </c>
      <c r="Y456" s="252" t="s">
        <v>1933</v>
      </c>
      <c r="Z456" s="252">
        <v>45133</v>
      </c>
      <c r="AA456" s="388"/>
      <c r="AB456" s="288"/>
      <c r="AC456" s="223"/>
      <c r="AD456" s="288"/>
      <c r="AE456" s="384"/>
      <c r="AF456" s="384"/>
      <c r="AG456" s="392"/>
      <c r="AH456" s="283"/>
      <c r="AI456" s="254"/>
      <c r="AJ456" s="348" t="s">
        <v>560</v>
      </c>
      <c r="AK456" s="241">
        <v>4</v>
      </c>
      <c r="AL456" s="123" t="s">
        <v>379</v>
      </c>
      <c r="AM456" s="120" t="s">
        <v>267</v>
      </c>
      <c r="AN456" s="110"/>
      <c r="AO456" s="151"/>
      <c r="AP456" s="115"/>
      <c r="AQ456" s="115"/>
      <c r="AR456" s="115"/>
      <c r="AS456" s="115"/>
      <c r="AT456" s="116"/>
    </row>
    <row r="457" spans="1:46" ht="39" customHeight="1" x14ac:dyDescent="0.25">
      <c r="A457" s="1468">
        <v>456</v>
      </c>
      <c r="B457" s="146">
        <v>2</v>
      </c>
      <c r="C457" s="260" t="s">
        <v>319</v>
      </c>
      <c r="D457" s="282"/>
      <c r="E457" s="282"/>
      <c r="F457" s="282"/>
      <c r="G457" s="261" t="s">
        <v>387</v>
      </c>
      <c r="H457" s="262" t="s">
        <v>87</v>
      </c>
      <c r="I457" s="357"/>
      <c r="J457" s="245" t="s">
        <v>561</v>
      </c>
      <c r="K457" s="640"/>
      <c r="L457" s="438" t="s">
        <v>2800</v>
      </c>
      <c r="M457" s="438" t="s">
        <v>2800</v>
      </c>
      <c r="N457" s="950"/>
      <c r="O457" s="950" t="s">
        <v>3438</v>
      </c>
      <c r="P457" s="320"/>
      <c r="Q457" s="485" t="s">
        <v>87</v>
      </c>
      <c r="R457" s="982" t="s">
        <v>3437</v>
      </c>
      <c r="S457" s="279">
        <v>27860</v>
      </c>
      <c r="T457" s="268"/>
      <c r="U457" s="251" t="s">
        <v>54</v>
      </c>
      <c r="V457" s="197" t="s">
        <v>4047</v>
      </c>
      <c r="W457" s="268" t="s">
        <v>56</v>
      </c>
      <c r="X457" s="268" t="s">
        <v>57</v>
      </c>
      <c r="Y457" s="197" t="s">
        <v>2609</v>
      </c>
      <c r="Z457" s="246">
        <v>45231</v>
      </c>
      <c r="AA457" s="252"/>
      <c r="AB457" s="717"/>
      <c r="AC457" s="474"/>
      <c r="AD457" s="718"/>
      <c r="AE457" s="584"/>
      <c r="AF457" s="584"/>
      <c r="AG457" s="471"/>
      <c r="AH457" s="585"/>
      <c r="AI457" s="719"/>
      <c r="AJ457" s="491" t="s">
        <v>560</v>
      </c>
      <c r="AK457" s="241">
        <v>4</v>
      </c>
      <c r="AL457" s="123" t="s">
        <v>379</v>
      </c>
      <c r="AM457" s="120" t="s">
        <v>267</v>
      </c>
      <c r="AN457" s="151"/>
      <c r="AO457" s="151"/>
      <c r="AP457" s="115"/>
      <c r="AQ457" s="115"/>
      <c r="AR457" s="115"/>
      <c r="AS457" s="115"/>
      <c r="AT457" s="115"/>
    </row>
    <row r="458" spans="1:46" ht="39" customHeight="1" x14ac:dyDescent="0.25">
      <c r="A458" s="1468">
        <v>457</v>
      </c>
      <c r="B458" s="117">
        <v>3</v>
      </c>
      <c r="C458" s="503" t="s">
        <v>346</v>
      </c>
      <c r="D458" s="481"/>
      <c r="E458" s="481"/>
      <c r="F458" s="481"/>
      <c r="G458" s="261" t="s">
        <v>383</v>
      </c>
      <c r="H458" s="262" t="s">
        <v>85</v>
      </c>
      <c r="I458" s="473"/>
      <c r="J458" s="245" t="s">
        <v>556</v>
      </c>
      <c r="K458" s="301"/>
      <c r="L458" s="301" t="s">
        <v>3970</v>
      </c>
      <c r="M458" s="394" t="s">
        <v>3974</v>
      </c>
      <c r="N458" s="394"/>
      <c r="O458" s="216" t="s">
        <v>2543</v>
      </c>
      <c r="P458" s="300"/>
      <c r="Q458" s="344" t="s">
        <v>293</v>
      </c>
      <c r="R458" s="982" t="s">
        <v>2542</v>
      </c>
      <c r="S458" s="279">
        <v>31462</v>
      </c>
      <c r="T458" s="394"/>
      <c r="U458" s="251" t="s">
        <v>54</v>
      </c>
      <c r="V458" s="250" t="s">
        <v>5947</v>
      </c>
      <c r="W458" s="197" t="s">
        <v>5953</v>
      </c>
      <c r="X458" s="197" t="s">
        <v>2376</v>
      </c>
      <c r="Y458" s="197"/>
      <c r="Z458" s="246">
        <v>45211</v>
      </c>
      <c r="AA458" s="301"/>
      <c r="AB458" s="301"/>
      <c r="AC458" s="301"/>
      <c r="AD458" s="301"/>
      <c r="AE458" s="301"/>
      <c r="AF458" s="301"/>
      <c r="AG458" s="301"/>
      <c r="AH458" s="301"/>
      <c r="AI458" s="296"/>
      <c r="AJ458" s="348" t="s">
        <v>560</v>
      </c>
      <c r="AK458" s="241">
        <v>4</v>
      </c>
      <c r="AL458" s="176" t="s">
        <v>379</v>
      </c>
      <c r="AM458" s="165" t="s">
        <v>267</v>
      </c>
      <c r="AN458" s="179"/>
      <c r="AO458" s="179"/>
      <c r="AP458" s="115"/>
      <c r="AQ458" s="156"/>
      <c r="AR458" s="115"/>
      <c r="AS458" s="115"/>
      <c r="AT458" s="115"/>
    </row>
    <row r="459" spans="1:46" ht="39" customHeight="1" x14ac:dyDescent="0.25">
      <c r="A459" s="1468">
        <v>458</v>
      </c>
      <c r="B459" s="146">
        <v>2</v>
      </c>
      <c r="C459" s="260" t="s">
        <v>319</v>
      </c>
      <c r="D459" s="282"/>
      <c r="E459" s="282"/>
      <c r="F459" s="282"/>
      <c r="G459" s="261" t="s">
        <v>387</v>
      </c>
      <c r="H459" s="262" t="s">
        <v>87</v>
      </c>
      <c r="I459" s="357"/>
      <c r="J459" s="245" t="s">
        <v>561</v>
      </c>
      <c r="K459" s="216"/>
      <c r="L459" s="281"/>
      <c r="M459" s="281"/>
      <c r="N459" s="366"/>
      <c r="O459" s="216" t="s">
        <v>2628</v>
      </c>
      <c r="P459" s="300"/>
      <c r="Q459" s="344" t="s">
        <v>132</v>
      </c>
      <c r="R459" s="982" t="s">
        <v>2627</v>
      </c>
      <c r="S459" s="279">
        <v>25211</v>
      </c>
      <c r="T459" s="197"/>
      <c r="U459" s="251" t="s">
        <v>54</v>
      </c>
      <c r="V459" s="250" t="s">
        <v>2793</v>
      </c>
      <c r="W459" s="197" t="s">
        <v>56</v>
      </c>
      <c r="X459" s="197" t="s">
        <v>57</v>
      </c>
      <c r="Y459" s="197" t="s">
        <v>2609</v>
      </c>
      <c r="Z459" s="246">
        <v>45141</v>
      </c>
      <c r="AA459" s="252"/>
      <c r="AB459" s="306"/>
      <c r="AC459" s="223"/>
      <c r="AD459" s="306"/>
      <c r="AE459" s="306"/>
      <c r="AF459" s="306"/>
      <c r="AG459" s="282"/>
      <c r="AH459" s="283"/>
      <c r="AI459" s="296"/>
      <c r="AJ459" s="348" t="s">
        <v>560</v>
      </c>
      <c r="AK459" s="241">
        <v>4</v>
      </c>
      <c r="AL459" s="123" t="s">
        <v>379</v>
      </c>
      <c r="AM459" s="120" t="s">
        <v>267</v>
      </c>
      <c r="AN459" s="110"/>
      <c r="AO459" s="110"/>
      <c r="AP459" s="115"/>
      <c r="AQ459" s="156"/>
      <c r="AR459" s="115"/>
      <c r="AS459" s="115"/>
      <c r="AT459" s="115"/>
    </row>
    <row r="460" spans="1:46" ht="39" customHeight="1" x14ac:dyDescent="0.25">
      <c r="A460" s="1468">
        <v>459</v>
      </c>
      <c r="B460" s="117"/>
      <c r="C460" s="455"/>
      <c r="D460" s="331"/>
      <c r="E460" s="331"/>
      <c r="F460" s="331"/>
      <c r="G460" s="432"/>
      <c r="H460" s="456"/>
      <c r="I460" s="456"/>
      <c r="J460" s="329"/>
      <c r="K460" s="432"/>
      <c r="L460" s="329"/>
      <c r="M460" s="329"/>
      <c r="N460" s="329"/>
      <c r="O460" s="330"/>
      <c r="P460" s="273" t="s">
        <v>388</v>
      </c>
      <c r="Q460" s="331"/>
      <c r="R460" s="455"/>
      <c r="S460" s="279"/>
      <c r="T460" s="334"/>
      <c r="U460" s="250"/>
      <c r="V460" s="334"/>
      <c r="W460" s="334"/>
      <c r="X460" s="334"/>
      <c r="Y460" s="334"/>
      <c r="Z460" s="457"/>
      <c r="AA460" s="458"/>
      <c r="AB460" s="459"/>
      <c r="AC460" s="460"/>
      <c r="AD460" s="459"/>
      <c r="AE460" s="461"/>
      <c r="AF460" s="457"/>
      <c r="AG460" s="331"/>
      <c r="AH460" s="462"/>
      <c r="AI460" s="463"/>
      <c r="AJ460" s="464"/>
      <c r="AK460" s="331"/>
      <c r="AL460" s="163"/>
      <c r="AM460" s="163"/>
      <c r="AN460" s="163"/>
      <c r="AO460" s="163"/>
      <c r="AP460" s="115"/>
      <c r="AQ460" s="115"/>
      <c r="AR460" s="115"/>
      <c r="AS460" s="115"/>
      <c r="AT460" s="116"/>
    </row>
    <row r="461" spans="1:46" ht="39" customHeight="1" x14ac:dyDescent="0.25">
      <c r="A461" s="1468">
        <v>460</v>
      </c>
      <c r="B461" s="128">
        <v>5</v>
      </c>
      <c r="C461" s="290" t="s">
        <v>367</v>
      </c>
      <c r="D461" s="344"/>
      <c r="E461" s="344" t="s">
        <v>47</v>
      </c>
      <c r="F461" s="344"/>
      <c r="G461" s="292" t="s">
        <v>389</v>
      </c>
      <c r="H461" s="293" t="s">
        <v>132</v>
      </c>
      <c r="I461" s="346"/>
      <c r="J461" s="256">
        <v>403</v>
      </c>
      <c r="K461" s="216"/>
      <c r="L461" s="282"/>
      <c r="M461" s="282"/>
      <c r="N461" s="245"/>
      <c r="O461" s="216" t="s">
        <v>2280</v>
      </c>
      <c r="P461" s="300"/>
      <c r="Q461" s="344" t="s">
        <v>132</v>
      </c>
      <c r="R461" s="982" t="s">
        <v>2279</v>
      </c>
      <c r="S461" s="279">
        <v>36859</v>
      </c>
      <c r="T461" s="250"/>
      <c r="U461" s="251" t="s">
        <v>54</v>
      </c>
      <c r="V461" s="250" t="s">
        <v>2793</v>
      </c>
      <c r="W461" s="197" t="s">
        <v>56</v>
      </c>
      <c r="X461" s="197" t="s">
        <v>57</v>
      </c>
      <c r="Y461" s="197" t="s">
        <v>2609</v>
      </c>
      <c r="Z461" s="246">
        <v>45141</v>
      </c>
      <c r="AA461" s="258"/>
      <c r="AB461" s="281"/>
      <c r="AC461" s="223"/>
      <c r="AD461" s="281"/>
      <c r="AE461" s="252"/>
      <c r="AF461" s="252"/>
      <c r="AG461" s="241"/>
      <c r="AH461" s="283"/>
      <c r="AI461" s="296"/>
      <c r="AJ461" s="348" t="s">
        <v>560</v>
      </c>
      <c r="AK461" s="348">
        <v>3</v>
      </c>
      <c r="AL461" s="123" t="s">
        <v>379</v>
      </c>
      <c r="AM461" s="120" t="s">
        <v>267</v>
      </c>
      <c r="AN461" s="138"/>
      <c r="AO461" s="138"/>
      <c r="AP461" s="115"/>
      <c r="AQ461" s="115"/>
      <c r="AR461" s="115"/>
      <c r="AS461" s="115"/>
      <c r="AT461" s="115"/>
    </row>
    <row r="462" spans="1:46" ht="39" customHeight="1" x14ac:dyDescent="0.25">
      <c r="A462" s="1468">
        <v>461</v>
      </c>
      <c r="B462" s="159">
        <v>3</v>
      </c>
      <c r="C462" s="475" t="s">
        <v>290</v>
      </c>
      <c r="D462" s="487" t="s">
        <v>134</v>
      </c>
      <c r="E462" s="487"/>
      <c r="F462" s="487"/>
      <c r="G462" s="261" t="s">
        <v>291</v>
      </c>
      <c r="H462" s="262" t="s">
        <v>87</v>
      </c>
      <c r="I462" s="508"/>
      <c r="J462" s="245" t="s">
        <v>561</v>
      </c>
      <c r="K462" s="257"/>
      <c r="L462" s="299"/>
      <c r="M462" s="299"/>
      <c r="N462" s="299"/>
      <c r="O462" s="216"/>
      <c r="P462" s="300"/>
      <c r="Q462" s="301"/>
      <c r="R462" s="683" t="s">
        <v>66</v>
      </c>
      <c r="S462" s="279"/>
      <c r="T462" s="289"/>
      <c r="U462" s="250"/>
      <c r="V462" s="299"/>
      <c r="W462" s="197"/>
      <c r="X462" s="299"/>
      <c r="Y462" s="299"/>
      <c r="Z462" s="299"/>
      <c r="AA462" s="289"/>
      <c r="AB462" s="299"/>
      <c r="AC462" s="223"/>
      <c r="AD462" s="299"/>
      <c r="AE462" s="289"/>
      <c r="AF462" s="289"/>
      <c r="AG462" s="299"/>
      <c r="AH462" s="299"/>
      <c r="AI462" s="223"/>
      <c r="AJ462" s="303"/>
      <c r="AK462" s="241">
        <v>4</v>
      </c>
      <c r="AL462" s="123" t="s">
        <v>379</v>
      </c>
      <c r="AM462" s="120" t="s">
        <v>267</v>
      </c>
      <c r="AN462" s="172" t="s">
        <v>4184</v>
      </c>
      <c r="AO462" s="173"/>
      <c r="AP462" s="115"/>
      <c r="AQ462" s="115"/>
      <c r="AR462" s="115"/>
      <c r="AS462" s="115"/>
      <c r="AT462" s="115"/>
    </row>
    <row r="463" spans="1:46" ht="39" customHeight="1" x14ac:dyDescent="0.25">
      <c r="A463" s="1468">
        <v>462</v>
      </c>
      <c r="B463" s="117">
        <v>3</v>
      </c>
      <c r="C463" s="260" t="s">
        <v>346</v>
      </c>
      <c r="D463" s="282"/>
      <c r="E463" s="282"/>
      <c r="F463" s="282"/>
      <c r="G463" s="261" t="s">
        <v>383</v>
      </c>
      <c r="H463" s="262" t="s">
        <v>85</v>
      </c>
      <c r="I463" s="357"/>
      <c r="J463" s="245" t="s">
        <v>556</v>
      </c>
      <c r="K463" s="216"/>
      <c r="L463" s="250"/>
      <c r="M463" s="250"/>
      <c r="N463" s="366"/>
      <c r="O463" s="216"/>
      <c r="P463" s="300"/>
      <c r="Q463" s="344"/>
      <c r="R463" s="982" t="s">
        <v>66</v>
      </c>
      <c r="S463" s="279"/>
      <c r="T463" s="252"/>
      <c r="U463" s="250"/>
      <c r="V463" s="299"/>
      <c r="W463" s="197"/>
      <c r="X463" s="299"/>
      <c r="Y463" s="299"/>
      <c r="Z463" s="299"/>
      <c r="AA463" s="252"/>
      <c r="AB463" s="282"/>
      <c r="AC463" s="223"/>
      <c r="AD463" s="282"/>
      <c r="AE463" s="252"/>
      <c r="AF463" s="252"/>
      <c r="AG463" s="282"/>
      <c r="AH463" s="283"/>
      <c r="AI463" s="254"/>
      <c r="AJ463" s="348"/>
      <c r="AK463" s="241">
        <v>4</v>
      </c>
      <c r="AL463" s="123" t="s">
        <v>379</v>
      </c>
      <c r="AM463" s="120" t="s">
        <v>267</v>
      </c>
      <c r="AN463" s="151"/>
      <c r="AO463" s="151"/>
      <c r="AP463" s="115"/>
      <c r="AQ463" s="115"/>
      <c r="AR463" s="115"/>
      <c r="AS463" s="115"/>
      <c r="AT463" s="115"/>
    </row>
    <row r="464" spans="1:46" ht="39" customHeight="1" x14ac:dyDescent="0.25">
      <c r="A464" s="1468">
        <v>463</v>
      </c>
      <c r="B464" s="159">
        <v>2</v>
      </c>
      <c r="C464" s="358" t="s">
        <v>385</v>
      </c>
      <c r="D464" s="282" t="s">
        <v>134</v>
      </c>
      <c r="E464" s="282"/>
      <c r="F464" s="282"/>
      <c r="G464" s="261" t="s">
        <v>386</v>
      </c>
      <c r="H464" s="262" t="s">
        <v>85</v>
      </c>
      <c r="I464" s="357"/>
      <c r="J464" s="245" t="s">
        <v>556</v>
      </c>
      <c r="K464" s="197"/>
      <c r="L464" s="256" t="s">
        <v>1501</v>
      </c>
      <c r="M464" s="216" t="s">
        <v>4590</v>
      </c>
      <c r="N464" s="245"/>
      <c r="O464" s="216" t="s">
        <v>1507</v>
      </c>
      <c r="P464" s="247"/>
      <c r="Q464" s="375" t="s">
        <v>87</v>
      </c>
      <c r="R464" s="997" t="s">
        <v>1506</v>
      </c>
      <c r="S464" s="279">
        <v>37660</v>
      </c>
      <c r="T464" s="250"/>
      <c r="U464" s="251" t="s">
        <v>54</v>
      </c>
      <c r="V464" s="250" t="s">
        <v>2552</v>
      </c>
      <c r="W464" s="197" t="s">
        <v>56</v>
      </c>
      <c r="X464" s="197" t="s">
        <v>57</v>
      </c>
      <c r="Y464" s="197" t="s">
        <v>2609</v>
      </c>
      <c r="Z464" s="246">
        <v>45142</v>
      </c>
      <c r="AA464" s="252"/>
      <c r="AB464" s="281"/>
      <c r="AC464" s="281"/>
      <c r="AD464" s="281"/>
      <c r="AE464" s="252">
        <v>45114</v>
      </c>
      <c r="AF464" s="252">
        <v>45845</v>
      </c>
      <c r="AG464" s="282"/>
      <c r="AH464" s="282"/>
      <c r="AI464" s="296"/>
      <c r="AJ464" s="348" t="s">
        <v>560</v>
      </c>
      <c r="AK464" s="241">
        <v>4</v>
      </c>
      <c r="AL464" s="123" t="s">
        <v>379</v>
      </c>
      <c r="AM464" s="120" t="s">
        <v>267</v>
      </c>
      <c r="AN464" s="110"/>
      <c r="AO464" s="151"/>
      <c r="AP464" s="115"/>
      <c r="AQ464" s="115"/>
      <c r="AR464" s="115"/>
      <c r="AS464" s="115"/>
      <c r="AT464" s="116"/>
    </row>
    <row r="465" spans="1:46" ht="39" customHeight="1" x14ac:dyDescent="0.25">
      <c r="A465" s="1468">
        <v>464</v>
      </c>
      <c r="B465" s="146">
        <v>2</v>
      </c>
      <c r="C465" s="260" t="s">
        <v>319</v>
      </c>
      <c r="D465" s="282"/>
      <c r="E465" s="282"/>
      <c r="F465" s="282"/>
      <c r="G465" s="261" t="s">
        <v>387</v>
      </c>
      <c r="H465" s="262" t="s">
        <v>87</v>
      </c>
      <c r="I465" s="357"/>
      <c r="J465" s="245" t="s">
        <v>561</v>
      </c>
      <c r="K465" s="684"/>
      <c r="L465" s="685"/>
      <c r="M465" s="685"/>
      <c r="N465" s="684"/>
      <c r="O465" s="216" t="s">
        <v>2453</v>
      </c>
      <c r="P465" s="300"/>
      <c r="Q465" s="344" t="s">
        <v>132</v>
      </c>
      <c r="R465" s="982" t="s">
        <v>2452</v>
      </c>
      <c r="S465" s="279">
        <v>27816</v>
      </c>
      <c r="T465" s="684"/>
      <c r="U465" s="251" t="s">
        <v>54</v>
      </c>
      <c r="V465" s="250" t="s">
        <v>2793</v>
      </c>
      <c r="W465" s="197" t="s">
        <v>56</v>
      </c>
      <c r="X465" s="197" t="s">
        <v>57</v>
      </c>
      <c r="Y465" s="197" t="s">
        <v>2609</v>
      </c>
      <c r="Z465" s="246">
        <v>45142</v>
      </c>
      <c r="AA465" s="684"/>
      <c r="AB465" s="1290"/>
      <c r="AC465" s="684"/>
      <c r="AD465" s="686"/>
      <c r="AE465" s="684"/>
      <c r="AF465" s="684"/>
      <c r="AG465" s="684"/>
      <c r="AH465" s="684"/>
      <c r="AI465" s="685"/>
      <c r="AJ465" s="348" t="s">
        <v>560</v>
      </c>
      <c r="AK465" s="241">
        <v>4</v>
      </c>
      <c r="AL465" s="123" t="s">
        <v>379</v>
      </c>
      <c r="AM465" s="120" t="s">
        <v>267</v>
      </c>
      <c r="AN465" s="151"/>
      <c r="AO465" s="151"/>
      <c r="AP465" s="115"/>
      <c r="AQ465" s="115"/>
      <c r="AR465" s="115"/>
      <c r="AS465" s="115"/>
      <c r="AT465" s="115"/>
    </row>
    <row r="466" spans="1:46" ht="39" customHeight="1" x14ac:dyDescent="0.25">
      <c r="A466" s="1468">
        <v>465</v>
      </c>
      <c r="B466" s="117">
        <v>3</v>
      </c>
      <c r="C466" s="503" t="s">
        <v>346</v>
      </c>
      <c r="D466" s="481"/>
      <c r="E466" s="481"/>
      <c r="F466" s="481"/>
      <c r="G466" s="261" t="s">
        <v>383</v>
      </c>
      <c r="H466" s="262" t="s">
        <v>85</v>
      </c>
      <c r="I466" s="473"/>
      <c r="J466" s="245" t="s">
        <v>556</v>
      </c>
      <c r="K466" s="216"/>
      <c r="L466" s="281"/>
      <c r="M466" s="438"/>
      <c r="N466" s="404"/>
      <c r="O466" s="216" t="s">
        <v>2545</v>
      </c>
      <c r="P466" s="300"/>
      <c r="Q466" s="344" t="s">
        <v>293</v>
      </c>
      <c r="R466" s="982" t="s">
        <v>2544</v>
      </c>
      <c r="S466" s="279">
        <v>33726</v>
      </c>
      <c r="T466" s="268"/>
      <c r="U466" s="251" t="s">
        <v>54</v>
      </c>
      <c r="V466" s="250" t="s">
        <v>2793</v>
      </c>
      <c r="W466" s="197" t="s">
        <v>56</v>
      </c>
      <c r="X466" s="197" t="s">
        <v>57</v>
      </c>
      <c r="Y466" s="197" t="s">
        <v>2609</v>
      </c>
      <c r="Z466" s="246">
        <v>45142</v>
      </c>
      <c r="AA466" s="252"/>
      <c r="AB466" s="197"/>
      <c r="AC466" s="223"/>
      <c r="AD466" s="306"/>
      <c r="AE466" s="246"/>
      <c r="AF466" s="246"/>
      <c r="AG466" s="241"/>
      <c r="AH466" s="197"/>
      <c r="AI466" s="223"/>
      <c r="AJ466" s="348" t="s">
        <v>560</v>
      </c>
      <c r="AK466" s="241">
        <v>4</v>
      </c>
      <c r="AL466" s="123" t="s">
        <v>379</v>
      </c>
      <c r="AM466" s="120" t="s">
        <v>267</v>
      </c>
      <c r="AN466" s="167"/>
      <c r="AO466" s="167"/>
      <c r="AP466" s="115"/>
      <c r="AQ466" s="115"/>
      <c r="AR466" s="115"/>
      <c r="AS466" s="115"/>
      <c r="AT466" s="115"/>
    </row>
    <row r="467" spans="1:46" ht="39" customHeight="1" x14ac:dyDescent="0.25">
      <c r="A467" s="1468">
        <v>466</v>
      </c>
      <c r="B467" s="146">
        <v>2</v>
      </c>
      <c r="C467" s="260" t="s">
        <v>319</v>
      </c>
      <c r="D467" s="282"/>
      <c r="E467" s="282"/>
      <c r="F467" s="282"/>
      <c r="G467" s="261" t="s">
        <v>387</v>
      </c>
      <c r="H467" s="262" t="s">
        <v>87</v>
      </c>
      <c r="I467" s="357"/>
      <c r="J467" s="245" t="s">
        <v>561</v>
      </c>
      <c r="K467" s="197"/>
      <c r="L467" s="256"/>
      <c r="M467" s="256"/>
      <c r="N467" s="245"/>
      <c r="O467" s="216" t="s">
        <v>2687</v>
      </c>
      <c r="P467" s="300"/>
      <c r="Q467" s="344" t="s">
        <v>293</v>
      </c>
      <c r="R467" s="982" t="s">
        <v>2686</v>
      </c>
      <c r="S467" s="279">
        <v>32514</v>
      </c>
      <c r="T467" s="250"/>
      <c r="U467" s="251" t="s">
        <v>54</v>
      </c>
      <c r="V467" s="197" t="s">
        <v>4047</v>
      </c>
      <c r="W467" s="197" t="s">
        <v>56</v>
      </c>
      <c r="X467" s="197" t="s">
        <v>57</v>
      </c>
      <c r="Y467" s="197" t="s">
        <v>2609</v>
      </c>
      <c r="Z467" s="246">
        <v>45231</v>
      </c>
      <c r="AA467" s="252"/>
      <c r="AB467" s="281"/>
      <c r="AC467" s="281"/>
      <c r="AD467" s="281"/>
      <c r="AE467" s="252"/>
      <c r="AF467" s="252"/>
      <c r="AG467" s="282"/>
      <c r="AH467" s="282"/>
      <c r="AI467" s="296"/>
      <c r="AJ467" s="348" t="s">
        <v>560</v>
      </c>
      <c r="AK467" s="241">
        <v>4</v>
      </c>
      <c r="AL467" s="123" t="s">
        <v>379</v>
      </c>
      <c r="AM467" s="120" t="s">
        <v>267</v>
      </c>
      <c r="AN467" s="151"/>
      <c r="AO467" s="151"/>
      <c r="AP467" s="115"/>
      <c r="AQ467" s="115"/>
      <c r="AR467" s="115"/>
      <c r="AS467" s="115"/>
      <c r="AT467" s="115"/>
    </row>
    <row r="468" spans="1:46" ht="39" customHeight="1" x14ac:dyDescent="0.25">
      <c r="A468" s="1468">
        <v>467</v>
      </c>
      <c r="B468" s="117"/>
      <c r="C468" s="455"/>
      <c r="D468" s="331"/>
      <c r="E468" s="331"/>
      <c r="F468" s="331"/>
      <c r="G468" s="432"/>
      <c r="H468" s="456"/>
      <c r="I468" s="456"/>
      <c r="J468" s="329"/>
      <c r="K468" s="432"/>
      <c r="L468" s="329"/>
      <c r="M468" s="329"/>
      <c r="N468" s="329"/>
      <c r="O468" s="330"/>
      <c r="P468" s="273" t="s">
        <v>390</v>
      </c>
      <c r="Q468" s="331"/>
      <c r="R468" s="455"/>
      <c r="S468" s="279"/>
      <c r="T468" s="334"/>
      <c r="U468" s="250"/>
      <c r="V468" s="334"/>
      <c r="W468" s="334"/>
      <c r="X468" s="334"/>
      <c r="Y468" s="334"/>
      <c r="Z468" s="457"/>
      <c r="AA468" s="458"/>
      <c r="AB468" s="459"/>
      <c r="AC468" s="460"/>
      <c r="AD468" s="459"/>
      <c r="AE468" s="461"/>
      <c r="AF468" s="457"/>
      <c r="AG468" s="331"/>
      <c r="AH468" s="462"/>
      <c r="AI468" s="463"/>
      <c r="AJ468" s="464"/>
      <c r="AK468" s="331"/>
      <c r="AL468" s="163"/>
      <c r="AM468" s="163"/>
      <c r="AN468" s="163"/>
      <c r="AO468" s="163"/>
      <c r="AP468" s="115"/>
      <c r="AQ468" s="115"/>
      <c r="AR468" s="115"/>
      <c r="AS468" s="115"/>
      <c r="AT468" s="116"/>
    </row>
    <row r="469" spans="1:46" ht="39" customHeight="1" x14ac:dyDescent="0.25">
      <c r="A469" s="1468">
        <v>468</v>
      </c>
      <c r="B469" s="128">
        <v>5</v>
      </c>
      <c r="C469" s="290" t="s">
        <v>367</v>
      </c>
      <c r="D469" s="344"/>
      <c r="E469" s="344" t="s">
        <v>47</v>
      </c>
      <c r="F469" s="344"/>
      <c r="G469" s="292" t="s">
        <v>389</v>
      </c>
      <c r="H469" s="293" t="s">
        <v>132</v>
      </c>
      <c r="I469" s="346"/>
      <c r="J469" s="256">
        <v>403</v>
      </c>
      <c r="K469" s="216"/>
      <c r="L469" s="216"/>
      <c r="M469" s="216"/>
      <c r="N469" s="245"/>
      <c r="O469" s="216"/>
      <c r="P469" s="359"/>
      <c r="Q469" s="344"/>
      <c r="R469" s="982" t="s">
        <v>66</v>
      </c>
      <c r="S469" s="279"/>
      <c r="T469" s="250"/>
      <c r="U469" s="250"/>
      <c r="V469" s="361"/>
      <c r="W469" s="361"/>
      <c r="X469" s="197"/>
      <c r="Y469" s="361"/>
      <c r="Z469" s="362"/>
      <c r="AA469" s="361"/>
      <c r="AB469" s="361"/>
      <c r="AC469" s="223"/>
      <c r="AD469" s="224"/>
      <c r="AE469" s="363"/>
      <c r="AF469" s="252"/>
      <c r="AG469" s="282"/>
      <c r="AH469" s="283"/>
      <c r="AI469" s="296"/>
      <c r="AJ469" s="348"/>
      <c r="AK469" s="348">
        <v>3</v>
      </c>
      <c r="AL469" s="123" t="s">
        <v>379</v>
      </c>
      <c r="AM469" s="120" t="s">
        <v>267</v>
      </c>
      <c r="AN469" s="138"/>
      <c r="AO469" s="138"/>
      <c r="AP469" s="115"/>
      <c r="AQ469" s="115"/>
      <c r="AR469" s="115"/>
      <c r="AS469" s="115"/>
      <c r="AT469" s="115"/>
    </row>
    <row r="470" spans="1:46" ht="39" customHeight="1" x14ac:dyDescent="0.25">
      <c r="A470" s="1468">
        <v>469</v>
      </c>
      <c r="B470" s="159">
        <v>3</v>
      </c>
      <c r="C470" s="475" t="s">
        <v>290</v>
      </c>
      <c r="D470" s="487" t="s">
        <v>134</v>
      </c>
      <c r="E470" s="487"/>
      <c r="F470" s="487"/>
      <c r="G470" s="261" t="s">
        <v>291</v>
      </c>
      <c r="H470" s="262" t="s">
        <v>87</v>
      </c>
      <c r="I470" s="508"/>
      <c r="J470" s="245" t="s">
        <v>561</v>
      </c>
      <c r="K470" s="216"/>
      <c r="L470" s="256" t="s">
        <v>1501</v>
      </c>
      <c r="M470" s="216" t="s">
        <v>4590</v>
      </c>
      <c r="N470" s="305"/>
      <c r="O470" s="216" t="s">
        <v>1503</v>
      </c>
      <c r="P470" s="247"/>
      <c r="Q470" s="344" t="s">
        <v>293</v>
      </c>
      <c r="R470" s="982" t="s">
        <v>1355</v>
      </c>
      <c r="S470" s="279">
        <v>35746</v>
      </c>
      <c r="T470" s="250"/>
      <c r="U470" s="251" t="s">
        <v>54</v>
      </c>
      <c r="V470" s="250" t="s">
        <v>1676</v>
      </c>
      <c r="W470" s="197" t="s">
        <v>56</v>
      </c>
      <c r="X470" s="197" t="s">
        <v>475</v>
      </c>
      <c r="Y470" s="252"/>
      <c r="Z470" s="252"/>
      <c r="AA470" s="246"/>
      <c r="AB470" s="307"/>
      <c r="AC470" s="223"/>
      <c r="AD470" s="307"/>
      <c r="AE470" s="307" t="s">
        <v>470</v>
      </c>
      <c r="AF470" s="307" t="s">
        <v>1502</v>
      </c>
      <c r="AG470" s="282"/>
      <c r="AH470" s="283"/>
      <c r="AI470" s="254"/>
      <c r="AJ470" s="348" t="s">
        <v>560</v>
      </c>
      <c r="AK470" s="241">
        <v>4</v>
      </c>
      <c r="AL470" s="123" t="s">
        <v>379</v>
      </c>
      <c r="AM470" s="120" t="s">
        <v>267</v>
      </c>
      <c r="AN470" s="172" t="s">
        <v>4184</v>
      </c>
      <c r="AO470" s="173"/>
      <c r="AP470" s="115"/>
      <c r="AQ470" s="115"/>
      <c r="AR470" s="115"/>
      <c r="AS470" s="115"/>
      <c r="AT470" s="115"/>
    </row>
    <row r="471" spans="1:46" ht="39" customHeight="1" x14ac:dyDescent="0.25">
      <c r="A471" s="1468">
        <v>470</v>
      </c>
      <c r="B471" s="117">
        <v>3</v>
      </c>
      <c r="C471" s="260" t="s">
        <v>346</v>
      </c>
      <c r="D471" s="282"/>
      <c r="E471" s="282"/>
      <c r="F471" s="282"/>
      <c r="G471" s="261" t="s">
        <v>383</v>
      </c>
      <c r="H471" s="262" t="s">
        <v>85</v>
      </c>
      <c r="I471" s="357"/>
      <c r="J471" s="245" t="s">
        <v>556</v>
      </c>
      <c r="K471" s="216"/>
      <c r="L471" s="288" t="s">
        <v>1526</v>
      </c>
      <c r="M471" s="216" t="s">
        <v>4590</v>
      </c>
      <c r="N471" s="374"/>
      <c r="O471" s="385" t="s">
        <v>1537</v>
      </c>
      <c r="P471" s="374"/>
      <c r="Q471" s="344" t="s">
        <v>87</v>
      </c>
      <c r="R471" s="982" t="s">
        <v>1538</v>
      </c>
      <c r="S471" s="279">
        <v>29637</v>
      </c>
      <c r="T471" s="197"/>
      <c r="U471" s="251" t="s">
        <v>54</v>
      </c>
      <c r="V471" s="250" t="s">
        <v>2793</v>
      </c>
      <c r="W471" s="197" t="s">
        <v>56</v>
      </c>
      <c r="X471" s="197" t="s">
        <v>57</v>
      </c>
      <c r="Y471" s="197" t="s">
        <v>2609</v>
      </c>
      <c r="Z471" s="246">
        <v>45139</v>
      </c>
      <c r="AA471" s="388"/>
      <c r="AB471" s="288"/>
      <c r="AC471" s="223"/>
      <c r="AD471" s="288"/>
      <c r="AE471" s="384"/>
      <c r="AF471" s="384"/>
      <c r="AG471" s="392"/>
      <c r="AH471" s="283"/>
      <c r="AI471" s="254"/>
      <c r="AJ471" s="348" t="s">
        <v>560</v>
      </c>
      <c r="AK471" s="241">
        <v>4</v>
      </c>
      <c r="AL471" s="123" t="s">
        <v>379</v>
      </c>
      <c r="AM471" s="120" t="s">
        <v>267</v>
      </c>
      <c r="AN471" s="151"/>
      <c r="AO471" s="151"/>
      <c r="AP471" s="115"/>
      <c r="AQ471" s="115"/>
      <c r="AR471" s="115"/>
      <c r="AS471" s="115"/>
      <c r="AT471" s="115"/>
    </row>
    <row r="472" spans="1:46" ht="39" customHeight="1" x14ac:dyDescent="0.25">
      <c r="A472" s="1468">
        <v>471</v>
      </c>
      <c r="B472" s="159">
        <v>2</v>
      </c>
      <c r="C472" s="358" t="s">
        <v>385</v>
      </c>
      <c r="D472" s="282" t="s">
        <v>134</v>
      </c>
      <c r="E472" s="282"/>
      <c r="F472" s="282"/>
      <c r="G472" s="261" t="s">
        <v>386</v>
      </c>
      <c r="H472" s="262" t="s">
        <v>85</v>
      </c>
      <c r="I472" s="357"/>
      <c r="J472" s="245" t="s">
        <v>556</v>
      </c>
      <c r="K472" s="216"/>
      <c r="L472" s="216" t="s">
        <v>1490</v>
      </c>
      <c r="M472" s="216" t="s">
        <v>4590</v>
      </c>
      <c r="N472" s="366"/>
      <c r="O472" s="216" t="s">
        <v>1515</v>
      </c>
      <c r="P472" s="320" t="s">
        <v>1828</v>
      </c>
      <c r="Q472" s="344" t="s">
        <v>570</v>
      </c>
      <c r="R472" s="982" t="s">
        <v>1514</v>
      </c>
      <c r="S472" s="279">
        <v>29331</v>
      </c>
      <c r="T472" s="223"/>
      <c r="U472" s="251" t="s">
        <v>54</v>
      </c>
      <c r="V472" s="250" t="s">
        <v>2793</v>
      </c>
      <c r="W472" s="197" t="s">
        <v>56</v>
      </c>
      <c r="X472" s="197" t="s">
        <v>57</v>
      </c>
      <c r="Y472" s="197" t="s">
        <v>2609</v>
      </c>
      <c r="Z472" s="246">
        <v>45139</v>
      </c>
      <c r="AA472" s="388"/>
      <c r="AB472" s="223"/>
      <c r="AC472" s="223"/>
      <c r="AD472" s="257"/>
      <c r="AE472" s="223"/>
      <c r="AF472" s="223"/>
      <c r="AG472" s="1357"/>
      <c r="AH472" s="299"/>
      <c r="AI472" s="254"/>
      <c r="AJ472" s="348" t="s">
        <v>560</v>
      </c>
      <c r="AK472" s="241">
        <v>4</v>
      </c>
      <c r="AL472" s="123" t="s">
        <v>379</v>
      </c>
      <c r="AM472" s="120" t="s">
        <v>267</v>
      </c>
      <c r="AN472" s="110"/>
      <c r="AO472" s="151"/>
      <c r="AP472" s="115"/>
      <c r="AQ472" s="115"/>
      <c r="AR472" s="115"/>
      <c r="AS472" s="115"/>
      <c r="AT472" s="116"/>
    </row>
    <row r="473" spans="1:46" ht="39" customHeight="1" x14ac:dyDescent="0.25">
      <c r="A473" s="1468">
        <v>472</v>
      </c>
      <c r="B473" s="146">
        <v>2</v>
      </c>
      <c r="C473" s="260" t="s">
        <v>319</v>
      </c>
      <c r="D473" s="282"/>
      <c r="E473" s="282"/>
      <c r="F473" s="282"/>
      <c r="G473" s="261" t="s">
        <v>387</v>
      </c>
      <c r="H473" s="262" t="s">
        <v>87</v>
      </c>
      <c r="I473" s="357"/>
      <c r="J473" s="245" t="s">
        <v>561</v>
      </c>
      <c r="K473" s="257"/>
      <c r="L473" s="299"/>
      <c r="M473" s="216" t="s">
        <v>4590</v>
      </c>
      <c r="N473" s="299"/>
      <c r="O473" s="385" t="s">
        <v>2276</v>
      </c>
      <c r="P473" s="374"/>
      <c r="Q473" s="344" t="s">
        <v>87</v>
      </c>
      <c r="R473" s="982" t="s">
        <v>2275</v>
      </c>
      <c r="S473" s="279">
        <v>37153</v>
      </c>
      <c r="T473" s="289"/>
      <c r="U473" s="251" t="s">
        <v>886</v>
      </c>
      <c r="V473" s="250" t="s">
        <v>5899</v>
      </c>
      <c r="W473" s="197" t="s">
        <v>886</v>
      </c>
      <c r="X473" s="197" t="s">
        <v>886</v>
      </c>
      <c r="Y473" s="197"/>
      <c r="Z473" s="246">
        <v>45285</v>
      </c>
      <c r="AA473" s="289"/>
      <c r="AB473" s="299"/>
      <c r="AC473" s="223"/>
      <c r="AD473" s="299"/>
      <c r="AE473" s="289"/>
      <c r="AF473" s="289"/>
      <c r="AG473" s="299"/>
      <c r="AH473" s="299"/>
      <c r="AI473" s="223"/>
      <c r="AJ473" s="348" t="s">
        <v>560</v>
      </c>
      <c r="AK473" s="241">
        <v>4</v>
      </c>
      <c r="AL473" s="123" t="s">
        <v>379</v>
      </c>
      <c r="AM473" s="120" t="s">
        <v>267</v>
      </c>
      <c r="AN473" s="151"/>
      <c r="AO473" s="151"/>
      <c r="AP473" s="115"/>
      <c r="AQ473" s="115"/>
      <c r="AR473" s="115"/>
      <c r="AS473" s="115"/>
      <c r="AT473" s="115"/>
    </row>
    <row r="474" spans="1:46" ht="39" customHeight="1" x14ac:dyDescent="0.25">
      <c r="A474" s="1468">
        <v>473</v>
      </c>
      <c r="B474" s="117">
        <v>3</v>
      </c>
      <c r="C474" s="503" t="s">
        <v>346</v>
      </c>
      <c r="D474" s="481"/>
      <c r="E474" s="481"/>
      <c r="F474" s="481"/>
      <c r="G474" s="261" t="s">
        <v>383</v>
      </c>
      <c r="H474" s="262" t="s">
        <v>85</v>
      </c>
      <c r="I474" s="473"/>
      <c r="J474" s="245" t="s">
        <v>556</v>
      </c>
      <c r="K474" s="684"/>
      <c r="L474" s="685"/>
      <c r="M474" s="685"/>
      <c r="N474" s="684"/>
      <c r="O474" s="216" t="s">
        <v>3444</v>
      </c>
      <c r="P474" s="372"/>
      <c r="Q474" s="344" t="s">
        <v>293</v>
      </c>
      <c r="R474" s="982" t="s">
        <v>3443</v>
      </c>
      <c r="S474" s="279">
        <v>27518</v>
      </c>
      <c r="T474" s="684"/>
      <c r="U474" s="251" t="s">
        <v>54</v>
      </c>
      <c r="V474" s="250"/>
      <c r="W474" s="197" t="s">
        <v>56</v>
      </c>
      <c r="X474" s="197" t="s">
        <v>57</v>
      </c>
      <c r="Y474" s="684"/>
      <c r="Z474" s="684"/>
      <c r="AA474" s="252"/>
      <c r="AB474" s="1290"/>
      <c r="AC474" s="684"/>
      <c r="AD474" s="686"/>
      <c r="AE474" s="684"/>
      <c r="AF474" s="684"/>
      <c r="AG474" s="684"/>
      <c r="AH474" s="684"/>
      <c r="AI474" s="685"/>
      <c r="AJ474" s="348" t="s">
        <v>560</v>
      </c>
      <c r="AK474" s="241">
        <v>4</v>
      </c>
      <c r="AL474" s="176" t="s">
        <v>379</v>
      </c>
      <c r="AM474" s="165" t="s">
        <v>267</v>
      </c>
      <c r="AN474" s="167"/>
      <c r="AO474" s="167"/>
      <c r="AP474" s="115"/>
      <c r="AQ474" s="115"/>
      <c r="AR474" s="115"/>
      <c r="AS474" s="115"/>
      <c r="AT474" s="115"/>
    </row>
    <row r="475" spans="1:46" ht="39" customHeight="1" x14ac:dyDescent="0.25">
      <c r="A475" s="1468">
        <v>474</v>
      </c>
      <c r="B475" s="146">
        <v>2</v>
      </c>
      <c r="C475" s="260" t="s">
        <v>319</v>
      </c>
      <c r="D475" s="282"/>
      <c r="E475" s="282"/>
      <c r="F475" s="282"/>
      <c r="G475" s="261" t="s">
        <v>387</v>
      </c>
      <c r="H475" s="262" t="s">
        <v>87</v>
      </c>
      <c r="I475" s="357"/>
      <c r="J475" s="245" t="s">
        <v>561</v>
      </c>
      <c r="K475" s="197"/>
      <c r="L475" s="438" t="s">
        <v>5916</v>
      </c>
      <c r="M475" s="438" t="s">
        <v>5916</v>
      </c>
      <c r="N475" s="950"/>
      <c r="O475" s="950" t="s">
        <v>6034</v>
      </c>
      <c r="P475" s="320"/>
      <c r="Q475" s="485" t="s">
        <v>87</v>
      </c>
      <c r="R475" s="982" t="s">
        <v>6033</v>
      </c>
      <c r="S475" s="279">
        <v>37937</v>
      </c>
      <c r="T475" s="250"/>
      <c r="U475" s="250"/>
      <c r="V475" s="197"/>
      <c r="W475" s="197"/>
      <c r="X475" s="197"/>
      <c r="Y475" s="197"/>
      <c r="Z475" s="246"/>
      <c r="AA475" s="252"/>
      <c r="AB475" s="281"/>
      <c r="AC475" s="281"/>
      <c r="AD475" s="281"/>
      <c r="AE475" s="252"/>
      <c r="AF475" s="252"/>
      <c r="AG475" s="282"/>
      <c r="AH475" s="282"/>
      <c r="AI475" s="296"/>
      <c r="AJ475" s="348" t="s">
        <v>560</v>
      </c>
      <c r="AK475" s="241">
        <v>4</v>
      </c>
      <c r="AL475" s="123" t="s">
        <v>379</v>
      </c>
      <c r="AM475" s="120" t="s">
        <v>267</v>
      </c>
      <c r="AN475" s="151"/>
      <c r="AO475" s="151"/>
      <c r="AP475" s="115"/>
      <c r="AQ475" s="115"/>
      <c r="AR475" s="115"/>
      <c r="AS475" s="115"/>
      <c r="AT475" s="115"/>
    </row>
    <row r="476" spans="1:46" ht="39" customHeight="1" x14ac:dyDescent="0.25">
      <c r="A476" s="1468">
        <v>475</v>
      </c>
      <c r="B476" s="117"/>
      <c r="C476" s="455"/>
      <c r="D476" s="511"/>
      <c r="E476" s="511"/>
      <c r="F476" s="511"/>
      <c r="G476" s="432"/>
      <c r="H476" s="512"/>
      <c r="I476" s="513"/>
      <c r="J476" s="459"/>
      <c r="K476" s="330"/>
      <c r="L476" s="514"/>
      <c r="M476" s="330"/>
      <c r="N476" s="515"/>
      <c r="O476" s="330"/>
      <c r="P476" s="516" t="s">
        <v>392</v>
      </c>
      <c r="Q476" s="514"/>
      <c r="R476" s="455"/>
      <c r="S476" s="279"/>
      <c r="T476" s="517"/>
      <c r="U476" s="250"/>
      <c r="V476" s="334"/>
      <c r="W476" s="517"/>
      <c r="X476" s="517"/>
      <c r="Y476" s="334"/>
      <c r="Z476" s="457"/>
      <c r="AA476" s="457"/>
      <c r="AB476" s="514"/>
      <c r="AC476" s="460"/>
      <c r="AD476" s="514"/>
      <c r="AE476" s="517"/>
      <c r="AF476" s="517"/>
      <c r="AG476" s="514"/>
      <c r="AH476" s="514"/>
      <c r="AI476" s="518"/>
      <c r="AJ476" s="464"/>
      <c r="AK476" s="331"/>
      <c r="AL476" s="163"/>
      <c r="AM476" s="163"/>
      <c r="AN476" s="156"/>
      <c r="AO476" s="156"/>
      <c r="AP476" s="115"/>
      <c r="AQ476" s="115"/>
      <c r="AR476" s="115"/>
      <c r="AS476" s="115"/>
      <c r="AT476" s="115"/>
    </row>
    <row r="477" spans="1:46" ht="39" customHeight="1" x14ac:dyDescent="0.25">
      <c r="A477" s="1468">
        <v>476</v>
      </c>
      <c r="B477" s="117">
        <v>10</v>
      </c>
      <c r="C477" s="341" t="s">
        <v>305</v>
      </c>
      <c r="D477" s="249"/>
      <c r="E477" s="249"/>
      <c r="F477" s="249"/>
      <c r="G477" s="338" t="s">
        <v>393</v>
      </c>
      <c r="H477" s="244" t="s">
        <v>83</v>
      </c>
      <c r="I477" s="357"/>
      <c r="J477" s="245">
        <v>302</v>
      </c>
      <c r="K477" s="216" t="s">
        <v>50</v>
      </c>
      <c r="L477" s="245" t="s">
        <v>1179</v>
      </c>
      <c r="M477" s="245" t="s">
        <v>1179</v>
      </c>
      <c r="N477" s="245"/>
      <c r="O477" s="216" t="s">
        <v>1180</v>
      </c>
      <c r="P477" s="247"/>
      <c r="Q477" s="338" t="s">
        <v>119</v>
      </c>
      <c r="R477" s="259" t="s">
        <v>1181</v>
      </c>
      <c r="S477" s="279">
        <v>35722</v>
      </c>
      <c r="T477" s="197"/>
      <c r="U477" s="251" t="s">
        <v>54</v>
      </c>
      <c r="V477" s="252" t="s">
        <v>950</v>
      </c>
      <c r="W477" s="197" t="s">
        <v>56</v>
      </c>
      <c r="X477" s="197" t="s">
        <v>57</v>
      </c>
      <c r="Y477" s="197" t="s">
        <v>951</v>
      </c>
      <c r="Z477" s="252">
        <v>44828</v>
      </c>
      <c r="AA477" s="252"/>
      <c r="AB477" s="245"/>
      <c r="AC477" s="223" t="s">
        <v>946</v>
      </c>
      <c r="AD477" s="245"/>
      <c r="AE477" s="258">
        <v>44075</v>
      </c>
      <c r="AF477" s="258">
        <v>45169</v>
      </c>
      <c r="AG477" s="241" t="s">
        <v>61</v>
      </c>
      <c r="AH477" s="253"/>
      <c r="AI477" s="296"/>
      <c r="AJ477" s="255" t="s">
        <v>62</v>
      </c>
      <c r="AK477" s="242">
        <v>1</v>
      </c>
      <c r="AL477" s="123" t="s">
        <v>394</v>
      </c>
      <c r="AM477" s="120" t="s">
        <v>267</v>
      </c>
      <c r="AN477" s="151"/>
      <c r="AO477" s="151"/>
      <c r="AP477" s="115"/>
      <c r="AQ477" s="115"/>
      <c r="AR477" s="115"/>
      <c r="AS477" s="115"/>
      <c r="AT477" s="115"/>
    </row>
    <row r="478" spans="1:46" ht="39" customHeight="1" x14ac:dyDescent="0.25">
      <c r="A478" s="1468">
        <v>477</v>
      </c>
      <c r="B478" s="117"/>
      <c r="C478" s="455"/>
      <c r="D478" s="511"/>
      <c r="E478" s="511"/>
      <c r="F478" s="511"/>
      <c r="G478" s="432"/>
      <c r="H478" s="512"/>
      <c r="I478" s="513"/>
      <c r="J478" s="459"/>
      <c r="K478" s="330"/>
      <c r="L478" s="514"/>
      <c r="M478" s="330"/>
      <c r="N478" s="515"/>
      <c r="O478" s="330"/>
      <c r="P478" s="516" t="s">
        <v>395</v>
      </c>
      <c r="Q478" s="514"/>
      <c r="R478" s="455"/>
      <c r="S478" s="279"/>
      <c r="T478" s="517"/>
      <c r="U478" s="250"/>
      <c r="V478" s="334"/>
      <c r="W478" s="517"/>
      <c r="X478" s="517"/>
      <c r="Y478" s="334"/>
      <c r="Z478" s="457"/>
      <c r="AA478" s="457"/>
      <c r="AB478" s="514"/>
      <c r="AC478" s="460"/>
      <c r="AD478" s="514"/>
      <c r="AE478" s="517"/>
      <c r="AF478" s="517"/>
      <c r="AG478" s="514"/>
      <c r="AH478" s="514"/>
      <c r="AI478" s="518"/>
      <c r="AJ478" s="464"/>
      <c r="AK478" s="331"/>
      <c r="AL478" s="163"/>
      <c r="AM478" s="163"/>
      <c r="AN478" s="156"/>
      <c r="AO478" s="156"/>
      <c r="AP478" s="115"/>
      <c r="AQ478" s="115"/>
      <c r="AR478" s="115"/>
      <c r="AS478" s="115"/>
      <c r="AT478" s="115"/>
    </row>
    <row r="479" spans="1:46" ht="39" customHeight="1" x14ac:dyDescent="0.25">
      <c r="A479" s="1468">
        <v>478</v>
      </c>
      <c r="B479" s="117">
        <v>5</v>
      </c>
      <c r="C479" s="260" t="s">
        <v>367</v>
      </c>
      <c r="D479" s="282"/>
      <c r="E479" s="282"/>
      <c r="F479" s="282"/>
      <c r="G479" s="261" t="s">
        <v>396</v>
      </c>
      <c r="H479" s="262" t="s">
        <v>132</v>
      </c>
      <c r="I479" s="357"/>
      <c r="J479" s="256">
        <v>403</v>
      </c>
      <c r="K479" s="216"/>
      <c r="L479" s="197"/>
      <c r="M479" s="197"/>
      <c r="N479" s="245"/>
      <c r="O479" s="216"/>
      <c r="P479" s="247"/>
      <c r="Q479" s="344"/>
      <c r="R479" s="982" t="s">
        <v>66</v>
      </c>
      <c r="S479" s="279"/>
      <c r="T479" s="250"/>
      <c r="U479" s="250"/>
      <c r="V479" s="197"/>
      <c r="W479" s="197"/>
      <c r="X479" s="197"/>
      <c r="Y479" s="197"/>
      <c r="Z479" s="246"/>
      <c r="AA479" s="252"/>
      <c r="AB479" s="245"/>
      <c r="AC479" s="223"/>
      <c r="AD479" s="299"/>
      <c r="AE479" s="246"/>
      <c r="AF479" s="246"/>
      <c r="AG479" s="241"/>
      <c r="AH479" s="245"/>
      <c r="AI479" s="284"/>
      <c r="AJ479" s="348"/>
      <c r="AK479" s="348">
        <v>3</v>
      </c>
      <c r="AL479" s="123" t="s">
        <v>394</v>
      </c>
      <c r="AM479" s="120" t="s">
        <v>267</v>
      </c>
      <c r="AN479" s="151"/>
      <c r="AO479" s="151"/>
      <c r="AP479" s="115"/>
      <c r="AQ479" s="115"/>
      <c r="AR479" s="115"/>
      <c r="AS479" s="115"/>
      <c r="AT479" s="115"/>
    </row>
    <row r="480" spans="1:46" ht="39" customHeight="1" x14ac:dyDescent="0.25">
      <c r="A480" s="1468">
        <v>479</v>
      </c>
      <c r="B480" s="117">
        <v>3</v>
      </c>
      <c r="C480" s="358" t="s">
        <v>397</v>
      </c>
      <c r="D480" s="282"/>
      <c r="E480" s="282"/>
      <c r="F480" s="282"/>
      <c r="G480" s="261" t="s">
        <v>398</v>
      </c>
      <c r="H480" s="262" t="s">
        <v>85</v>
      </c>
      <c r="I480" s="357"/>
      <c r="J480" s="245" t="s">
        <v>556</v>
      </c>
      <c r="K480" s="216"/>
      <c r="L480" s="301"/>
      <c r="M480" s="216"/>
      <c r="N480" s="366"/>
      <c r="O480" s="950"/>
      <c r="P480" s="325"/>
      <c r="Q480" s="373"/>
      <c r="R480" s="683" t="s">
        <v>66</v>
      </c>
      <c r="S480" s="279"/>
      <c r="T480" s="306"/>
      <c r="U480" s="250"/>
      <c r="V480" s="250"/>
      <c r="W480" s="197"/>
      <c r="X480" s="197"/>
      <c r="Y480" s="197"/>
      <c r="Z480" s="246"/>
      <c r="AA480" s="246"/>
      <c r="AB480" s="301"/>
      <c r="AC480" s="223"/>
      <c r="AD480" s="301"/>
      <c r="AE480" s="306"/>
      <c r="AF480" s="306"/>
      <c r="AG480" s="301"/>
      <c r="AH480" s="301"/>
      <c r="AI480" s="386"/>
      <c r="AJ480" s="348"/>
      <c r="AK480" s="241">
        <v>4</v>
      </c>
      <c r="AL480" s="123" t="s">
        <v>394</v>
      </c>
      <c r="AM480" s="120" t="s">
        <v>267</v>
      </c>
      <c r="AN480" s="151"/>
      <c r="AO480" s="151"/>
      <c r="AP480" s="115"/>
      <c r="AQ480" s="115"/>
      <c r="AR480" s="115"/>
      <c r="AS480" s="115"/>
      <c r="AT480" s="115"/>
    </row>
    <row r="481" spans="1:46" ht="39" customHeight="1" x14ac:dyDescent="0.25">
      <c r="A481" s="1468">
        <v>480</v>
      </c>
      <c r="B481" s="117">
        <v>2</v>
      </c>
      <c r="C481" s="358" t="s">
        <v>86</v>
      </c>
      <c r="D481" s="282"/>
      <c r="E481" s="282"/>
      <c r="F481" s="282"/>
      <c r="G481" s="261" t="s">
        <v>399</v>
      </c>
      <c r="H481" s="262" t="s">
        <v>87</v>
      </c>
      <c r="I481" s="357"/>
      <c r="J481" s="245" t="s">
        <v>561</v>
      </c>
      <c r="K481" s="216"/>
      <c r="L481" s="288" t="s">
        <v>1526</v>
      </c>
      <c r="M481" s="288" t="s">
        <v>1526</v>
      </c>
      <c r="N481" s="374"/>
      <c r="O481" s="385" t="s">
        <v>1563</v>
      </c>
      <c r="P481" s="374"/>
      <c r="Q481" s="373" t="s">
        <v>87</v>
      </c>
      <c r="R481" s="982" t="s">
        <v>3279</v>
      </c>
      <c r="S481" s="279">
        <v>28662</v>
      </c>
      <c r="T481" s="197"/>
      <c r="U481" s="251" t="s">
        <v>886</v>
      </c>
      <c r="V481" s="250" t="s">
        <v>3667</v>
      </c>
      <c r="W481" s="197" t="s">
        <v>886</v>
      </c>
      <c r="X481" s="197" t="s">
        <v>886</v>
      </c>
      <c r="Y481" s="197"/>
      <c r="Z481" s="246">
        <v>45211</v>
      </c>
      <c r="AA481" s="388"/>
      <c r="AB481" s="288"/>
      <c r="AC481" s="223"/>
      <c r="AD481" s="288"/>
      <c r="AE481" s="384"/>
      <c r="AF481" s="384"/>
      <c r="AG481" s="1488"/>
      <c r="AH481" s="283"/>
      <c r="AI481" s="254"/>
      <c r="AJ481" s="348" t="s">
        <v>560</v>
      </c>
      <c r="AK481" s="241">
        <v>4</v>
      </c>
      <c r="AL481" s="123" t="s">
        <v>394</v>
      </c>
      <c r="AM481" s="120" t="s">
        <v>267</v>
      </c>
      <c r="AN481" s="151" t="s">
        <v>5773</v>
      </c>
      <c r="AO481" s="151"/>
      <c r="AP481" s="115"/>
      <c r="AQ481" s="115"/>
      <c r="AR481" s="115"/>
      <c r="AS481" s="115"/>
      <c r="AT481" s="115"/>
    </row>
    <row r="482" spans="1:46" ht="39" customHeight="1" x14ac:dyDescent="0.25">
      <c r="A482" s="1468">
        <v>481</v>
      </c>
      <c r="B482" s="117">
        <v>2</v>
      </c>
      <c r="C482" s="358" t="s">
        <v>86</v>
      </c>
      <c r="D482" s="282"/>
      <c r="E482" s="282"/>
      <c r="F482" s="282"/>
      <c r="G482" s="261" t="s">
        <v>399</v>
      </c>
      <c r="H482" s="262" t="s">
        <v>87</v>
      </c>
      <c r="I482" s="357"/>
      <c r="J482" s="245" t="s">
        <v>561</v>
      </c>
      <c r="K482" s="216"/>
      <c r="L482" s="301"/>
      <c r="M482" s="216"/>
      <c r="N482" s="366"/>
      <c r="O482" s="950"/>
      <c r="P482" s="325"/>
      <c r="Q482" s="373"/>
      <c r="R482" s="982" t="s">
        <v>66</v>
      </c>
      <c r="S482" s="279"/>
      <c r="T482" s="306"/>
      <c r="U482" s="250"/>
      <c r="V482" s="250"/>
      <c r="W482" s="197"/>
      <c r="X482" s="197"/>
      <c r="Y482" s="197"/>
      <c r="Z482" s="246"/>
      <c r="AA482" s="246"/>
      <c r="AB482" s="301"/>
      <c r="AC482" s="223"/>
      <c r="AD482" s="301"/>
      <c r="AE482" s="306"/>
      <c r="AF482" s="306"/>
      <c r="AG482" s="301"/>
      <c r="AH482" s="301"/>
      <c r="AI482" s="386"/>
      <c r="AJ482" s="348"/>
      <c r="AK482" s="241">
        <v>4</v>
      </c>
      <c r="AL482" s="123" t="s">
        <v>394</v>
      </c>
      <c r="AM482" s="120" t="s">
        <v>267</v>
      </c>
      <c r="AN482" s="151" t="s">
        <v>5773</v>
      </c>
      <c r="AO482" s="151"/>
      <c r="AP482" s="115"/>
      <c r="AQ482" s="115"/>
      <c r="AR482" s="115"/>
      <c r="AS482" s="115"/>
      <c r="AT482" s="115"/>
    </row>
    <row r="483" spans="1:46" ht="39" customHeight="1" x14ac:dyDescent="0.25">
      <c r="A483" s="1468">
        <v>482</v>
      </c>
      <c r="B483" s="117"/>
      <c r="C483" s="455"/>
      <c r="D483" s="511"/>
      <c r="E483" s="511"/>
      <c r="F483" s="511"/>
      <c r="G483" s="432"/>
      <c r="H483" s="512"/>
      <c r="I483" s="513"/>
      <c r="J483" s="459"/>
      <c r="K483" s="330"/>
      <c r="L483" s="514"/>
      <c r="M483" s="330"/>
      <c r="N483" s="515"/>
      <c r="O483" s="330"/>
      <c r="P483" s="516" t="s">
        <v>400</v>
      </c>
      <c r="Q483" s="514"/>
      <c r="R483" s="455"/>
      <c r="S483" s="279"/>
      <c r="T483" s="517"/>
      <c r="U483" s="250"/>
      <c r="V483" s="334"/>
      <c r="W483" s="517"/>
      <c r="X483" s="517"/>
      <c r="Y483" s="334"/>
      <c r="Z483" s="457"/>
      <c r="AA483" s="457"/>
      <c r="AB483" s="514"/>
      <c r="AC483" s="460"/>
      <c r="AD483" s="514"/>
      <c r="AE483" s="517"/>
      <c r="AF483" s="517"/>
      <c r="AG483" s="514"/>
      <c r="AH483" s="514"/>
      <c r="AI483" s="518"/>
      <c r="AJ483" s="464"/>
      <c r="AK483" s="331"/>
      <c r="AL483" s="163"/>
      <c r="AM483" s="163"/>
      <c r="AN483" s="156"/>
      <c r="AO483" s="156"/>
      <c r="AP483" s="115"/>
      <c r="AQ483" s="115"/>
      <c r="AR483" s="115"/>
      <c r="AS483" s="115"/>
      <c r="AT483" s="115"/>
    </row>
    <row r="484" spans="1:46" ht="39" customHeight="1" x14ac:dyDescent="0.25">
      <c r="A484" s="1468">
        <v>483</v>
      </c>
      <c r="B484" s="117">
        <v>5</v>
      </c>
      <c r="C484" s="260" t="s">
        <v>367</v>
      </c>
      <c r="D484" s="282"/>
      <c r="E484" s="282"/>
      <c r="F484" s="282"/>
      <c r="G484" s="261" t="s">
        <v>396</v>
      </c>
      <c r="H484" s="262" t="s">
        <v>132</v>
      </c>
      <c r="I484" s="357"/>
      <c r="J484" s="256">
        <v>403</v>
      </c>
      <c r="K484" s="216"/>
      <c r="L484" s="301"/>
      <c r="M484" s="216"/>
      <c r="N484" s="366"/>
      <c r="O484" s="950"/>
      <c r="P484" s="325"/>
      <c r="Q484" s="373"/>
      <c r="R484" s="982" t="s">
        <v>66</v>
      </c>
      <c r="S484" s="279"/>
      <c r="T484" s="306"/>
      <c r="U484" s="250"/>
      <c r="V484" s="250"/>
      <c r="W484" s="197"/>
      <c r="X484" s="197"/>
      <c r="Y484" s="197"/>
      <c r="Z484" s="246"/>
      <c r="AA484" s="246"/>
      <c r="AB484" s="301"/>
      <c r="AC484" s="223"/>
      <c r="AD484" s="301"/>
      <c r="AE484" s="306"/>
      <c r="AF484" s="306"/>
      <c r="AG484" s="301"/>
      <c r="AH484" s="301"/>
      <c r="AI484" s="386"/>
      <c r="AJ484" s="348"/>
      <c r="AK484" s="348">
        <v>3</v>
      </c>
      <c r="AL484" s="123" t="s">
        <v>394</v>
      </c>
      <c r="AM484" s="120" t="s">
        <v>267</v>
      </c>
      <c r="AN484" s="151"/>
      <c r="AO484" s="151"/>
      <c r="AP484" s="115"/>
      <c r="AQ484" s="115"/>
      <c r="AR484" s="115"/>
      <c r="AS484" s="115"/>
      <c r="AT484" s="115"/>
    </row>
    <row r="485" spans="1:46" ht="39" customHeight="1" x14ac:dyDescent="0.25">
      <c r="A485" s="1468">
        <v>484</v>
      </c>
      <c r="B485" s="117">
        <v>3</v>
      </c>
      <c r="C485" s="520" t="s">
        <v>397</v>
      </c>
      <c r="D485" s="481"/>
      <c r="E485" s="481"/>
      <c r="F485" s="481"/>
      <c r="G485" s="472" t="s">
        <v>398</v>
      </c>
      <c r="H485" s="262" t="s">
        <v>85</v>
      </c>
      <c r="I485" s="473"/>
      <c r="J485" s="245" t="s">
        <v>556</v>
      </c>
      <c r="K485" s="265"/>
      <c r="L485" s="394"/>
      <c r="M485" s="265"/>
      <c r="N485" s="404"/>
      <c r="O485" s="950"/>
      <c r="P485" s="325"/>
      <c r="Q485" s="373"/>
      <c r="R485" s="982" t="s">
        <v>66</v>
      </c>
      <c r="S485" s="279"/>
      <c r="T485" s="396"/>
      <c r="U485" s="250"/>
      <c r="V485" s="250"/>
      <c r="W485" s="197"/>
      <c r="X485" s="197"/>
      <c r="Y485" s="197"/>
      <c r="Z485" s="246"/>
      <c r="AA485" s="405"/>
      <c r="AB485" s="394"/>
      <c r="AC485" s="474"/>
      <c r="AD485" s="394"/>
      <c r="AE485" s="396"/>
      <c r="AF485" s="396"/>
      <c r="AG485" s="394"/>
      <c r="AH485" s="394"/>
      <c r="AI485" s="493"/>
      <c r="AJ485" s="348"/>
      <c r="AK485" s="471">
        <v>4</v>
      </c>
      <c r="AL485" s="123" t="s">
        <v>394</v>
      </c>
      <c r="AM485" s="120" t="s">
        <v>267</v>
      </c>
      <c r="AN485" s="167"/>
      <c r="AO485" s="167"/>
      <c r="AP485" s="115"/>
      <c r="AQ485" s="115"/>
      <c r="AR485" s="115"/>
      <c r="AS485" s="115"/>
      <c r="AT485" s="115"/>
    </row>
    <row r="486" spans="1:46" ht="39" customHeight="1" x14ac:dyDescent="0.25">
      <c r="A486" s="1468">
        <v>485</v>
      </c>
      <c r="B486" s="117">
        <v>2</v>
      </c>
      <c r="C486" s="358" t="s">
        <v>86</v>
      </c>
      <c r="D486" s="282"/>
      <c r="E486" s="282"/>
      <c r="F486" s="282"/>
      <c r="G486" s="261" t="s">
        <v>399</v>
      </c>
      <c r="H486" s="262" t="s">
        <v>87</v>
      </c>
      <c r="I486" s="357"/>
      <c r="J486" s="245" t="s">
        <v>561</v>
      </c>
      <c r="K486" s="216"/>
      <c r="L486" s="245" t="s">
        <v>1987</v>
      </c>
      <c r="M486" s="245" t="s">
        <v>1987</v>
      </c>
      <c r="N486" s="366"/>
      <c r="O486" s="1354" t="s">
        <v>3220</v>
      </c>
      <c r="P486" s="245"/>
      <c r="Q486" s="344" t="s">
        <v>87</v>
      </c>
      <c r="R486" s="982" t="s">
        <v>1986</v>
      </c>
      <c r="S486" s="279">
        <v>38415</v>
      </c>
      <c r="T486" s="197"/>
      <c r="U486" s="251" t="s">
        <v>54</v>
      </c>
      <c r="V486" s="197" t="s">
        <v>2378</v>
      </c>
      <c r="W486" s="819" t="s">
        <v>56</v>
      </c>
      <c r="X486" s="819" t="s">
        <v>57</v>
      </c>
      <c r="Y486" s="949" t="s">
        <v>2379</v>
      </c>
      <c r="Z486" s="246">
        <v>45177</v>
      </c>
      <c r="AA486" s="246"/>
      <c r="AB486" s="306"/>
      <c r="AC486" s="223"/>
      <c r="AD486" s="306"/>
      <c r="AE486" s="306"/>
      <c r="AF486" s="306"/>
      <c r="AG486" s="301"/>
      <c r="AH486" s="281"/>
      <c r="AI486" s="254"/>
      <c r="AJ486" s="348" t="s">
        <v>560</v>
      </c>
      <c r="AK486" s="241">
        <v>4</v>
      </c>
      <c r="AL486" s="123" t="s">
        <v>394</v>
      </c>
      <c r="AM486" s="120" t="s">
        <v>267</v>
      </c>
      <c r="AN486" s="151" t="s">
        <v>5773</v>
      </c>
      <c r="AO486" s="151"/>
      <c r="AP486" s="115"/>
      <c r="AQ486" s="115"/>
      <c r="AR486" s="115"/>
      <c r="AS486" s="115"/>
      <c r="AT486" s="115"/>
    </row>
    <row r="487" spans="1:46" ht="39" customHeight="1" x14ac:dyDescent="0.25">
      <c r="A487" s="1468">
        <v>486</v>
      </c>
      <c r="B487" s="117">
        <v>2</v>
      </c>
      <c r="C487" s="358" t="s">
        <v>86</v>
      </c>
      <c r="D487" s="282"/>
      <c r="E487" s="282"/>
      <c r="F487" s="282"/>
      <c r="G487" s="261" t="s">
        <v>399</v>
      </c>
      <c r="H487" s="262" t="s">
        <v>87</v>
      </c>
      <c r="I487" s="357"/>
      <c r="J487" s="245" t="s">
        <v>561</v>
      </c>
      <c r="K487" s="257"/>
      <c r="L487" s="299"/>
      <c r="M487" s="299"/>
      <c r="N487" s="299"/>
      <c r="O487" s="385" t="s">
        <v>2469</v>
      </c>
      <c r="P487" s="484" t="s">
        <v>1828</v>
      </c>
      <c r="Q487" s="344" t="s">
        <v>570</v>
      </c>
      <c r="R487" s="982" t="s">
        <v>2468</v>
      </c>
      <c r="S487" s="279">
        <v>35012</v>
      </c>
      <c r="T487" s="289"/>
      <c r="U487" s="251" t="s">
        <v>391</v>
      </c>
      <c r="V487" s="250" t="s">
        <v>6005</v>
      </c>
      <c r="W487" s="197" t="s">
        <v>5831</v>
      </c>
      <c r="X487" s="197" t="s">
        <v>559</v>
      </c>
      <c r="Y487" s="197" t="s">
        <v>6006</v>
      </c>
      <c r="Z487" s="246">
        <v>45320</v>
      </c>
      <c r="AA487" s="289"/>
      <c r="AB487" s="299"/>
      <c r="AC487" s="223"/>
      <c r="AD487" s="299"/>
      <c r="AE487" s="289"/>
      <c r="AF487" s="289"/>
      <c r="AG487" s="299"/>
      <c r="AH487" s="299"/>
      <c r="AI487" s="223"/>
      <c r="AJ487" s="348" t="s">
        <v>560</v>
      </c>
      <c r="AK487" s="241">
        <v>4</v>
      </c>
      <c r="AL487" s="123" t="s">
        <v>394</v>
      </c>
      <c r="AM487" s="120" t="s">
        <v>267</v>
      </c>
      <c r="AN487" s="151" t="s">
        <v>5773</v>
      </c>
      <c r="AO487" s="151"/>
      <c r="AP487" s="115"/>
      <c r="AQ487" s="115"/>
      <c r="AR487" s="115"/>
      <c r="AS487" s="115"/>
      <c r="AT487" s="115"/>
    </row>
    <row r="488" spans="1:46" ht="39" customHeight="1" x14ac:dyDescent="0.25">
      <c r="A488" s="1468">
        <v>487</v>
      </c>
      <c r="B488" s="117"/>
      <c r="C488" s="455"/>
      <c r="D488" s="511"/>
      <c r="E488" s="511"/>
      <c r="F488" s="511"/>
      <c r="G488" s="432"/>
      <c r="H488" s="512"/>
      <c r="I488" s="513"/>
      <c r="J488" s="459"/>
      <c r="K488" s="330"/>
      <c r="L488" s="514"/>
      <c r="M488" s="330"/>
      <c r="N488" s="515"/>
      <c r="O488" s="330"/>
      <c r="P488" s="516" t="s">
        <v>401</v>
      </c>
      <c r="Q488" s="514"/>
      <c r="R488" s="455"/>
      <c r="S488" s="279"/>
      <c r="T488" s="517"/>
      <c r="U488" s="250"/>
      <c r="V488" s="334"/>
      <c r="W488" s="517"/>
      <c r="X488" s="517"/>
      <c r="Y488" s="334"/>
      <c r="Z488" s="457"/>
      <c r="AA488" s="457"/>
      <c r="AB488" s="514"/>
      <c r="AC488" s="460"/>
      <c r="AD488" s="514"/>
      <c r="AE488" s="517"/>
      <c r="AF488" s="517"/>
      <c r="AG488" s="514"/>
      <c r="AH488" s="514"/>
      <c r="AI488" s="518"/>
      <c r="AJ488" s="464"/>
      <c r="AK488" s="331"/>
      <c r="AL488" s="163"/>
      <c r="AM488" s="163"/>
      <c r="AN488" s="156"/>
      <c r="AO488" s="156"/>
      <c r="AP488" s="115"/>
      <c r="AQ488" s="115"/>
      <c r="AR488" s="115"/>
      <c r="AS488" s="115"/>
      <c r="AT488" s="115"/>
    </row>
    <row r="489" spans="1:46" ht="39" customHeight="1" x14ac:dyDescent="0.25">
      <c r="A489" s="1468">
        <v>488</v>
      </c>
      <c r="B489" s="117">
        <v>5</v>
      </c>
      <c r="C489" s="260" t="s">
        <v>367</v>
      </c>
      <c r="D489" s="282"/>
      <c r="E489" s="282"/>
      <c r="F489" s="282"/>
      <c r="G489" s="261" t="s">
        <v>396</v>
      </c>
      <c r="H489" s="262" t="s">
        <v>132</v>
      </c>
      <c r="I489" s="357"/>
      <c r="J489" s="256">
        <v>403</v>
      </c>
      <c r="K489" s="216"/>
      <c r="L489" s="282" t="s">
        <v>2567</v>
      </c>
      <c r="M489" s="282" t="s">
        <v>2567</v>
      </c>
      <c r="N489" s="245"/>
      <c r="O489" s="950" t="s">
        <v>2568</v>
      </c>
      <c r="P489" s="372"/>
      <c r="Q489" s="344" t="s">
        <v>567</v>
      </c>
      <c r="R489" s="982" t="s">
        <v>2566</v>
      </c>
      <c r="S489" s="279">
        <v>37859</v>
      </c>
      <c r="T489" s="250"/>
      <c r="U489" s="251" t="s">
        <v>54</v>
      </c>
      <c r="V489" s="250" t="s">
        <v>2552</v>
      </c>
      <c r="W489" s="197" t="s">
        <v>56</v>
      </c>
      <c r="X489" s="197" t="s">
        <v>57</v>
      </c>
      <c r="Y489" s="252" t="s">
        <v>1933</v>
      </c>
      <c r="Z489" s="252">
        <v>45183</v>
      </c>
      <c r="AA489" s="258"/>
      <c r="AB489" s="281"/>
      <c r="AC489" s="223"/>
      <c r="AD489" s="281"/>
      <c r="AE489" s="252"/>
      <c r="AF489" s="252"/>
      <c r="AG489" s="241"/>
      <c r="AH489" s="283"/>
      <c r="AI489" s="296"/>
      <c r="AJ489" s="348" t="s">
        <v>560</v>
      </c>
      <c r="AK489" s="348">
        <v>3</v>
      </c>
      <c r="AL489" s="123" t="s">
        <v>394</v>
      </c>
      <c r="AM489" s="120" t="s">
        <v>267</v>
      </c>
      <c r="AN489" s="151"/>
      <c r="AO489" s="151"/>
      <c r="AP489" s="115"/>
      <c r="AQ489" s="115"/>
      <c r="AR489" s="115"/>
      <c r="AS489" s="115"/>
      <c r="AT489" s="115"/>
    </row>
    <row r="490" spans="1:46" ht="39" customHeight="1" x14ac:dyDescent="0.25">
      <c r="A490" s="1468">
        <v>489</v>
      </c>
      <c r="B490" s="117">
        <v>3</v>
      </c>
      <c r="C490" s="521" t="s">
        <v>397</v>
      </c>
      <c r="D490" s="487"/>
      <c r="E490" s="487"/>
      <c r="F490" s="487"/>
      <c r="G490" s="477" t="s">
        <v>398</v>
      </c>
      <c r="H490" s="262" t="s">
        <v>85</v>
      </c>
      <c r="I490" s="508"/>
      <c r="J490" s="245" t="s">
        <v>556</v>
      </c>
      <c r="K490" s="277"/>
      <c r="L490" s="397"/>
      <c r="M490" s="277"/>
      <c r="N490" s="451"/>
      <c r="O490" s="950"/>
      <c r="P490" s="325"/>
      <c r="Q490" s="373"/>
      <c r="R490" s="683" t="s">
        <v>66</v>
      </c>
      <c r="S490" s="279"/>
      <c r="T490" s="399"/>
      <c r="U490" s="250"/>
      <c r="V490" s="250"/>
      <c r="W490" s="197"/>
      <c r="X490" s="197"/>
      <c r="Y490" s="197"/>
      <c r="Z490" s="246"/>
      <c r="AA490" s="486"/>
      <c r="AB490" s="397"/>
      <c r="AC490" s="488"/>
      <c r="AD490" s="397"/>
      <c r="AE490" s="452"/>
      <c r="AF490" s="452"/>
      <c r="AG490" s="397"/>
      <c r="AH490" s="397"/>
      <c r="AI490" s="523"/>
      <c r="AJ490" s="348"/>
      <c r="AK490" s="476">
        <v>4</v>
      </c>
      <c r="AL490" s="123" t="s">
        <v>394</v>
      </c>
      <c r="AM490" s="120" t="s">
        <v>267</v>
      </c>
      <c r="AN490" s="173"/>
      <c r="AO490" s="173"/>
      <c r="AP490" s="115"/>
      <c r="AQ490" s="115"/>
      <c r="AR490" s="115"/>
      <c r="AS490" s="115"/>
      <c r="AT490" s="115"/>
    </row>
    <row r="491" spans="1:46" ht="39" customHeight="1" x14ac:dyDescent="0.25">
      <c r="A491" s="1468">
        <v>490</v>
      </c>
      <c r="B491" s="117">
        <v>2</v>
      </c>
      <c r="C491" s="358" t="s">
        <v>86</v>
      </c>
      <c r="D491" s="282"/>
      <c r="E491" s="282"/>
      <c r="F491" s="282"/>
      <c r="G491" s="261" t="s">
        <v>399</v>
      </c>
      <c r="H491" s="262" t="s">
        <v>87</v>
      </c>
      <c r="I491" s="335"/>
      <c r="J491" s="245" t="s">
        <v>561</v>
      </c>
      <c r="K491" s="216"/>
      <c r="L491" s="288" t="s">
        <v>1526</v>
      </c>
      <c r="M491" s="288" t="s">
        <v>1526</v>
      </c>
      <c r="N491" s="374"/>
      <c r="O491" s="385" t="s">
        <v>1562</v>
      </c>
      <c r="P491" s="374"/>
      <c r="Q491" s="373" t="s">
        <v>87</v>
      </c>
      <c r="R491" s="982" t="s">
        <v>3281</v>
      </c>
      <c r="S491" s="279">
        <v>32006</v>
      </c>
      <c r="T491" s="197"/>
      <c r="U491" s="251" t="s">
        <v>54</v>
      </c>
      <c r="V491" s="250" t="s">
        <v>2793</v>
      </c>
      <c r="W491" s="197" t="s">
        <v>56</v>
      </c>
      <c r="X491" s="197" t="s">
        <v>57</v>
      </c>
      <c r="Y491" s="197" t="s">
        <v>2609</v>
      </c>
      <c r="Z491" s="246">
        <v>45151</v>
      </c>
      <c r="AA491" s="388"/>
      <c r="AB491" s="288"/>
      <c r="AC491" s="223"/>
      <c r="AD491" s="288"/>
      <c r="AE491" s="384"/>
      <c r="AF491" s="384"/>
      <c r="AG491" s="1357"/>
      <c r="AH491" s="283"/>
      <c r="AI491" s="254"/>
      <c r="AJ491" s="348" t="s">
        <v>560</v>
      </c>
      <c r="AK491" s="241">
        <v>4</v>
      </c>
      <c r="AL491" s="123" t="s">
        <v>394</v>
      </c>
      <c r="AM491" s="120" t="s">
        <v>267</v>
      </c>
      <c r="AN491" s="151" t="s">
        <v>5773</v>
      </c>
      <c r="AO491" s="173"/>
      <c r="AP491" s="115"/>
      <c r="AQ491" s="115"/>
      <c r="AR491" s="115"/>
      <c r="AS491" s="115"/>
      <c r="AT491" s="115"/>
    </row>
    <row r="492" spans="1:46" ht="39" customHeight="1" x14ac:dyDescent="0.25">
      <c r="A492" s="1468">
        <v>491</v>
      </c>
      <c r="B492" s="117">
        <v>2</v>
      </c>
      <c r="C492" s="358" t="s">
        <v>86</v>
      </c>
      <c r="D492" s="282"/>
      <c r="E492" s="282"/>
      <c r="F492" s="282"/>
      <c r="G492" s="261" t="s">
        <v>399</v>
      </c>
      <c r="H492" s="262" t="s">
        <v>87</v>
      </c>
      <c r="I492" s="335"/>
      <c r="J492" s="245" t="s">
        <v>561</v>
      </c>
      <c r="K492" s="261"/>
      <c r="L492" s="256"/>
      <c r="M492" s="256"/>
      <c r="N492" s="256"/>
      <c r="O492" s="950"/>
      <c r="P492" s="325"/>
      <c r="Q492" s="373"/>
      <c r="R492" s="982" t="s">
        <v>66</v>
      </c>
      <c r="S492" s="279"/>
      <c r="T492" s="197"/>
      <c r="U492" s="250"/>
      <c r="V492" s="250"/>
      <c r="W492" s="197"/>
      <c r="X492" s="197"/>
      <c r="Y492" s="197"/>
      <c r="Z492" s="246"/>
      <c r="AA492" s="337"/>
      <c r="AB492" s="245"/>
      <c r="AC492" s="223"/>
      <c r="AD492" s="245"/>
      <c r="AE492" s="269"/>
      <c r="AF492" s="246"/>
      <c r="AG492" s="241"/>
      <c r="AH492" s="253"/>
      <c r="AI492" s="254"/>
      <c r="AJ492" s="348"/>
      <c r="AK492" s="241">
        <v>4</v>
      </c>
      <c r="AL492" s="123" t="s">
        <v>394</v>
      </c>
      <c r="AM492" s="120" t="s">
        <v>267</v>
      </c>
      <c r="AN492" s="151" t="s">
        <v>5773</v>
      </c>
      <c r="AO492" s="122"/>
      <c r="AP492" s="115"/>
      <c r="AQ492" s="115"/>
      <c r="AR492" s="115"/>
      <c r="AS492" s="115"/>
      <c r="AT492" s="116"/>
    </row>
    <row r="493" spans="1:46" ht="39" customHeight="1" x14ac:dyDescent="0.25">
      <c r="A493" s="1468">
        <v>492</v>
      </c>
      <c r="B493" s="159"/>
      <c r="C493" s="455"/>
      <c r="D493" s="331"/>
      <c r="E493" s="331"/>
      <c r="F493" s="331"/>
      <c r="G493" s="432"/>
      <c r="H493" s="512"/>
      <c r="I493" s="456"/>
      <c r="J493" s="329"/>
      <c r="K493" s="432"/>
      <c r="L493" s="329"/>
      <c r="M493" s="329"/>
      <c r="N493" s="329"/>
      <c r="O493" s="329"/>
      <c r="P493" s="273" t="s">
        <v>402</v>
      </c>
      <c r="Q493" s="331"/>
      <c r="R493" s="455"/>
      <c r="S493" s="279"/>
      <c r="T493" s="334"/>
      <c r="U493" s="250"/>
      <c r="V493" s="334"/>
      <c r="W493" s="334"/>
      <c r="X493" s="334"/>
      <c r="Y493" s="334"/>
      <c r="Z493" s="457"/>
      <c r="AA493" s="458"/>
      <c r="AB493" s="459"/>
      <c r="AC493" s="460"/>
      <c r="AD493" s="459"/>
      <c r="AE493" s="461"/>
      <c r="AF493" s="457"/>
      <c r="AG493" s="331"/>
      <c r="AH493" s="462"/>
      <c r="AI493" s="463"/>
      <c r="AJ493" s="464"/>
      <c r="AK493" s="331"/>
      <c r="AL493" s="163"/>
      <c r="AM493" s="163"/>
      <c r="AN493" s="163"/>
      <c r="AO493" s="163"/>
      <c r="AP493" s="115"/>
      <c r="AQ493" s="115"/>
      <c r="AR493" s="115"/>
      <c r="AS493" s="115"/>
      <c r="AT493" s="116"/>
    </row>
    <row r="494" spans="1:46" ht="39" customHeight="1" x14ac:dyDescent="0.25">
      <c r="A494" s="1468">
        <v>493</v>
      </c>
      <c r="B494" s="119">
        <v>12</v>
      </c>
      <c r="C494" s="341" t="s">
        <v>403</v>
      </c>
      <c r="D494" s="282"/>
      <c r="E494" s="338" t="s">
        <v>47</v>
      </c>
      <c r="F494" s="282"/>
      <c r="G494" s="339" t="s">
        <v>404</v>
      </c>
      <c r="H494" s="244" t="s">
        <v>83</v>
      </c>
      <c r="I494" s="340"/>
      <c r="J494" s="245">
        <v>302</v>
      </c>
      <c r="K494" s="216" t="s">
        <v>50</v>
      </c>
      <c r="L494" s="281" t="s">
        <v>1130</v>
      </c>
      <c r="M494" s="281" t="s">
        <v>215</v>
      </c>
      <c r="N494" s="216"/>
      <c r="O494" s="216" t="s">
        <v>1131</v>
      </c>
      <c r="P494" s="325"/>
      <c r="Q494" s="338" t="s">
        <v>119</v>
      </c>
      <c r="R494" s="259" t="s">
        <v>1132</v>
      </c>
      <c r="S494" s="279">
        <v>36298</v>
      </c>
      <c r="T494" s="250"/>
      <c r="U494" s="251" t="s">
        <v>54</v>
      </c>
      <c r="V494" s="197" t="s">
        <v>55</v>
      </c>
      <c r="W494" s="197" t="s">
        <v>56</v>
      </c>
      <c r="X494" s="197" t="s">
        <v>57</v>
      </c>
      <c r="Y494" s="197" t="s">
        <v>58</v>
      </c>
      <c r="Z494" s="246">
        <v>44783</v>
      </c>
      <c r="AA494" s="252"/>
      <c r="AB494" s="301" t="s">
        <v>1133</v>
      </c>
      <c r="AC494" s="223" t="s">
        <v>946</v>
      </c>
      <c r="AD494" s="306" t="s">
        <v>1134</v>
      </c>
      <c r="AE494" s="252"/>
      <c r="AF494" s="252"/>
      <c r="AG494" s="282" t="s">
        <v>61</v>
      </c>
      <c r="AH494" s="283"/>
      <c r="AI494" s="393"/>
      <c r="AJ494" s="255" t="s">
        <v>62</v>
      </c>
      <c r="AK494" s="242">
        <v>1</v>
      </c>
      <c r="AL494" s="123" t="s">
        <v>405</v>
      </c>
      <c r="AM494" s="120" t="s">
        <v>267</v>
      </c>
      <c r="AN494" s="137"/>
      <c r="AO494" s="137"/>
      <c r="AP494" s="115"/>
      <c r="AQ494" s="115"/>
      <c r="AR494" s="115"/>
      <c r="AS494" s="115"/>
      <c r="AT494" s="115"/>
    </row>
    <row r="495" spans="1:46" ht="39" customHeight="1" x14ac:dyDescent="0.25">
      <c r="A495" s="1468">
        <v>494</v>
      </c>
      <c r="B495" s="117"/>
      <c r="C495" s="455"/>
      <c r="D495" s="331"/>
      <c r="E495" s="331"/>
      <c r="F495" s="331"/>
      <c r="G495" s="432"/>
      <c r="H495" s="456"/>
      <c r="I495" s="456"/>
      <c r="J495" s="329"/>
      <c r="K495" s="432"/>
      <c r="L495" s="329"/>
      <c r="M495" s="329"/>
      <c r="N495" s="329"/>
      <c r="O495" s="330"/>
      <c r="P495" s="273" t="s">
        <v>406</v>
      </c>
      <c r="Q495" s="331"/>
      <c r="R495" s="381"/>
      <c r="S495" s="279"/>
      <c r="T495" s="334"/>
      <c r="U495" s="250"/>
      <c r="V495" s="334"/>
      <c r="W495" s="334"/>
      <c r="X495" s="334"/>
      <c r="Y495" s="334"/>
      <c r="Z495" s="457"/>
      <c r="AA495" s="458"/>
      <c r="AB495" s="459"/>
      <c r="AC495" s="460"/>
      <c r="AD495" s="459"/>
      <c r="AE495" s="461"/>
      <c r="AF495" s="457"/>
      <c r="AG495" s="331"/>
      <c r="AH495" s="462"/>
      <c r="AI495" s="463"/>
      <c r="AJ495" s="464"/>
      <c r="AK495" s="331"/>
      <c r="AL495" s="163"/>
      <c r="AM495" s="163"/>
      <c r="AN495" s="163"/>
      <c r="AO495" s="163"/>
      <c r="AP495" s="115"/>
      <c r="AQ495" s="115"/>
      <c r="AR495" s="115"/>
      <c r="AS495" s="115"/>
      <c r="AT495" s="116"/>
    </row>
    <row r="496" spans="1:46" ht="39" customHeight="1" x14ac:dyDescent="0.25">
      <c r="A496" s="1468">
        <v>495</v>
      </c>
      <c r="B496" s="117">
        <v>4</v>
      </c>
      <c r="C496" s="528" t="s">
        <v>407</v>
      </c>
      <c r="D496" s="282" t="s">
        <v>134</v>
      </c>
      <c r="E496" s="282"/>
      <c r="F496" s="282"/>
      <c r="G496" s="447" t="s">
        <v>408</v>
      </c>
      <c r="H496" s="262" t="s">
        <v>85</v>
      </c>
      <c r="I496" s="357"/>
      <c r="J496" s="245" t="s">
        <v>556</v>
      </c>
      <c r="K496" s="288"/>
      <c r="L496" s="281" t="s">
        <v>1993</v>
      </c>
      <c r="M496" s="216" t="s">
        <v>4590</v>
      </c>
      <c r="N496" s="256"/>
      <c r="O496" s="392" t="s">
        <v>3180</v>
      </c>
      <c r="P496" s="325" t="s">
        <v>1828</v>
      </c>
      <c r="Q496" s="348" t="s">
        <v>293</v>
      </c>
      <c r="R496" s="1166" t="s">
        <v>3270</v>
      </c>
      <c r="S496" s="279">
        <v>31556</v>
      </c>
      <c r="T496" s="197"/>
      <c r="U496" s="251" t="s">
        <v>54</v>
      </c>
      <c r="V496" s="250" t="s">
        <v>1922</v>
      </c>
      <c r="W496" s="197" t="s">
        <v>56</v>
      </c>
      <c r="X496" s="197" t="s">
        <v>57</v>
      </c>
      <c r="Y496" s="252" t="s">
        <v>1933</v>
      </c>
      <c r="Z496" s="252">
        <v>45133</v>
      </c>
      <c r="AA496" s="289"/>
      <c r="AB496" s="299"/>
      <c r="AC496" s="223"/>
      <c r="AD496" s="299"/>
      <c r="AE496" s="289"/>
      <c r="AF496" s="289"/>
      <c r="AG496" s="299"/>
      <c r="AH496" s="299"/>
      <c r="AI496" s="296"/>
      <c r="AJ496" s="348" t="s">
        <v>560</v>
      </c>
      <c r="AK496" s="524">
        <v>4</v>
      </c>
      <c r="AL496" s="123" t="s">
        <v>405</v>
      </c>
      <c r="AM496" s="120" t="s">
        <v>267</v>
      </c>
      <c r="AN496" s="151"/>
      <c r="AO496" s="151"/>
      <c r="AP496" s="115"/>
      <c r="AQ496" s="115"/>
      <c r="AR496" s="115"/>
      <c r="AS496" s="115"/>
      <c r="AT496" s="115"/>
    </row>
    <row r="497" spans="1:46" ht="39" customHeight="1" x14ac:dyDescent="0.25">
      <c r="A497" s="1468">
        <v>496</v>
      </c>
      <c r="B497" s="117">
        <v>3</v>
      </c>
      <c r="C497" s="475" t="s">
        <v>409</v>
      </c>
      <c r="D497" s="487"/>
      <c r="E497" s="487"/>
      <c r="F497" s="487"/>
      <c r="G497" s="525" t="s">
        <v>410</v>
      </c>
      <c r="H497" s="262" t="s">
        <v>87</v>
      </c>
      <c r="I497" s="508"/>
      <c r="J497" s="245" t="s">
        <v>561</v>
      </c>
      <c r="K497" s="197"/>
      <c r="L497" s="281" t="s">
        <v>1860</v>
      </c>
      <c r="M497" s="281" t="s">
        <v>1860</v>
      </c>
      <c r="N497" s="366"/>
      <c r="O497" s="950" t="s">
        <v>1962</v>
      </c>
      <c r="P497" s="484" t="s">
        <v>1828</v>
      </c>
      <c r="Q497" s="373" t="s">
        <v>87</v>
      </c>
      <c r="R497" s="982" t="s">
        <v>1961</v>
      </c>
      <c r="S497" s="279">
        <v>27099</v>
      </c>
      <c r="T497" s="197"/>
      <c r="U497" s="251" t="s">
        <v>886</v>
      </c>
      <c r="V497" s="276" t="s">
        <v>5905</v>
      </c>
      <c r="W497" s="197" t="s">
        <v>886</v>
      </c>
      <c r="X497" s="197" t="s">
        <v>886</v>
      </c>
      <c r="Y497" s="197"/>
      <c r="Z497" s="246">
        <v>45301</v>
      </c>
      <c r="AA497" s="281"/>
      <c r="AB497" s="245"/>
      <c r="AC497" s="223"/>
      <c r="AD497" s="245"/>
      <c r="AE497" s="289"/>
      <c r="AF497" s="289"/>
      <c r="AG497" s="241"/>
      <c r="AH497" s="253"/>
      <c r="AI497" s="284"/>
      <c r="AJ497" s="348" t="s">
        <v>560</v>
      </c>
      <c r="AK497" s="241">
        <v>4</v>
      </c>
      <c r="AL497" s="123" t="s">
        <v>405</v>
      </c>
      <c r="AM497" s="120" t="s">
        <v>267</v>
      </c>
      <c r="AN497" s="173"/>
      <c r="AO497" s="173"/>
      <c r="AP497" s="115"/>
      <c r="AQ497" s="115"/>
      <c r="AR497" s="115"/>
      <c r="AS497" s="115"/>
      <c r="AT497" s="115"/>
    </row>
    <row r="498" spans="1:46" ht="39" customHeight="1" x14ac:dyDescent="0.25">
      <c r="A498" s="1468">
        <v>497</v>
      </c>
      <c r="B498" s="161">
        <v>2</v>
      </c>
      <c r="C498" s="526" t="s">
        <v>411</v>
      </c>
      <c r="D498" s="481"/>
      <c r="E498" s="481"/>
      <c r="F498" s="481"/>
      <c r="G498" s="527" t="s">
        <v>412</v>
      </c>
      <c r="H498" s="262" t="s">
        <v>87</v>
      </c>
      <c r="I498" s="492"/>
      <c r="J498" s="245" t="s">
        <v>561</v>
      </c>
      <c r="K498" s="305"/>
      <c r="L498" s="281" t="s">
        <v>1848</v>
      </c>
      <c r="M498" s="216" t="s">
        <v>4590</v>
      </c>
      <c r="N498" s="305"/>
      <c r="O498" s="392" t="s">
        <v>3185</v>
      </c>
      <c r="P498" s="484" t="s">
        <v>1828</v>
      </c>
      <c r="Q498" s="379" t="s">
        <v>570</v>
      </c>
      <c r="R498" s="982" t="s">
        <v>1882</v>
      </c>
      <c r="S498" s="279">
        <v>23543</v>
      </c>
      <c r="T498" s="306"/>
      <c r="U498" s="251" t="s">
        <v>54</v>
      </c>
      <c r="V498" s="250" t="s">
        <v>1922</v>
      </c>
      <c r="W498" s="197" t="s">
        <v>56</v>
      </c>
      <c r="X498" s="197" t="s">
        <v>57</v>
      </c>
      <c r="Y498" s="252" t="s">
        <v>1933</v>
      </c>
      <c r="Z498" s="252">
        <v>45133</v>
      </c>
      <c r="AA498" s="289"/>
      <c r="AB498" s="299"/>
      <c r="AC498" s="223"/>
      <c r="AD498" s="299"/>
      <c r="AE498" s="289"/>
      <c r="AF498" s="289"/>
      <c r="AG498" s="299"/>
      <c r="AH498" s="299"/>
      <c r="AI498" s="296"/>
      <c r="AJ498" s="348" t="s">
        <v>560</v>
      </c>
      <c r="AK498" s="241">
        <v>4</v>
      </c>
      <c r="AL498" s="123" t="s">
        <v>405</v>
      </c>
      <c r="AM498" s="120" t="s">
        <v>267</v>
      </c>
      <c r="AN498" s="167"/>
      <c r="AO498" s="167"/>
      <c r="AP498" s="115"/>
      <c r="AQ498" s="115"/>
      <c r="AR498" s="115"/>
      <c r="AS498" s="115"/>
      <c r="AT498" s="115"/>
    </row>
    <row r="499" spans="1:46" ht="39" customHeight="1" x14ac:dyDescent="0.25">
      <c r="A499" s="1468">
        <v>498</v>
      </c>
      <c r="B499" s="117">
        <v>3</v>
      </c>
      <c r="C499" s="501" t="s">
        <v>413</v>
      </c>
      <c r="D499" s="282"/>
      <c r="E499" s="282"/>
      <c r="F499" s="282"/>
      <c r="G499" s="447" t="s">
        <v>414</v>
      </c>
      <c r="H499" s="262" t="s">
        <v>87</v>
      </c>
      <c r="I499" s="357"/>
      <c r="J499" s="245" t="s">
        <v>561</v>
      </c>
      <c r="K499" s="216"/>
      <c r="L499" s="289"/>
      <c r="M499" s="289"/>
      <c r="N499" s="366"/>
      <c r="O499" s="216" t="s">
        <v>2537</v>
      </c>
      <c r="P499" s="401"/>
      <c r="Q499" s="375" t="s">
        <v>293</v>
      </c>
      <c r="R499" s="982" t="s">
        <v>2536</v>
      </c>
      <c r="S499" s="279">
        <v>26855</v>
      </c>
      <c r="T499" s="250"/>
      <c r="U499" s="251" t="s">
        <v>54</v>
      </c>
      <c r="V499" s="250" t="s">
        <v>2793</v>
      </c>
      <c r="W499" s="197" t="s">
        <v>56</v>
      </c>
      <c r="X499" s="197" t="s">
        <v>57</v>
      </c>
      <c r="Y499" s="197" t="s">
        <v>2609</v>
      </c>
      <c r="Z499" s="246">
        <v>45148</v>
      </c>
      <c r="AA499" s="306"/>
      <c r="AB499" s="301"/>
      <c r="AC499" s="223"/>
      <c r="AD499" s="301"/>
      <c r="AE499" s="306"/>
      <c r="AF499" s="306"/>
      <c r="AG499" s="305"/>
      <c r="AH499" s="301"/>
      <c r="AI499" s="296"/>
      <c r="AJ499" s="348" t="s">
        <v>560</v>
      </c>
      <c r="AK499" s="241">
        <v>4</v>
      </c>
      <c r="AL499" s="123" t="s">
        <v>405</v>
      </c>
      <c r="AM499" s="120" t="s">
        <v>267</v>
      </c>
      <c r="AN499" s="151" t="s">
        <v>5765</v>
      </c>
      <c r="AO499" s="151"/>
      <c r="AP499" s="115"/>
      <c r="AQ499" s="115"/>
      <c r="AR499" s="115"/>
      <c r="AS499" s="115"/>
      <c r="AT499" s="115"/>
    </row>
    <row r="500" spans="1:46" ht="39" customHeight="1" x14ac:dyDescent="0.25">
      <c r="A500" s="1468">
        <v>499</v>
      </c>
      <c r="B500" s="117"/>
      <c r="C500" s="455"/>
      <c r="D500" s="331"/>
      <c r="E500" s="331"/>
      <c r="F500" s="331"/>
      <c r="G500" s="432"/>
      <c r="H500" s="456"/>
      <c r="I500" s="456"/>
      <c r="J500" s="329"/>
      <c r="K500" s="432"/>
      <c r="L500" s="329"/>
      <c r="M500" s="329"/>
      <c r="N500" s="329"/>
      <c r="O500" s="330"/>
      <c r="P500" s="273" t="s">
        <v>406</v>
      </c>
      <c r="Q500" s="331"/>
      <c r="R500" s="381"/>
      <c r="S500" s="279"/>
      <c r="T500" s="334"/>
      <c r="U500" s="250"/>
      <c r="V500" s="334"/>
      <c r="W500" s="334"/>
      <c r="X500" s="334"/>
      <c r="Y500" s="334"/>
      <c r="Z500" s="457"/>
      <c r="AA500" s="458"/>
      <c r="AB500" s="459"/>
      <c r="AC500" s="460"/>
      <c r="AD500" s="459"/>
      <c r="AE500" s="461"/>
      <c r="AF500" s="457"/>
      <c r="AG500" s="331"/>
      <c r="AH500" s="462"/>
      <c r="AI500" s="463"/>
      <c r="AJ500" s="464"/>
      <c r="AK500" s="331"/>
      <c r="AL500" s="163"/>
      <c r="AM500" s="163"/>
      <c r="AN500" s="163"/>
      <c r="AO500" s="163"/>
      <c r="AP500" s="115"/>
      <c r="AQ500" s="115"/>
      <c r="AR500" s="115"/>
      <c r="AS500" s="115"/>
      <c r="AT500" s="116"/>
    </row>
    <row r="501" spans="1:46" ht="39" customHeight="1" x14ac:dyDescent="0.25">
      <c r="A501" s="1468">
        <v>500</v>
      </c>
      <c r="B501" s="117">
        <v>4</v>
      </c>
      <c r="C501" s="528" t="s">
        <v>407</v>
      </c>
      <c r="D501" s="282"/>
      <c r="E501" s="282"/>
      <c r="F501" s="282"/>
      <c r="G501" s="447" t="s">
        <v>408</v>
      </c>
      <c r="H501" s="262" t="s">
        <v>85</v>
      </c>
      <c r="I501" s="357"/>
      <c r="J501" s="245" t="s">
        <v>556</v>
      </c>
      <c r="K501" s="401"/>
      <c r="L501" s="301"/>
      <c r="M501" s="301"/>
      <c r="N501" s="305"/>
      <c r="O501" s="216" t="s">
        <v>2455</v>
      </c>
      <c r="P501" s="401"/>
      <c r="Q501" s="375" t="s">
        <v>1042</v>
      </c>
      <c r="R501" s="982" t="s">
        <v>2454</v>
      </c>
      <c r="S501" s="279">
        <v>31368</v>
      </c>
      <c r="T501" s="401"/>
      <c r="U501" s="251" t="s">
        <v>54</v>
      </c>
      <c r="V501" s="250" t="s">
        <v>2793</v>
      </c>
      <c r="W501" s="197" t="s">
        <v>56</v>
      </c>
      <c r="X501" s="197" t="s">
        <v>57</v>
      </c>
      <c r="Y501" s="197" t="s">
        <v>2609</v>
      </c>
      <c r="Z501" s="246">
        <v>45144</v>
      </c>
      <c r="AA501" s="401"/>
      <c r="AB501" s="401"/>
      <c r="AC501" s="223"/>
      <c r="AD501" s="306"/>
      <c r="AE501" s="401"/>
      <c r="AF501" s="306"/>
      <c r="AG501" s="305"/>
      <c r="AH501" s="301"/>
      <c r="AI501" s="296"/>
      <c r="AJ501" s="348" t="s">
        <v>560</v>
      </c>
      <c r="AK501" s="524">
        <v>4</v>
      </c>
      <c r="AL501" s="123" t="s">
        <v>405</v>
      </c>
      <c r="AM501" s="120" t="s">
        <v>267</v>
      </c>
      <c r="AN501" s="151"/>
      <c r="AO501" s="151"/>
      <c r="AP501" s="115"/>
      <c r="AQ501" s="115"/>
      <c r="AR501" s="115"/>
      <c r="AS501" s="115"/>
      <c r="AT501" s="115"/>
    </row>
    <row r="502" spans="1:46" ht="39" customHeight="1" x14ac:dyDescent="0.25">
      <c r="A502" s="1468">
        <v>501</v>
      </c>
      <c r="B502" s="117">
        <v>3</v>
      </c>
      <c r="C502" s="475" t="s">
        <v>409</v>
      </c>
      <c r="D502" s="487"/>
      <c r="E502" s="487"/>
      <c r="F502" s="487"/>
      <c r="G502" s="525" t="s">
        <v>410</v>
      </c>
      <c r="H502" s="262" t="s">
        <v>87</v>
      </c>
      <c r="I502" s="508"/>
      <c r="J502" s="245" t="s">
        <v>561</v>
      </c>
      <c r="K502" s="197"/>
      <c r="L502" s="256"/>
      <c r="M502" s="216" t="s">
        <v>4590</v>
      </c>
      <c r="N502" s="245"/>
      <c r="O502" s="216" t="s">
        <v>2457</v>
      </c>
      <c r="P502" s="401"/>
      <c r="Q502" s="375" t="s">
        <v>567</v>
      </c>
      <c r="R502" s="982" t="s">
        <v>2456</v>
      </c>
      <c r="S502" s="279">
        <v>28971</v>
      </c>
      <c r="T502" s="250"/>
      <c r="U502" s="251" t="s">
        <v>54</v>
      </c>
      <c r="V502" s="250" t="s">
        <v>2793</v>
      </c>
      <c r="W502" s="197" t="s">
        <v>56</v>
      </c>
      <c r="X502" s="197" t="s">
        <v>57</v>
      </c>
      <c r="Y502" s="197" t="s">
        <v>2609</v>
      </c>
      <c r="Z502" s="246">
        <v>45144</v>
      </c>
      <c r="AA502" s="252"/>
      <c r="AB502" s="281"/>
      <c r="AC502" s="281"/>
      <c r="AD502" s="281"/>
      <c r="AE502" s="252"/>
      <c r="AF502" s="252"/>
      <c r="AG502" s="282"/>
      <c r="AH502" s="282"/>
      <c r="AI502" s="296"/>
      <c r="AJ502" s="348" t="s">
        <v>560</v>
      </c>
      <c r="AK502" s="241">
        <v>4</v>
      </c>
      <c r="AL502" s="123" t="s">
        <v>405</v>
      </c>
      <c r="AM502" s="120" t="s">
        <v>267</v>
      </c>
      <c r="AN502" s="173"/>
      <c r="AO502" s="173"/>
      <c r="AP502" s="115"/>
      <c r="AQ502" s="115"/>
      <c r="AR502" s="115"/>
      <c r="AS502" s="115"/>
      <c r="AT502" s="115"/>
    </row>
    <row r="503" spans="1:46" ht="39" customHeight="1" x14ac:dyDescent="0.25">
      <c r="A503" s="1468">
        <v>502</v>
      </c>
      <c r="B503" s="161">
        <v>2</v>
      </c>
      <c r="C503" s="526" t="s">
        <v>411</v>
      </c>
      <c r="D503" s="481"/>
      <c r="E503" s="481"/>
      <c r="F503" s="481"/>
      <c r="G503" s="527" t="s">
        <v>412</v>
      </c>
      <c r="H503" s="262" t="s">
        <v>87</v>
      </c>
      <c r="I503" s="492"/>
      <c r="J503" s="245" t="s">
        <v>561</v>
      </c>
      <c r="K503" s="216"/>
      <c r="L503" s="216"/>
      <c r="M503" s="216"/>
      <c r="N503" s="366"/>
      <c r="O503" s="216" t="s">
        <v>2459</v>
      </c>
      <c r="P503" s="401"/>
      <c r="Q503" s="375" t="s">
        <v>567</v>
      </c>
      <c r="R503" s="982" t="s">
        <v>2458</v>
      </c>
      <c r="S503" s="279">
        <v>27727</v>
      </c>
      <c r="T503" s="197"/>
      <c r="U503" s="251" t="s">
        <v>54</v>
      </c>
      <c r="V503" s="197" t="s">
        <v>4607</v>
      </c>
      <c r="W503" s="197" t="s">
        <v>4632</v>
      </c>
      <c r="X503" s="197" t="s">
        <v>71</v>
      </c>
      <c r="Y503" s="197" t="s">
        <v>4633</v>
      </c>
      <c r="Z503" s="246">
        <v>45239</v>
      </c>
      <c r="AA503" s="252"/>
      <c r="AB503" s="250"/>
      <c r="AC503" s="223"/>
      <c r="AD503" s="299"/>
      <c r="AE503" s="289"/>
      <c r="AF503" s="289"/>
      <c r="AG503" s="241"/>
      <c r="AH503" s="245"/>
      <c r="AI503" s="296"/>
      <c r="AJ503" s="348" t="s">
        <v>560</v>
      </c>
      <c r="AK503" s="241">
        <v>4</v>
      </c>
      <c r="AL503" s="123" t="s">
        <v>405</v>
      </c>
      <c r="AM503" s="120" t="s">
        <v>267</v>
      </c>
      <c r="AN503" s="167"/>
      <c r="AO503" s="167"/>
      <c r="AP503" s="115"/>
      <c r="AQ503" s="115"/>
      <c r="AR503" s="115"/>
      <c r="AS503" s="115"/>
      <c r="AT503" s="115"/>
    </row>
    <row r="504" spans="1:46" ht="39" customHeight="1" x14ac:dyDescent="0.25">
      <c r="A504" s="1468">
        <v>503</v>
      </c>
      <c r="B504" s="117">
        <v>3</v>
      </c>
      <c r="C504" s="501" t="s">
        <v>413</v>
      </c>
      <c r="D504" s="282"/>
      <c r="E504" s="282"/>
      <c r="F504" s="282"/>
      <c r="G504" s="447" t="s">
        <v>414</v>
      </c>
      <c r="H504" s="262" t="s">
        <v>87</v>
      </c>
      <c r="I504" s="357"/>
      <c r="J504" s="245" t="s">
        <v>561</v>
      </c>
      <c r="K504" s="216"/>
      <c r="L504" s="281" t="s">
        <v>1824</v>
      </c>
      <c r="M504" s="216" t="s">
        <v>4590</v>
      </c>
      <c r="N504" s="245"/>
      <c r="O504" s="392" t="s">
        <v>3192</v>
      </c>
      <c r="P504" s="325" t="s">
        <v>1828</v>
      </c>
      <c r="Q504" s="344" t="s">
        <v>132</v>
      </c>
      <c r="R504" s="982" t="s">
        <v>1871</v>
      </c>
      <c r="S504" s="279">
        <v>24124</v>
      </c>
      <c r="T504" s="252"/>
      <c r="U504" s="251" t="s">
        <v>178</v>
      </c>
      <c r="V504" s="250" t="s">
        <v>5955</v>
      </c>
      <c r="W504" s="197" t="s">
        <v>5957</v>
      </c>
      <c r="X504" s="197" t="s">
        <v>3477</v>
      </c>
      <c r="Y504" s="949" t="s">
        <v>5958</v>
      </c>
      <c r="Z504" s="252">
        <v>45307</v>
      </c>
      <c r="AA504" s="252">
        <v>45336</v>
      </c>
      <c r="AB504" s="282"/>
      <c r="AC504" s="223"/>
      <c r="AD504" s="282"/>
      <c r="AE504" s="252"/>
      <c r="AF504" s="252"/>
      <c r="AG504" s="282"/>
      <c r="AH504" s="283"/>
      <c r="AI504" s="328"/>
      <c r="AJ504" s="348" t="s">
        <v>560</v>
      </c>
      <c r="AK504" s="241">
        <v>4</v>
      </c>
      <c r="AL504" s="123" t="s">
        <v>405</v>
      </c>
      <c r="AM504" s="120" t="s">
        <v>267</v>
      </c>
      <c r="AN504" s="151" t="s">
        <v>5765</v>
      </c>
      <c r="AO504" s="151"/>
      <c r="AP504" s="115"/>
      <c r="AQ504" s="115"/>
      <c r="AR504" s="115"/>
      <c r="AS504" s="115"/>
      <c r="AT504" s="115"/>
    </row>
    <row r="505" spans="1:46" ht="39" customHeight="1" x14ac:dyDescent="0.25">
      <c r="A505" s="1468">
        <v>504</v>
      </c>
      <c r="B505" s="117"/>
      <c r="C505" s="455"/>
      <c r="D505" s="331"/>
      <c r="E505" s="331"/>
      <c r="F505" s="331"/>
      <c r="G505" s="432"/>
      <c r="H505" s="456"/>
      <c r="I505" s="456"/>
      <c r="J505" s="329"/>
      <c r="K505" s="432"/>
      <c r="L505" s="329"/>
      <c r="M505" s="329"/>
      <c r="N505" s="329"/>
      <c r="O505" s="330"/>
      <c r="P505" s="273" t="s">
        <v>373</v>
      </c>
      <c r="Q505" s="331"/>
      <c r="R505" s="381"/>
      <c r="S505" s="279"/>
      <c r="T505" s="334"/>
      <c r="U505" s="250"/>
      <c r="V505" s="334"/>
      <c r="W505" s="334"/>
      <c r="X505" s="334"/>
      <c r="Y505" s="334"/>
      <c r="Z505" s="457"/>
      <c r="AA505" s="458"/>
      <c r="AB505" s="459"/>
      <c r="AC505" s="460"/>
      <c r="AD505" s="459"/>
      <c r="AE505" s="461"/>
      <c r="AF505" s="457"/>
      <c r="AG505" s="331"/>
      <c r="AH505" s="462"/>
      <c r="AI505" s="463"/>
      <c r="AJ505" s="464"/>
      <c r="AK505" s="331"/>
      <c r="AL505" s="163"/>
      <c r="AM505" s="163"/>
      <c r="AN505" s="163"/>
      <c r="AO505" s="163"/>
      <c r="AP505" s="115"/>
      <c r="AQ505" s="115"/>
      <c r="AR505" s="115"/>
      <c r="AS505" s="115"/>
      <c r="AT505" s="116"/>
    </row>
    <row r="506" spans="1:46" ht="39" customHeight="1" x14ac:dyDescent="0.25">
      <c r="A506" s="1468">
        <v>505</v>
      </c>
      <c r="B506" s="128">
        <v>5</v>
      </c>
      <c r="C506" s="343" t="s">
        <v>367</v>
      </c>
      <c r="D506" s="344"/>
      <c r="E506" s="344" t="s">
        <v>47</v>
      </c>
      <c r="F506" s="344"/>
      <c r="G506" s="345" t="s">
        <v>415</v>
      </c>
      <c r="H506" s="346" t="s">
        <v>132</v>
      </c>
      <c r="I506" s="346"/>
      <c r="J506" s="256">
        <v>403</v>
      </c>
      <c r="K506" s="250" t="s">
        <v>158</v>
      </c>
      <c r="L506" s="216" t="s">
        <v>1298</v>
      </c>
      <c r="M506" s="216" t="s">
        <v>4590</v>
      </c>
      <c r="N506" s="246"/>
      <c r="O506" s="216" t="s">
        <v>1299</v>
      </c>
      <c r="P506" s="439"/>
      <c r="Q506" s="379" t="s">
        <v>570</v>
      </c>
      <c r="R506" s="982" t="s">
        <v>1300</v>
      </c>
      <c r="S506" s="279">
        <v>37445</v>
      </c>
      <c r="T506" s="250"/>
      <c r="U506" s="251" t="s">
        <v>54</v>
      </c>
      <c r="V506" s="245" t="s">
        <v>968</v>
      </c>
      <c r="W506" s="250" t="s">
        <v>56</v>
      </c>
      <c r="X506" s="197" t="s">
        <v>57</v>
      </c>
      <c r="Y506" s="197" t="s">
        <v>1297</v>
      </c>
      <c r="Z506" s="246">
        <v>44960</v>
      </c>
      <c r="AA506" s="246"/>
      <c r="AB506" s="376" t="s">
        <v>1301</v>
      </c>
      <c r="AC506" s="223" t="s">
        <v>946</v>
      </c>
      <c r="AD506" s="301" t="s">
        <v>1302</v>
      </c>
      <c r="AE506" s="327">
        <v>44382</v>
      </c>
      <c r="AF506" s="252">
        <v>45112</v>
      </c>
      <c r="AG506" s="282" t="s">
        <v>61</v>
      </c>
      <c r="AH506" s="303"/>
      <c r="AI506" s="636"/>
      <c r="AJ506" s="348" t="s">
        <v>560</v>
      </c>
      <c r="AK506" s="348">
        <v>3</v>
      </c>
      <c r="AL506" s="123" t="s">
        <v>405</v>
      </c>
      <c r="AM506" s="120" t="s">
        <v>267</v>
      </c>
      <c r="AN506" s="138"/>
      <c r="AO506" s="138"/>
      <c r="AP506" s="115"/>
      <c r="AQ506" s="115"/>
      <c r="AR506" s="115"/>
      <c r="AS506" s="115"/>
      <c r="AT506" s="115"/>
    </row>
    <row r="507" spans="1:46" ht="39" customHeight="1" x14ac:dyDescent="0.25">
      <c r="A507" s="1468">
        <v>506</v>
      </c>
      <c r="B507" s="159">
        <v>2</v>
      </c>
      <c r="C507" s="521" t="s">
        <v>385</v>
      </c>
      <c r="D507" s="487" t="s">
        <v>134</v>
      </c>
      <c r="E507" s="487"/>
      <c r="F507" s="487"/>
      <c r="G507" s="525" t="s">
        <v>386</v>
      </c>
      <c r="H507" s="262" t="s">
        <v>85</v>
      </c>
      <c r="I507" s="508"/>
      <c r="J507" s="245" t="s">
        <v>556</v>
      </c>
      <c r="K507" s="277" t="s">
        <v>158</v>
      </c>
      <c r="L507" s="397" t="s">
        <v>1309</v>
      </c>
      <c r="M507" s="216" t="s">
        <v>4590</v>
      </c>
      <c r="N507" s="276"/>
      <c r="O507" s="277" t="s">
        <v>1310</v>
      </c>
      <c r="P507" s="708"/>
      <c r="Q507" s="709" t="s">
        <v>567</v>
      </c>
      <c r="R507" s="982" t="s">
        <v>1311</v>
      </c>
      <c r="S507" s="279">
        <v>37491</v>
      </c>
      <c r="T507" s="443"/>
      <c r="U507" s="251" t="s">
        <v>54</v>
      </c>
      <c r="V507" s="280" t="s">
        <v>968</v>
      </c>
      <c r="W507" s="280" t="s">
        <v>56</v>
      </c>
      <c r="X507" s="280" t="s">
        <v>57</v>
      </c>
      <c r="Y507" s="280" t="s">
        <v>1048</v>
      </c>
      <c r="Z507" s="486">
        <v>44960</v>
      </c>
      <c r="AA507" s="486"/>
      <c r="AB507" s="756" t="s">
        <v>1312</v>
      </c>
      <c r="AC507" s="488" t="s">
        <v>946</v>
      </c>
      <c r="AD507" s="756" t="s">
        <v>1313</v>
      </c>
      <c r="AE507" s="746">
        <v>44385</v>
      </c>
      <c r="AF507" s="746">
        <v>44750</v>
      </c>
      <c r="AG507" s="476" t="s">
        <v>61</v>
      </c>
      <c r="AH507" s="487"/>
      <c r="AI507" s="488"/>
      <c r="AJ507" s="491" t="s">
        <v>560</v>
      </c>
      <c r="AK507" s="241">
        <v>4</v>
      </c>
      <c r="AL507" s="123" t="s">
        <v>405</v>
      </c>
      <c r="AM507" s="120" t="s">
        <v>267</v>
      </c>
      <c r="AN507" s="172"/>
      <c r="AO507" s="173"/>
      <c r="AP507" s="115"/>
      <c r="AQ507" s="115"/>
      <c r="AR507" s="115"/>
      <c r="AS507" s="115"/>
      <c r="AT507" s="116"/>
    </row>
    <row r="508" spans="1:46" ht="39" customHeight="1" x14ac:dyDescent="0.25">
      <c r="A508" s="1468">
        <v>507</v>
      </c>
      <c r="B508" s="160">
        <v>3</v>
      </c>
      <c r="C508" s="356" t="s">
        <v>416</v>
      </c>
      <c r="D508" s="282" t="s">
        <v>134</v>
      </c>
      <c r="E508" s="282"/>
      <c r="F508" s="282"/>
      <c r="G508" s="261" t="s">
        <v>291</v>
      </c>
      <c r="H508" s="262" t="s">
        <v>87</v>
      </c>
      <c r="I508" s="364"/>
      <c r="J508" s="245" t="s">
        <v>561</v>
      </c>
      <c r="K508" s="277" t="s">
        <v>158</v>
      </c>
      <c r="L508" s="277" t="s">
        <v>1285</v>
      </c>
      <c r="M508" s="216" t="s">
        <v>4590</v>
      </c>
      <c r="N508" s="441"/>
      <c r="O508" s="277" t="s">
        <v>1306</v>
      </c>
      <c r="P508" s="720"/>
      <c r="Q508" s="344" t="s">
        <v>132</v>
      </c>
      <c r="R508" s="998" t="s">
        <v>1307</v>
      </c>
      <c r="S508" s="279">
        <v>37516</v>
      </c>
      <c r="T508" s="280" t="s">
        <v>480</v>
      </c>
      <c r="U508" s="251" t="s">
        <v>54</v>
      </c>
      <c r="V508" s="280" t="s">
        <v>55</v>
      </c>
      <c r="W508" s="280" t="s">
        <v>56</v>
      </c>
      <c r="X508" s="280" t="s">
        <v>57</v>
      </c>
      <c r="Y508" s="280" t="s">
        <v>58</v>
      </c>
      <c r="Z508" s="486">
        <v>44783</v>
      </c>
      <c r="AA508" s="709"/>
      <c r="AB508" s="441"/>
      <c r="AC508" s="488" t="s">
        <v>946</v>
      </c>
      <c r="AD508" s="441" t="s">
        <v>1308</v>
      </c>
      <c r="AE508" s="398">
        <v>44476</v>
      </c>
      <c r="AF508" s="398">
        <v>45113</v>
      </c>
      <c r="AG508" s="476" t="s">
        <v>61</v>
      </c>
      <c r="AH508" s="441"/>
      <c r="AI508" s="866"/>
      <c r="AJ508" s="491" t="s">
        <v>560</v>
      </c>
      <c r="AK508" s="241">
        <v>4</v>
      </c>
      <c r="AL508" s="123" t="s">
        <v>405</v>
      </c>
      <c r="AM508" s="120" t="s">
        <v>267</v>
      </c>
      <c r="AN508" s="110" t="s">
        <v>4184</v>
      </c>
      <c r="AO508" s="151"/>
      <c r="AP508" s="115"/>
      <c r="AQ508" s="115"/>
      <c r="AR508" s="115"/>
      <c r="AS508" s="115"/>
      <c r="AT508" s="115"/>
    </row>
    <row r="509" spans="1:46" ht="39" customHeight="1" x14ac:dyDescent="0.25">
      <c r="A509" s="1468">
        <v>508</v>
      </c>
      <c r="B509" s="117">
        <v>2</v>
      </c>
      <c r="C509" s="528" t="s">
        <v>417</v>
      </c>
      <c r="D509" s="282"/>
      <c r="E509" s="282"/>
      <c r="F509" s="282"/>
      <c r="G509" s="447" t="s">
        <v>418</v>
      </c>
      <c r="H509" s="262" t="s">
        <v>87</v>
      </c>
      <c r="I509" s="357"/>
      <c r="J509" s="245" t="s">
        <v>561</v>
      </c>
      <c r="K509" s="216"/>
      <c r="L509" s="245" t="s">
        <v>1848</v>
      </c>
      <c r="M509" s="216" t="s">
        <v>4590</v>
      </c>
      <c r="N509" s="299"/>
      <c r="O509" s="950" t="s">
        <v>1851</v>
      </c>
      <c r="P509" s="484" t="s">
        <v>1828</v>
      </c>
      <c r="Q509" s="344" t="s">
        <v>567</v>
      </c>
      <c r="R509" s="982" t="s">
        <v>1850</v>
      </c>
      <c r="S509" s="279">
        <v>29246</v>
      </c>
      <c r="T509" s="197"/>
      <c r="U509" s="251" t="s">
        <v>54</v>
      </c>
      <c r="V509" s="250" t="s">
        <v>1922</v>
      </c>
      <c r="W509" s="197" t="s">
        <v>56</v>
      </c>
      <c r="X509" s="197" t="s">
        <v>57</v>
      </c>
      <c r="Y509" s="252" t="s">
        <v>1933</v>
      </c>
      <c r="Z509" s="252">
        <v>45133</v>
      </c>
      <c r="AA509" s="246"/>
      <c r="AB509" s="590"/>
      <c r="AC509" s="223"/>
      <c r="AD509" s="591"/>
      <c r="AE509" s="258"/>
      <c r="AF509" s="258"/>
      <c r="AG509" s="241"/>
      <c r="AH509" s="253"/>
      <c r="AI509" s="297"/>
      <c r="AJ509" s="348" t="s">
        <v>560</v>
      </c>
      <c r="AK509" s="241">
        <v>4</v>
      </c>
      <c r="AL509" s="123" t="s">
        <v>405</v>
      </c>
      <c r="AM509" s="120" t="s">
        <v>267</v>
      </c>
      <c r="AN509" s="151"/>
      <c r="AO509" s="151"/>
      <c r="AP509" s="115"/>
      <c r="AQ509" s="115"/>
      <c r="AR509" s="115"/>
      <c r="AS509" s="115"/>
      <c r="AT509" s="115"/>
    </row>
    <row r="510" spans="1:46" ht="39" customHeight="1" x14ac:dyDescent="0.25">
      <c r="A510" s="1468">
        <v>509</v>
      </c>
      <c r="B510" s="117"/>
      <c r="C510" s="274"/>
      <c r="D510" s="511"/>
      <c r="E510" s="511"/>
      <c r="F510" s="511"/>
      <c r="G510" s="529"/>
      <c r="H510" s="513"/>
      <c r="I510" s="513"/>
      <c r="J510" s="530"/>
      <c r="K510" s="330"/>
      <c r="L510" s="330"/>
      <c r="M510" s="330"/>
      <c r="N510" s="515"/>
      <c r="O510" s="330"/>
      <c r="P510" s="516" t="s">
        <v>419</v>
      </c>
      <c r="Q510" s="514"/>
      <c r="R510" s="999"/>
      <c r="S510" s="279"/>
      <c r="T510" s="330"/>
      <c r="U510" s="250"/>
      <c r="V510" s="334"/>
      <c r="W510" s="334"/>
      <c r="X510" s="334"/>
      <c r="Y510" s="334"/>
      <c r="Z510" s="457"/>
      <c r="AA510" s="333"/>
      <c r="AB510" s="514"/>
      <c r="AC510" s="460"/>
      <c r="AD510" s="514"/>
      <c r="AE510" s="517"/>
      <c r="AF510" s="517"/>
      <c r="AG510" s="331"/>
      <c r="AH510" s="514"/>
      <c r="AI510" s="531"/>
      <c r="AJ510" s="464"/>
      <c r="AK510" s="331"/>
      <c r="AL510" s="163"/>
      <c r="AM510" s="163"/>
      <c r="AN510" s="156"/>
      <c r="AO510" s="156"/>
      <c r="AP510" s="115"/>
      <c r="AQ510" s="115"/>
      <c r="AR510" s="115"/>
      <c r="AS510" s="115"/>
      <c r="AT510" s="115"/>
    </row>
    <row r="511" spans="1:46" ht="39" customHeight="1" x14ac:dyDescent="0.25">
      <c r="A511" s="1468">
        <v>510</v>
      </c>
      <c r="B511" s="117">
        <v>11</v>
      </c>
      <c r="C511" s="341" t="s">
        <v>420</v>
      </c>
      <c r="D511" s="282"/>
      <c r="E511" s="338"/>
      <c r="F511" s="282"/>
      <c r="G511" s="339" t="s">
        <v>421</v>
      </c>
      <c r="H511" s="340" t="s">
        <v>422</v>
      </c>
      <c r="I511" s="357"/>
      <c r="J511" s="281">
        <v>332</v>
      </c>
      <c r="K511" s="216" t="s">
        <v>50</v>
      </c>
      <c r="L511" s="281" t="s">
        <v>1325</v>
      </c>
      <c r="M511" s="281" t="s">
        <v>1325</v>
      </c>
      <c r="N511" s="320"/>
      <c r="O511" s="216" t="s">
        <v>1326</v>
      </c>
      <c r="P511" s="320"/>
      <c r="Q511" s="338" t="s">
        <v>847</v>
      </c>
      <c r="R511" s="259" t="s">
        <v>1327</v>
      </c>
      <c r="S511" s="279">
        <v>30528</v>
      </c>
      <c r="T511" s="250"/>
      <c r="U511" s="251" t="s">
        <v>54</v>
      </c>
      <c r="V511" s="299" t="s">
        <v>2341</v>
      </c>
      <c r="W511" s="197" t="s">
        <v>56</v>
      </c>
      <c r="X511" s="197" t="s">
        <v>57</v>
      </c>
      <c r="Y511" s="288" t="s">
        <v>2384</v>
      </c>
      <c r="Z511" s="252">
        <v>45170</v>
      </c>
      <c r="AA511" s="246"/>
      <c r="AB511" s="282"/>
      <c r="AC511" s="223" t="s">
        <v>946</v>
      </c>
      <c r="AD511" s="282"/>
      <c r="AE511" s="258">
        <v>43667</v>
      </c>
      <c r="AF511" s="258">
        <v>44762</v>
      </c>
      <c r="AG511" s="241" t="s">
        <v>61</v>
      </c>
      <c r="AH511" s="283"/>
      <c r="AI511" s="322"/>
      <c r="AJ511" s="255" t="s">
        <v>62</v>
      </c>
      <c r="AK511" s="241">
        <v>1</v>
      </c>
      <c r="AL511" s="122" t="s">
        <v>423</v>
      </c>
      <c r="AM511" s="120" t="s">
        <v>267</v>
      </c>
      <c r="AN511" s="151"/>
      <c r="AO511" s="151"/>
      <c r="AP511" s="115"/>
      <c r="AQ511" s="115"/>
      <c r="AR511" s="115"/>
      <c r="AS511" s="115"/>
      <c r="AT511" s="115"/>
    </row>
    <row r="512" spans="1:46" ht="39" customHeight="1" x14ac:dyDescent="0.25">
      <c r="A512" s="1468">
        <v>511</v>
      </c>
      <c r="B512" s="131">
        <v>6</v>
      </c>
      <c r="C512" s="532" t="s">
        <v>286</v>
      </c>
      <c r="D512" s="282"/>
      <c r="E512" s="353"/>
      <c r="F512" s="282"/>
      <c r="G512" s="445" t="s">
        <v>287</v>
      </c>
      <c r="H512" s="350" t="s">
        <v>153</v>
      </c>
      <c r="I512" s="357"/>
      <c r="J512" s="256">
        <v>400</v>
      </c>
      <c r="K512" s="216"/>
      <c r="L512" s="216"/>
      <c r="M512" s="216"/>
      <c r="N512" s="366"/>
      <c r="O512" s="216"/>
      <c r="P512" s="367"/>
      <c r="Q512" s="380"/>
      <c r="R512" s="683" t="s">
        <v>66</v>
      </c>
      <c r="S512" s="279"/>
      <c r="T512" s="216"/>
      <c r="U512" s="250"/>
      <c r="V512" s="197"/>
      <c r="W512" s="197"/>
      <c r="X512" s="197"/>
      <c r="Y512" s="197"/>
      <c r="Z512" s="246"/>
      <c r="AA512" s="252"/>
      <c r="AB512" s="301"/>
      <c r="AC512" s="223"/>
      <c r="AD512" s="301"/>
      <c r="AE512" s="306"/>
      <c r="AF512" s="306"/>
      <c r="AG512" s="241"/>
      <c r="AH512" s="301"/>
      <c r="AI512" s="401"/>
      <c r="AJ512" s="303"/>
      <c r="AK512" s="241">
        <v>2</v>
      </c>
      <c r="AL512" s="122" t="s">
        <v>423</v>
      </c>
      <c r="AM512" s="120" t="s">
        <v>267</v>
      </c>
      <c r="AN512" s="151"/>
      <c r="AO512" s="151"/>
      <c r="AP512" s="115"/>
      <c r="AQ512" s="115"/>
      <c r="AR512" s="115"/>
      <c r="AS512" s="115"/>
      <c r="AT512" s="115"/>
    </row>
    <row r="513" spans="1:46" ht="39" customHeight="1" x14ac:dyDescent="0.25">
      <c r="A513" s="1468">
        <v>512</v>
      </c>
      <c r="B513" s="117"/>
      <c r="C513" s="274"/>
      <c r="D513" s="511"/>
      <c r="E513" s="511"/>
      <c r="F513" s="511"/>
      <c r="G513" s="529"/>
      <c r="H513" s="513"/>
      <c r="I513" s="513"/>
      <c r="J513" s="530"/>
      <c r="K513" s="330"/>
      <c r="L513" s="330"/>
      <c r="M513" s="330"/>
      <c r="N513" s="515"/>
      <c r="O513" s="330"/>
      <c r="P513" s="516" t="s">
        <v>424</v>
      </c>
      <c r="Q513" s="514"/>
      <c r="R513" s="381"/>
      <c r="S513" s="279"/>
      <c r="T513" s="330"/>
      <c r="U513" s="250"/>
      <c r="V513" s="334"/>
      <c r="W513" s="334"/>
      <c r="X513" s="334"/>
      <c r="Y513" s="334"/>
      <c r="Z513" s="457"/>
      <c r="AA513" s="333"/>
      <c r="AB513" s="514"/>
      <c r="AC513" s="460"/>
      <c r="AD513" s="514"/>
      <c r="AE513" s="517"/>
      <c r="AF513" s="517"/>
      <c r="AG513" s="331"/>
      <c r="AH513" s="514"/>
      <c r="AI513" s="531"/>
      <c r="AJ513" s="464"/>
      <c r="AK513" s="331"/>
      <c r="AL513" s="163"/>
      <c r="AM513" s="163"/>
      <c r="AN513" s="156"/>
      <c r="AO513" s="156"/>
      <c r="AP513" s="115"/>
      <c r="AQ513" s="115"/>
      <c r="AR513" s="115"/>
      <c r="AS513" s="115"/>
      <c r="AT513" s="115"/>
    </row>
    <row r="514" spans="1:46" ht="39" customHeight="1" x14ac:dyDescent="0.25">
      <c r="A514" s="1468">
        <v>513</v>
      </c>
      <c r="B514" s="117">
        <v>5</v>
      </c>
      <c r="C514" s="343" t="s">
        <v>367</v>
      </c>
      <c r="D514" s="360"/>
      <c r="E514" s="360"/>
      <c r="F514" s="360"/>
      <c r="G514" s="344" t="s">
        <v>425</v>
      </c>
      <c r="H514" s="344" t="s">
        <v>132</v>
      </c>
      <c r="I514" s="357"/>
      <c r="J514" s="256">
        <v>403</v>
      </c>
      <c r="K514" s="197"/>
      <c r="L514" s="256" t="s">
        <v>2079</v>
      </c>
      <c r="M514" s="216" t="s">
        <v>4590</v>
      </c>
      <c r="N514" s="245"/>
      <c r="O514" s="950" t="s">
        <v>2321</v>
      </c>
      <c r="P514" s="287" t="s">
        <v>1411</v>
      </c>
      <c r="Q514" s="344" t="s">
        <v>87</v>
      </c>
      <c r="R514" s="982" t="s">
        <v>2320</v>
      </c>
      <c r="S514" s="279">
        <v>31952</v>
      </c>
      <c r="T514" s="414"/>
      <c r="U514" s="251" t="s">
        <v>54</v>
      </c>
      <c r="V514" s="250" t="s">
        <v>2552</v>
      </c>
      <c r="W514" s="197" t="s">
        <v>56</v>
      </c>
      <c r="X514" s="197" t="s">
        <v>57</v>
      </c>
      <c r="Y514" s="252" t="s">
        <v>1933</v>
      </c>
      <c r="Z514" s="252">
        <v>45133</v>
      </c>
      <c r="AA514" s="252"/>
      <c r="AB514" s="281"/>
      <c r="AC514" s="281"/>
      <c r="AD514" s="281"/>
      <c r="AE514" s="252"/>
      <c r="AF514" s="252"/>
      <c r="AG514" s="282"/>
      <c r="AH514" s="282"/>
      <c r="AI514" s="296"/>
      <c r="AJ514" s="348" t="s">
        <v>560</v>
      </c>
      <c r="AK514" s="533">
        <v>3</v>
      </c>
      <c r="AL514" s="122" t="s">
        <v>423</v>
      </c>
      <c r="AM514" s="120" t="s">
        <v>267</v>
      </c>
      <c r="AN514" s="151"/>
      <c r="AO514" s="151"/>
      <c r="AP514" s="115"/>
      <c r="AQ514" s="115"/>
      <c r="AR514" s="115"/>
      <c r="AS514" s="115"/>
      <c r="AT514" s="115"/>
    </row>
    <row r="515" spans="1:46" ht="39" customHeight="1" x14ac:dyDescent="0.25">
      <c r="A515" s="1468">
        <v>514</v>
      </c>
      <c r="B515" s="117">
        <v>5</v>
      </c>
      <c r="C515" s="358" t="s">
        <v>426</v>
      </c>
      <c r="D515" s="282"/>
      <c r="E515" s="282"/>
      <c r="F515" s="282"/>
      <c r="G515" s="447" t="s">
        <v>427</v>
      </c>
      <c r="H515" s="262" t="s">
        <v>85</v>
      </c>
      <c r="I515" s="357"/>
      <c r="J515" s="245" t="s">
        <v>556</v>
      </c>
      <c r="K515" s="288"/>
      <c r="L515" s="288" t="s">
        <v>1526</v>
      </c>
      <c r="M515" s="288" t="s">
        <v>1526</v>
      </c>
      <c r="N515" s="374"/>
      <c r="O515" s="385" t="s">
        <v>1530</v>
      </c>
      <c r="P515" s="374"/>
      <c r="Q515" s="344" t="s">
        <v>293</v>
      </c>
      <c r="R515" s="982" t="s">
        <v>1529</v>
      </c>
      <c r="S515" s="279">
        <v>32704</v>
      </c>
      <c r="T515" s="197"/>
      <c r="U515" s="251" t="s">
        <v>886</v>
      </c>
      <c r="V515" s="250" t="s">
        <v>6110</v>
      </c>
      <c r="W515" s="197" t="s">
        <v>886</v>
      </c>
      <c r="X515" s="197" t="s">
        <v>886</v>
      </c>
      <c r="Y515" s="252"/>
      <c r="Z515" s="252">
        <v>45317</v>
      </c>
      <c r="AA515" s="388"/>
      <c r="AB515" s="288"/>
      <c r="AC515" s="223"/>
      <c r="AD515" s="288"/>
      <c r="AE515" s="384"/>
      <c r="AF515" s="384"/>
      <c r="AG515" s="392"/>
      <c r="AH515" s="283"/>
      <c r="AI515" s="254"/>
      <c r="AJ515" s="348" t="s">
        <v>560</v>
      </c>
      <c r="AK515" s="241">
        <v>4</v>
      </c>
      <c r="AL515" s="122" t="s">
        <v>423</v>
      </c>
      <c r="AM515" s="120" t="s">
        <v>267</v>
      </c>
      <c r="AN515" s="151"/>
      <c r="AO515" s="151"/>
      <c r="AP515" s="115"/>
      <c r="AQ515" s="115"/>
      <c r="AR515" s="115"/>
      <c r="AS515" s="115"/>
      <c r="AT515" s="115"/>
    </row>
    <row r="516" spans="1:46" ht="39" customHeight="1" x14ac:dyDescent="0.25">
      <c r="A516" s="1468">
        <v>515</v>
      </c>
      <c r="B516" s="117">
        <v>2</v>
      </c>
      <c r="C516" s="528" t="s">
        <v>428</v>
      </c>
      <c r="D516" s="282"/>
      <c r="E516" s="282"/>
      <c r="F516" s="282"/>
      <c r="G516" s="447" t="s">
        <v>429</v>
      </c>
      <c r="H516" s="262" t="s">
        <v>87</v>
      </c>
      <c r="I516" s="357"/>
      <c r="J516" s="245" t="s">
        <v>561</v>
      </c>
      <c r="K516" s="216"/>
      <c r="L516" s="216"/>
      <c r="M516" s="216"/>
      <c r="N516" s="366"/>
      <c r="O516" s="216" t="s">
        <v>2204</v>
      </c>
      <c r="P516" s="372"/>
      <c r="Q516" s="344" t="s">
        <v>293</v>
      </c>
      <c r="R516" s="982" t="s">
        <v>2203</v>
      </c>
      <c r="S516" s="279">
        <v>32297</v>
      </c>
      <c r="T516" s="482"/>
      <c r="U516" s="251" t="s">
        <v>54</v>
      </c>
      <c r="V516" s="250" t="s">
        <v>2793</v>
      </c>
      <c r="W516" s="197" t="s">
        <v>56</v>
      </c>
      <c r="X516" s="197" t="s">
        <v>57</v>
      </c>
      <c r="Y516" s="197" t="s">
        <v>2609</v>
      </c>
      <c r="Z516" s="246">
        <v>45141</v>
      </c>
      <c r="AA516" s="252"/>
      <c r="AB516" s="301"/>
      <c r="AC516" s="223"/>
      <c r="AD516" s="301"/>
      <c r="AE516" s="306"/>
      <c r="AF516" s="306"/>
      <c r="AG516" s="305"/>
      <c r="AH516" s="483"/>
      <c r="AI516" s="223"/>
      <c r="AJ516" s="348" t="s">
        <v>560</v>
      </c>
      <c r="AK516" s="241">
        <v>4</v>
      </c>
      <c r="AL516" s="122" t="s">
        <v>423</v>
      </c>
      <c r="AM516" s="120" t="s">
        <v>267</v>
      </c>
      <c r="AN516" s="151"/>
      <c r="AO516" s="151"/>
      <c r="AP516" s="115"/>
      <c r="AQ516" s="115"/>
      <c r="AR516" s="115"/>
      <c r="AS516" s="115"/>
      <c r="AT516" s="115"/>
    </row>
    <row r="517" spans="1:46" ht="39" customHeight="1" x14ac:dyDescent="0.25">
      <c r="A517" s="1468">
        <v>516</v>
      </c>
      <c r="B517" s="117">
        <v>2</v>
      </c>
      <c r="C517" s="501" t="s">
        <v>430</v>
      </c>
      <c r="D517" s="282"/>
      <c r="E517" s="282"/>
      <c r="F517" s="282"/>
      <c r="G517" s="447" t="s">
        <v>354</v>
      </c>
      <c r="H517" s="262" t="s">
        <v>87</v>
      </c>
      <c r="I517" s="357"/>
      <c r="J517" s="245" t="s">
        <v>561</v>
      </c>
      <c r="K517" s="256"/>
      <c r="L517" s="216"/>
      <c r="M517" s="216"/>
      <c r="N517" s="366"/>
      <c r="O517" s="216" t="s">
        <v>2202</v>
      </c>
      <c r="P517" s="347"/>
      <c r="Q517" s="344" t="s">
        <v>293</v>
      </c>
      <c r="R517" s="982" t="s">
        <v>2201</v>
      </c>
      <c r="S517" s="279">
        <v>30842</v>
      </c>
      <c r="T517" s="257"/>
      <c r="U517" s="251" t="s">
        <v>54</v>
      </c>
      <c r="V517" s="250" t="s">
        <v>2793</v>
      </c>
      <c r="W517" s="197" t="s">
        <v>56</v>
      </c>
      <c r="X517" s="197" t="s">
        <v>57</v>
      </c>
      <c r="Y517" s="197" t="s">
        <v>2609</v>
      </c>
      <c r="Z517" s="246">
        <v>45145</v>
      </c>
      <c r="AA517" s="252"/>
      <c r="AB517" s="257"/>
      <c r="AC517" s="223"/>
      <c r="AD517" s="257"/>
      <c r="AE517" s="289"/>
      <c r="AF517" s="289"/>
      <c r="AG517" s="241"/>
      <c r="AH517" s="299"/>
      <c r="AI517" s="254"/>
      <c r="AJ517" s="348" t="s">
        <v>560</v>
      </c>
      <c r="AK517" s="241">
        <v>4</v>
      </c>
      <c r="AL517" s="122" t="s">
        <v>423</v>
      </c>
      <c r="AM517" s="120" t="s">
        <v>267</v>
      </c>
      <c r="AN517" s="151"/>
      <c r="AO517" s="151"/>
      <c r="AP517" s="115"/>
      <c r="AQ517" s="115"/>
      <c r="AR517" s="115"/>
      <c r="AS517" s="115"/>
      <c r="AT517" s="115"/>
    </row>
    <row r="518" spans="1:46" ht="39" customHeight="1" x14ac:dyDescent="0.25">
      <c r="A518" s="1468">
        <v>517</v>
      </c>
      <c r="B518" s="117"/>
      <c r="C518" s="274"/>
      <c r="D518" s="511"/>
      <c r="E518" s="511"/>
      <c r="F518" s="511"/>
      <c r="G518" s="529"/>
      <c r="H518" s="513"/>
      <c r="I518" s="513"/>
      <c r="J518" s="530"/>
      <c r="K518" s="330"/>
      <c r="L518" s="330"/>
      <c r="M518" s="330"/>
      <c r="N518" s="515"/>
      <c r="O518" s="330"/>
      <c r="P518" s="516" t="s">
        <v>920</v>
      </c>
      <c r="Q518" s="514"/>
      <c r="R518" s="572"/>
      <c r="S518" s="279"/>
      <c r="T518" s="330"/>
      <c r="U518" s="250"/>
      <c r="V518" s="334"/>
      <c r="W518" s="334"/>
      <c r="X518" s="334"/>
      <c r="Y518" s="334"/>
      <c r="Z518" s="457"/>
      <c r="AA518" s="333"/>
      <c r="AB518" s="514"/>
      <c r="AC518" s="460"/>
      <c r="AD518" s="514"/>
      <c r="AE518" s="517"/>
      <c r="AF518" s="517"/>
      <c r="AG518" s="331"/>
      <c r="AH518" s="514"/>
      <c r="AI518" s="531"/>
      <c r="AJ518" s="464"/>
      <c r="AK518" s="331"/>
      <c r="AL518" s="163"/>
      <c r="AM518" s="163"/>
      <c r="AN518" s="156"/>
      <c r="AO518" s="156"/>
      <c r="AP518" s="115"/>
      <c r="AQ518" s="115"/>
      <c r="AR518" s="115"/>
      <c r="AS518" s="115"/>
      <c r="AT518" s="115"/>
    </row>
    <row r="519" spans="1:46" ht="39" customHeight="1" x14ac:dyDescent="0.25">
      <c r="A519" s="1468">
        <v>518</v>
      </c>
      <c r="B519" s="117">
        <v>5</v>
      </c>
      <c r="C519" s="343" t="s">
        <v>367</v>
      </c>
      <c r="D519" s="360"/>
      <c r="E519" s="360"/>
      <c r="F519" s="360"/>
      <c r="G519" s="344" t="s">
        <v>425</v>
      </c>
      <c r="H519" s="344" t="s">
        <v>132</v>
      </c>
      <c r="I519" s="357"/>
      <c r="J519" s="256">
        <v>403</v>
      </c>
      <c r="K519" s="216"/>
      <c r="L519" s="289" t="s">
        <v>2800</v>
      </c>
      <c r="M519" s="216" t="s">
        <v>4590</v>
      </c>
      <c r="N519" s="366"/>
      <c r="O519" s="385" t="s">
        <v>3343</v>
      </c>
      <c r="P519" s="374"/>
      <c r="Q519" s="344" t="s">
        <v>87</v>
      </c>
      <c r="R519" s="982" t="s">
        <v>2724</v>
      </c>
      <c r="S519" s="279">
        <v>32208</v>
      </c>
      <c r="T519" s="223"/>
      <c r="U519" s="251" t="s">
        <v>886</v>
      </c>
      <c r="V519" s="250" t="s">
        <v>5902</v>
      </c>
      <c r="W519" s="197" t="s">
        <v>886</v>
      </c>
      <c r="X519" s="197" t="s">
        <v>886</v>
      </c>
      <c r="Y519" s="197"/>
      <c r="Z519" s="246">
        <v>45289</v>
      </c>
      <c r="AA519" s="252"/>
      <c r="AB519" s="223"/>
      <c r="AC519" s="223"/>
      <c r="AD519" s="299"/>
      <c r="AE519" s="223"/>
      <c r="AF519" s="223"/>
      <c r="AG519" s="282"/>
      <c r="AH519" s="301"/>
      <c r="AI519" s="223"/>
      <c r="AJ519" s="348" t="s">
        <v>560</v>
      </c>
      <c r="AK519" s="344">
        <v>3</v>
      </c>
      <c r="AL519" s="122" t="s">
        <v>423</v>
      </c>
      <c r="AM519" s="120" t="s">
        <v>267</v>
      </c>
      <c r="AN519" s="151"/>
      <c r="AO519" s="151"/>
      <c r="AP519" s="115"/>
      <c r="AQ519" s="115"/>
      <c r="AR519" s="115"/>
      <c r="AS519" s="115"/>
      <c r="AT519" s="115"/>
    </row>
    <row r="520" spans="1:46" ht="39" customHeight="1" x14ac:dyDescent="0.25">
      <c r="A520" s="1468">
        <v>519</v>
      </c>
      <c r="B520" s="117">
        <v>2</v>
      </c>
      <c r="C520" s="526" t="s">
        <v>428</v>
      </c>
      <c r="D520" s="481"/>
      <c r="E520" s="481"/>
      <c r="F520" s="481"/>
      <c r="G520" s="527" t="s">
        <v>429</v>
      </c>
      <c r="H520" s="262" t="s">
        <v>87</v>
      </c>
      <c r="I520" s="473"/>
      <c r="J520" s="245" t="s">
        <v>561</v>
      </c>
      <c r="K520" s="197"/>
      <c r="L520" s="216"/>
      <c r="M520" s="216" t="s">
        <v>4590</v>
      </c>
      <c r="N520" s="366"/>
      <c r="O520" s="216" t="s">
        <v>2200</v>
      </c>
      <c r="P520" s="372"/>
      <c r="Q520" s="344" t="s">
        <v>293</v>
      </c>
      <c r="R520" s="982" t="s">
        <v>2199</v>
      </c>
      <c r="S520" s="279">
        <v>29854</v>
      </c>
      <c r="T520" s="360"/>
      <c r="U520" s="251" t="s">
        <v>54</v>
      </c>
      <c r="V520" s="250" t="s">
        <v>2793</v>
      </c>
      <c r="W520" s="197" t="s">
        <v>56</v>
      </c>
      <c r="X520" s="197" t="s">
        <v>57</v>
      </c>
      <c r="Y520" s="197" t="s">
        <v>2609</v>
      </c>
      <c r="Z520" s="246">
        <v>45141</v>
      </c>
      <c r="AA520" s="252"/>
      <c r="AB520" s="301"/>
      <c r="AC520" s="223"/>
      <c r="AD520" s="301"/>
      <c r="AE520" s="306"/>
      <c r="AF520" s="306"/>
      <c r="AG520" s="282"/>
      <c r="AH520" s="483"/>
      <c r="AI520" s="223"/>
      <c r="AJ520" s="348" t="s">
        <v>560</v>
      </c>
      <c r="AK520" s="241">
        <v>4</v>
      </c>
      <c r="AL520" s="122" t="s">
        <v>423</v>
      </c>
      <c r="AM520" s="120" t="s">
        <v>267</v>
      </c>
      <c r="AN520" s="167"/>
      <c r="AO520" s="167"/>
      <c r="AP520" s="115"/>
      <c r="AQ520" s="115"/>
      <c r="AR520" s="115"/>
      <c r="AS520" s="115"/>
      <c r="AT520" s="115"/>
    </row>
    <row r="521" spans="1:46" ht="39" customHeight="1" x14ac:dyDescent="0.25">
      <c r="A521" s="1468">
        <v>520</v>
      </c>
      <c r="B521" s="117">
        <v>2</v>
      </c>
      <c r="C521" s="501" t="s">
        <v>430</v>
      </c>
      <c r="D521" s="282"/>
      <c r="E521" s="282"/>
      <c r="F521" s="282"/>
      <c r="G521" s="447" t="s">
        <v>354</v>
      </c>
      <c r="H521" s="262" t="s">
        <v>87</v>
      </c>
      <c r="I521" s="357"/>
      <c r="J521" s="245" t="s">
        <v>561</v>
      </c>
      <c r="K521" s="216"/>
      <c r="L521" s="245"/>
      <c r="M521" s="216" t="s">
        <v>4590</v>
      </c>
      <c r="N521" s="366"/>
      <c r="O521" s="216" t="s">
        <v>2206</v>
      </c>
      <c r="P521" s="347"/>
      <c r="Q521" s="344" t="s">
        <v>293</v>
      </c>
      <c r="R521" s="982" t="s">
        <v>2205</v>
      </c>
      <c r="S521" s="279">
        <v>33610</v>
      </c>
      <c r="T521" s="197"/>
      <c r="U521" s="251" t="s">
        <v>54</v>
      </c>
      <c r="V521" s="250" t="s">
        <v>2793</v>
      </c>
      <c r="W521" s="197" t="s">
        <v>56</v>
      </c>
      <c r="X521" s="197" t="s">
        <v>57</v>
      </c>
      <c r="Y521" s="197" t="s">
        <v>2609</v>
      </c>
      <c r="Z521" s="246">
        <v>45141</v>
      </c>
      <c r="AA521" s="246"/>
      <c r="AB521" s="301"/>
      <c r="AC521" s="223"/>
      <c r="AD521" s="301"/>
      <c r="AE521" s="306"/>
      <c r="AF521" s="306"/>
      <c r="AG521" s="241"/>
      <c r="AH521" s="301"/>
      <c r="AI521" s="254"/>
      <c r="AJ521" s="348" t="s">
        <v>560</v>
      </c>
      <c r="AK521" s="241">
        <v>4</v>
      </c>
      <c r="AL521" s="122" t="s">
        <v>423</v>
      </c>
      <c r="AM521" s="120" t="s">
        <v>267</v>
      </c>
      <c r="AN521" s="151"/>
      <c r="AO521" s="151"/>
      <c r="AP521" s="115"/>
      <c r="AQ521" s="115"/>
      <c r="AR521" s="115"/>
      <c r="AS521" s="115"/>
      <c r="AT521" s="115"/>
    </row>
    <row r="522" spans="1:46" ht="39" customHeight="1" x14ac:dyDescent="0.25">
      <c r="A522" s="1468">
        <v>521</v>
      </c>
      <c r="B522" s="117"/>
      <c r="C522" s="929"/>
      <c r="D522" s="535"/>
      <c r="E522" s="535"/>
      <c r="F522" s="535"/>
      <c r="G522" s="536"/>
      <c r="H522" s="537"/>
      <c r="I522" s="537"/>
      <c r="J522" s="538"/>
      <c r="K522" s="309"/>
      <c r="L522" s="318"/>
      <c r="M522" s="318"/>
      <c r="N522" s="539"/>
      <c r="O522" s="309"/>
      <c r="P522" s="540" t="s">
        <v>919</v>
      </c>
      <c r="Q522" s="541"/>
      <c r="R522" s="1001"/>
      <c r="S522" s="279"/>
      <c r="T522" s="542"/>
      <c r="U522" s="250"/>
      <c r="V522" s="318"/>
      <c r="W522" s="318"/>
      <c r="X522" s="318"/>
      <c r="Y522" s="318"/>
      <c r="Z522" s="310"/>
      <c r="AA522" s="310"/>
      <c r="AB522" s="542"/>
      <c r="AC522" s="542"/>
      <c r="AD522" s="543"/>
      <c r="AE522" s="542"/>
      <c r="AF522" s="542"/>
      <c r="AG522" s="544"/>
      <c r="AH522" s="541"/>
      <c r="AI522" s="545"/>
      <c r="AJ522" s="546"/>
      <c r="AK522" s="535"/>
      <c r="AL522" s="118"/>
      <c r="AM522" s="180"/>
      <c r="AN522" s="181"/>
      <c r="AO522" s="182"/>
      <c r="AP522" s="115"/>
      <c r="AQ522" s="115"/>
      <c r="AR522" s="115"/>
      <c r="AS522" s="115"/>
      <c r="AT522" s="115"/>
    </row>
    <row r="523" spans="1:46" ht="39" customHeight="1" x14ac:dyDescent="0.25">
      <c r="A523" s="1468">
        <v>522</v>
      </c>
      <c r="B523" s="117">
        <v>5</v>
      </c>
      <c r="C523" s="343" t="s">
        <v>367</v>
      </c>
      <c r="D523" s="360"/>
      <c r="E523" s="360"/>
      <c r="F523" s="360"/>
      <c r="G523" s="344" t="s">
        <v>425</v>
      </c>
      <c r="H523" s="344" t="s">
        <v>132</v>
      </c>
      <c r="I523" s="357"/>
      <c r="J523" s="256">
        <v>403</v>
      </c>
      <c r="K523" s="216"/>
      <c r="L523" s="281" t="s">
        <v>2800</v>
      </c>
      <c r="M523" s="216" t="s">
        <v>4590</v>
      </c>
      <c r="N523" s="366"/>
      <c r="O523" s="385" t="s">
        <v>3436</v>
      </c>
      <c r="P523" s="385"/>
      <c r="Q523" s="344" t="s">
        <v>293</v>
      </c>
      <c r="R523" s="982" t="s">
        <v>3435</v>
      </c>
      <c r="S523" s="279">
        <v>29428</v>
      </c>
      <c r="T523" s="250"/>
      <c r="U523" s="251" t="s">
        <v>54</v>
      </c>
      <c r="V523" s="197" t="s">
        <v>4047</v>
      </c>
      <c r="W523" s="268" t="s">
        <v>56</v>
      </c>
      <c r="X523" s="268" t="s">
        <v>57</v>
      </c>
      <c r="Y523" s="197" t="s">
        <v>2609</v>
      </c>
      <c r="Z523" s="246">
        <v>45231</v>
      </c>
      <c r="AA523" s="289"/>
      <c r="AB523" s="299"/>
      <c r="AC523" s="223"/>
      <c r="AD523" s="299"/>
      <c r="AE523" s="289"/>
      <c r="AF523" s="289"/>
      <c r="AG523" s="299"/>
      <c r="AH523" s="299"/>
      <c r="AI523" s="296"/>
      <c r="AJ523" s="348" t="s">
        <v>560</v>
      </c>
      <c r="AK523" s="533">
        <v>3</v>
      </c>
      <c r="AL523" s="122" t="s">
        <v>423</v>
      </c>
      <c r="AM523" s="120" t="s">
        <v>267</v>
      </c>
      <c r="AN523" s="151"/>
      <c r="AO523" s="151"/>
      <c r="AP523" s="115"/>
      <c r="AQ523" s="115"/>
      <c r="AR523" s="115"/>
      <c r="AS523" s="115"/>
      <c r="AT523" s="115"/>
    </row>
    <row r="524" spans="1:46" ht="39" customHeight="1" x14ac:dyDescent="0.25">
      <c r="A524" s="1468">
        <v>523</v>
      </c>
      <c r="B524" s="117">
        <v>2</v>
      </c>
      <c r="C524" s="526" t="s">
        <v>428</v>
      </c>
      <c r="D524" s="481"/>
      <c r="E524" s="481"/>
      <c r="F524" s="481"/>
      <c r="G524" s="527" t="s">
        <v>429</v>
      </c>
      <c r="H524" s="262" t="s">
        <v>87</v>
      </c>
      <c r="I524" s="473"/>
      <c r="J524" s="245" t="s">
        <v>561</v>
      </c>
      <c r="K524" s="216"/>
      <c r="L524" s="289"/>
      <c r="M524" s="216"/>
      <c r="N524" s="366"/>
      <c r="O524" s="392"/>
      <c r="P524" s="374"/>
      <c r="Q524" s="344"/>
      <c r="R524" s="1174" t="s">
        <v>66</v>
      </c>
      <c r="S524" s="279"/>
      <c r="T524" s="223"/>
      <c r="U524" s="250"/>
      <c r="V524" s="197"/>
      <c r="W524" s="197"/>
      <c r="X524" s="197"/>
      <c r="Y524" s="288"/>
      <c r="Z524" s="612"/>
      <c r="AA524" s="252"/>
      <c r="AB524" s="223"/>
      <c r="AC524" s="223"/>
      <c r="AD524" s="299"/>
      <c r="AE524" s="223"/>
      <c r="AF524" s="223"/>
      <c r="AG524" s="282"/>
      <c r="AH524" s="301"/>
      <c r="AI524" s="223"/>
      <c r="AJ524" s="348"/>
      <c r="AK524" s="241">
        <v>4</v>
      </c>
      <c r="AL524" s="122" t="s">
        <v>423</v>
      </c>
      <c r="AM524" s="120" t="s">
        <v>267</v>
      </c>
      <c r="AN524" s="151"/>
      <c r="AO524" s="151"/>
      <c r="AP524" s="115"/>
      <c r="AQ524" s="115"/>
      <c r="AR524" s="115"/>
      <c r="AS524" s="115"/>
      <c r="AT524" s="115"/>
    </row>
    <row r="525" spans="1:46" ht="39" customHeight="1" x14ac:dyDescent="0.25">
      <c r="A525" s="1468">
        <v>524</v>
      </c>
      <c r="B525" s="117">
        <v>2</v>
      </c>
      <c r="C525" s="501" t="s">
        <v>430</v>
      </c>
      <c r="D525" s="282"/>
      <c r="E525" s="282"/>
      <c r="F525" s="282"/>
      <c r="G525" s="447" t="s">
        <v>354</v>
      </c>
      <c r="H525" s="262" t="s">
        <v>87</v>
      </c>
      <c r="I525" s="357"/>
      <c r="J525" s="245" t="s">
        <v>561</v>
      </c>
      <c r="K525" s="216"/>
      <c r="L525" s="281"/>
      <c r="M525" s="216" t="s">
        <v>4590</v>
      </c>
      <c r="N525" s="305"/>
      <c r="O525" s="950" t="s">
        <v>1872</v>
      </c>
      <c r="P525" s="325" t="s">
        <v>1828</v>
      </c>
      <c r="Q525" s="373" t="s">
        <v>87</v>
      </c>
      <c r="R525" s="982" t="s">
        <v>3282</v>
      </c>
      <c r="S525" s="279">
        <v>29765</v>
      </c>
      <c r="T525" s="197"/>
      <c r="U525" s="251" t="s">
        <v>54</v>
      </c>
      <c r="V525" s="250" t="s">
        <v>1922</v>
      </c>
      <c r="W525" s="197" t="s">
        <v>56</v>
      </c>
      <c r="X525" s="197" t="s">
        <v>57</v>
      </c>
      <c r="Y525" s="252" t="s">
        <v>1933</v>
      </c>
      <c r="Z525" s="252">
        <v>45133</v>
      </c>
      <c r="AA525" s="252"/>
      <c r="AB525" s="250"/>
      <c r="AC525" s="223"/>
      <c r="AD525" s="250"/>
      <c r="AE525" s="306"/>
      <c r="AF525" s="306"/>
      <c r="AG525" s="282"/>
      <c r="AH525" s="283"/>
      <c r="AI525" s="223"/>
      <c r="AJ525" s="348" t="s">
        <v>560</v>
      </c>
      <c r="AK525" s="241">
        <v>4</v>
      </c>
      <c r="AL525" s="122" t="s">
        <v>423</v>
      </c>
      <c r="AM525" s="120" t="s">
        <v>267</v>
      </c>
      <c r="AN525" s="151"/>
      <c r="AO525" s="151"/>
      <c r="AP525" s="115"/>
      <c r="AQ525" s="115"/>
      <c r="AR525" s="115"/>
      <c r="AS525" s="115"/>
      <c r="AT525" s="115"/>
    </row>
    <row r="526" spans="1:46" ht="39" customHeight="1" x14ac:dyDescent="0.25">
      <c r="A526" s="1468">
        <v>525</v>
      </c>
      <c r="B526" s="117"/>
      <c r="C526" s="929"/>
      <c r="D526" s="535"/>
      <c r="E526" s="535"/>
      <c r="F526" s="535"/>
      <c r="G526" s="536"/>
      <c r="H526" s="537"/>
      <c r="I526" s="537"/>
      <c r="J526" s="538"/>
      <c r="K526" s="309"/>
      <c r="L526" s="318"/>
      <c r="M526" s="318"/>
      <c r="N526" s="539"/>
      <c r="O526" s="309"/>
      <c r="P526" s="540" t="s">
        <v>921</v>
      </c>
      <c r="Q526" s="541"/>
      <c r="R526" s="1001"/>
      <c r="S526" s="279"/>
      <c r="T526" s="542"/>
      <c r="U526" s="250"/>
      <c r="V526" s="318"/>
      <c r="W526" s="318"/>
      <c r="X526" s="318"/>
      <c r="Y526" s="318"/>
      <c r="Z526" s="310"/>
      <c r="AA526" s="310"/>
      <c r="AB526" s="542"/>
      <c r="AC526" s="542"/>
      <c r="AD526" s="543"/>
      <c r="AE526" s="542"/>
      <c r="AF526" s="542"/>
      <c r="AG526" s="544"/>
      <c r="AH526" s="541"/>
      <c r="AI526" s="545"/>
      <c r="AJ526" s="546"/>
      <c r="AK526" s="535"/>
      <c r="AL526" s="118"/>
      <c r="AM526" s="180"/>
      <c r="AN526" s="181"/>
      <c r="AO526" s="182"/>
      <c r="AP526" s="115"/>
      <c r="AQ526" s="115"/>
      <c r="AR526" s="115"/>
      <c r="AS526" s="115"/>
      <c r="AT526" s="115"/>
    </row>
    <row r="527" spans="1:46" ht="39" customHeight="1" x14ac:dyDescent="0.25">
      <c r="A527" s="1468">
        <v>526</v>
      </c>
      <c r="B527" s="117">
        <v>5</v>
      </c>
      <c r="C527" s="343" t="s">
        <v>367</v>
      </c>
      <c r="D527" s="360"/>
      <c r="E527" s="360"/>
      <c r="F527" s="360"/>
      <c r="G527" s="344" t="s">
        <v>425</v>
      </c>
      <c r="H527" s="344" t="s">
        <v>132</v>
      </c>
      <c r="I527" s="357"/>
      <c r="J527" s="256">
        <v>403</v>
      </c>
      <c r="K527" s="216"/>
      <c r="L527" s="288" t="s">
        <v>1526</v>
      </c>
      <c r="M527" s="216" t="s">
        <v>4590</v>
      </c>
      <c r="N527" s="374"/>
      <c r="O527" s="385" t="s">
        <v>1584</v>
      </c>
      <c r="P527" s="374"/>
      <c r="Q527" s="373" t="s">
        <v>87</v>
      </c>
      <c r="R527" s="982" t="s">
        <v>1585</v>
      </c>
      <c r="S527" s="279">
        <v>28664</v>
      </c>
      <c r="T527" s="197"/>
      <c r="U527" s="251" t="s">
        <v>54</v>
      </c>
      <c r="V527" s="250" t="s">
        <v>1676</v>
      </c>
      <c r="W527" s="197" t="s">
        <v>56</v>
      </c>
      <c r="X527" s="197" t="s">
        <v>57</v>
      </c>
      <c r="Y527" s="1127" t="s">
        <v>5827</v>
      </c>
      <c r="Z527" s="246"/>
      <c r="AA527" s="388"/>
      <c r="AB527" s="288"/>
      <c r="AC527" s="223"/>
      <c r="AD527" s="288"/>
      <c r="AE527" s="384"/>
      <c r="AF527" s="384"/>
      <c r="AG527" s="392"/>
      <c r="AH527" s="283"/>
      <c r="AI527" s="254"/>
      <c r="AJ527" s="348" t="s">
        <v>560</v>
      </c>
      <c r="AK527" s="533">
        <v>3</v>
      </c>
      <c r="AL527" s="122" t="s">
        <v>423</v>
      </c>
      <c r="AM527" s="120" t="s">
        <v>267</v>
      </c>
      <c r="AN527" s="151"/>
      <c r="AO527" s="151"/>
      <c r="AP527" s="115"/>
      <c r="AQ527" s="115"/>
      <c r="AR527" s="115"/>
      <c r="AS527" s="115"/>
      <c r="AT527" s="115"/>
    </row>
    <row r="528" spans="1:46" ht="39" customHeight="1" x14ac:dyDescent="0.25">
      <c r="A528" s="1468">
        <v>527</v>
      </c>
      <c r="B528" s="117">
        <v>2</v>
      </c>
      <c r="C528" s="526" t="s">
        <v>428</v>
      </c>
      <c r="D528" s="481"/>
      <c r="E528" s="481"/>
      <c r="F528" s="481"/>
      <c r="G528" s="527" t="s">
        <v>429</v>
      </c>
      <c r="H528" s="262" t="s">
        <v>87</v>
      </c>
      <c r="I528" s="473"/>
      <c r="J528" s="245" t="s">
        <v>561</v>
      </c>
      <c r="K528" s="216"/>
      <c r="L528" s="281"/>
      <c r="M528" s="281"/>
      <c r="N528" s="366"/>
      <c r="O528" s="216" t="s">
        <v>2208</v>
      </c>
      <c r="P528" s="347"/>
      <c r="Q528" s="344" t="s">
        <v>519</v>
      </c>
      <c r="R528" s="982" t="s">
        <v>2207</v>
      </c>
      <c r="S528" s="279">
        <v>29411</v>
      </c>
      <c r="T528" s="250"/>
      <c r="U528" s="251" t="s">
        <v>54</v>
      </c>
      <c r="V528" s="250" t="s">
        <v>2793</v>
      </c>
      <c r="W528" s="197" t="s">
        <v>56</v>
      </c>
      <c r="X528" s="197" t="s">
        <v>57</v>
      </c>
      <c r="Y528" s="197" t="s">
        <v>2609</v>
      </c>
      <c r="Z528" s="246">
        <v>45141</v>
      </c>
      <c r="AA528" s="246"/>
      <c r="AB528" s="301"/>
      <c r="AC528" s="223"/>
      <c r="AD528" s="301"/>
      <c r="AE528" s="306"/>
      <c r="AF528" s="306"/>
      <c r="AG528" s="305"/>
      <c r="AH528" s="301"/>
      <c r="AI528" s="296"/>
      <c r="AJ528" s="348" t="s">
        <v>560</v>
      </c>
      <c r="AK528" s="241">
        <v>4</v>
      </c>
      <c r="AL528" s="122" t="s">
        <v>423</v>
      </c>
      <c r="AM528" s="120" t="s">
        <v>267</v>
      </c>
      <c r="AN528" s="151"/>
      <c r="AO528" s="151"/>
      <c r="AP528" s="115"/>
      <c r="AQ528" s="115"/>
      <c r="AR528" s="115"/>
      <c r="AS528" s="115"/>
      <c r="AT528" s="115"/>
    </row>
    <row r="529" spans="1:46" ht="39" customHeight="1" x14ac:dyDescent="0.25">
      <c r="A529" s="1468">
        <v>528</v>
      </c>
      <c r="B529" s="117">
        <v>2</v>
      </c>
      <c r="C529" s="501" t="s">
        <v>430</v>
      </c>
      <c r="D529" s="282"/>
      <c r="E529" s="282"/>
      <c r="F529" s="282"/>
      <c r="G529" s="447" t="s">
        <v>354</v>
      </c>
      <c r="H529" s="262" t="s">
        <v>87</v>
      </c>
      <c r="I529" s="357"/>
      <c r="J529" s="245" t="s">
        <v>561</v>
      </c>
      <c r="K529" s="216"/>
      <c r="L529" s="216" t="s">
        <v>3969</v>
      </c>
      <c r="M529" s="216" t="s">
        <v>4590</v>
      </c>
      <c r="N529" s="366"/>
      <c r="O529" s="216" t="s">
        <v>2210</v>
      </c>
      <c r="P529" s="402" t="s">
        <v>1828</v>
      </c>
      <c r="Q529" s="344" t="s">
        <v>87</v>
      </c>
      <c r="R529" s="982" t="s">
        <v>2209</v>
      </c>
      <c r="S529" s="279">
        <v>24932</v>
      </c>
      <c r="T529" s="197"/>
      <c r="U529" s="251" t="s">
        <v>54</v>
      </c>
      <c r="V529" s="250" t="s">
        <v>2793</v>
      </c>
      <c r="W529" s="197" t="s">
        <v>56</v>
      </c>
      <c r="X529" s="197" t="s">
        <v>57</v>
      </c>
      <c r="Y529" s="197" t="s">
        <v>2609</v>
      </c>
      <c r="Z529" s="246">
        <v>45141</v>
      </c>
      <c r="AA529" s="252"/>
      <c r="AB529" s="301"/>
      <c r="AC529" s="223"/>
      <c r="AD529" s="301"/>
      <c r="AE529" s="306"/>
      <c r="AF529" s="306"/>
      <c r="AG529" s="305"/>
      <c r="AH529" s="483"/>
      <c r="AI529" s="223"/>
      <c r="AJ529" s="348" t="s">
        <v>560</v>
      </c>
      <c r="AK529" s="241">
        <v>4</v>
      </c>
      <c r="AL529" s="122" t="s">
        <v>423</v>
      </c>
      <c r="AM529" s="120" t="s">
        <v>267</v>
      </c>
      <c r="AN529" s="151"/>
      <c r="AO529" s="151"/>
      <c r="AP529" s="115"/>
      <c r="AQ529" s="115"/>
      <c r="AR529" s="115"/>
      <c r="AS529" s="115"/>
      <c r="AT529" s="115"/>
    </row>
    <row r="530" spans="1:46" ht="39" customHeight="1" x14ac:dyDescent="0.25">
      <c r="A530" s="1468">
        <v>529</v>
      </c>
      <c r="B530" s="117"/>
      <c r="C530" s="455"/>
      <c r="D530" s="331"/>
      <c r="E530" s="331"/>
      <c r="F530" s="331"/>
      <c r="G530" s="432"/>
      <c r="H530" s="456"/>
      <c r="I530" s="456"/>
      <c r="J530" s="329"/>
      <c r="K530" s="432"/>
      <c r="L530" s="329"/>
      <c r="M530" s="329"/>
      <c r="N530" s="329"/>
      <c r="O530" s="330"/>
      <c r="P530" s="273" t="s">
        <v>927</v>
      </c>
      <c r="Q530" s="331"/>
      <c r="R530" s="787"/>
      <c r="S530" s="279"/>
      <c r="T530" s="334"/>
      <c r="U530" s="250"/>
      <c r="V530" s="334"/>
      <c r="W530" s="334"/>
      <c r="X530" s="334"/>
      <c r="Y530" s="334"/>
      <c r="Z530" s="457"/>
      <c r="AA530" s="458"/>
      <c r="AB530" s="459"/>
      <c r="AC530" s="460"/>
      <c r="AD530" s="459"/>
      <c r="AE530" s="461"/>
      <c r="AF530" s="457"/>
      <c r="AG530" s="331"/>
      <c r="AH530" s="462"/>
      <c r="AI530" s="463"/>
      <c r="AJ530" s="464"/>
      <c r="AK530" s="331"/>
      <c r="AL530" s="163"/>
      <c r="AM530" s="136"/>
      <c r="AN530" s="163"/>
      <c r="AO530" s="163"/>
      <c r="AP530" s="115"/>
      <c r="AQ530" s="115"/>
      <c r="AR530" s="115"/>
      <c r="AS530" s="115"/>
      <c r="AT530" s="116"/>
    </row>
    <row r="531" spans="1:46" ht="39" customHeight="1" x14ac:dyDescent="0.25">
      <c r="A531" s="1468">
        <v>530</v>
      </c>
      <c r="B531" s="131">
        <v>9</v>
      </c>
      <c r="C531" s="532" t="s">
        <v>305</v>
      </c>
      <c r="D531" s="282"/>
      <c r="E531" s="353" t="s">
        <v>47</v>
      </c>
      <c r="F531" s="282"/>
      <c r="G531" s="445" t="s">
        <v>432</v>
      </c>
      <c r="H531" s="350" t="s">
        <v>283</v>
      </c>
      <c r="I531" s="350"/>
      <c r="J531" s="281">
        <v>410</v>
      </c>
      <c r="K531" s="216"/>
      <c r="L531" s="301"/>
      <c r="M531" s="281"/>
      <c r="N531" s="289"/>
      <c r="O531" s="216" t="s">
        <v>4570</v>
      </c>
      <c r="P531" s="555" t="s">
        <v>4016</v>
      </c>
      <c r="Q531" s="312" t="s">
        <v>153</v>
      </c>
      <c r="R531" s="1140" t="s">
        <v>3515</v>
      </c>
      <c r="S531" s="279">
        <v>30914</v>
      </c>
      <c r="T531" s="289"/>
      <c r="U531" s="250"/>
      <c r="V531" s="197"/>
      <c r="W531" s="197" t="s">
        <v>4076</v>
      </c>
      <c r="X531" s="197"/>
      <c r="Y531" s="288"/>
      <c r="Z531" s="612"/>
      <c r="AA531" s="289"/>
      <c r="AB531" s="281"/>
      <c r="AC531" s="223"/>
      <c r="AD531" s="365"/>
      <c r="AE531" s="252"/>
      <c r="AF531" s="252"/>
      <c r="AG531" s="241"/>
      <c r="AH531" s="283"/>
      <c r="AI531" s="386"/>
      <c r="AJ531" s="317" t="s">
        <v>47</v>
      </c>
      <c r="AK531" s="312">
        <v>2</v>
      </c>
      <c r="AL531" s="132" t="s">
        <v>433</v>
      </c>
      <c r="AM531" s="120" t="s">
        <v>267</v>
      </c>
      <c r="AN531" s="157"/>
      <c r="AO531" s="157"/>
      <c r="AP531" s="115"/>
      <c r="AQ531" s="115"/>
      <c r="AR531" s="115"/>
      <c r="AS531" s="115"/>
      <c r="AT531" s="115"/>
    </row>
    <row r="532" spans="1:46" ht="39" customHeight="1" x14ac:dyDescent="0.25">
      <c r="A532" s="1468">
        <v>531</v>
      </c>
      <c r="B532" s="117"/>
      <c r="C532" s="455"/>
      <c r="D532" s="331"/>
      <c r="E532" s="331"/>
      <c r="F532" s="331"/>
      <c r="G532" s="432"/>
      <c r="H532" s="456"/>
      <c r="I532" s="456"/>
      <c r="J532" s="329"/>
      <c r="K532" s="432"/>
      <c r="L532" s="329"/>
      <c r="M532" s="329"/>
      <c r="N532" s="329"/>
      <c r="O532" s="330"/>
      <c r="P532" s="273" t="s">
        <v>434</v>
      </c>
      <c r="Q532" s="331"/>
      <c r="R532" s="455"/>
      <c r="S532" s="279"/>
      <c r="T532" s="334"/>
      <c r="U532" s="250"/>
      <c r="V532" s="334"/>
      <c r="W532" s="334"/>
      <c r="X532" s="334"/>
      <c r="Y532" s="334"/>
      <c r="Z532" s="457"/>
      <c r="AA532" s="458"/>
      <c r="AB532" s="459"/>
      <c r="AC532" s="460"/>
      <c r="AD532" s="459"/>
      <c r="AE532" s="461"/>
      <c r="AF532" s="457"/>
      <c r="AG532" s="331"/>
      <c r="AH532" s="462"/>
      <c r="AI532" s="463"/>
      <c r="AJ532" s="464"/>
      <c r="AK532" s="331"/>
      <c r="AL532" s="163"/>
      <c r="AM532" s="163"/>
      <c r="AN532" s="163"/>
      <c r="AO532" s="163"/>
      <c r="AP532" s="115"/>
      <c r="AQ532" s="115"/>
      <c r="AR532" s="115"/>
      <c r="AS532" s="115"/>
      <c r="AT532" s="116"/>
    </row>
    <row r="533" spans="1:46" ht="39" customHeight="1" x14ac:dyDescent="0.25">
      <c r="A533" s="1468">
        <v>532</v>
      </c>
      <c r="B533" s="128">
        <v>5</v>
      </c>
      <c r="C533" s="343" t="s">
        <v>367</v>
      </c>
      <c r="D533" s="344"/>
      <c r="E533" s="344" t="s">
        <v>47</v>
      </c>
      <c r="F533" s="344"/>
      <c r="G533" s="345" t="s">
        <v>435</v>
      </c>
      <c r="H533" s="346" t="s">
        <v>132</v>
      </c>
      <c r="I533" s="346"/>
      <c r="J533" s="256">
        <v>403</v>
      </c>
      <c r="K533" s="257"/>
      <c r="L533" s="299" t="s">
        <v>3969</v>
      </c>
      <c r="M533" s="299" t="s">
        <v>3969</v>
      </c>
      <c r="N533" s="299"/>
      <c r="O533" s="216" t="s">
        <v>2773</v>
      </c>
      <c r="P533" s="320" t="s">
        <v>1828</v>
      </c>
      <c r="Q533" s="344" t="s">
        <v>87</v>
      </c>
      <c r="R533" s="982" t="s">
        <v>2772</v>
      </c>
      <c r="S533" s="279">
        <v>32830</v>
      </c>
      <c r="T533" s="289"/>
      <c r="U533" s="251" t="s">
        <v>54</v>
      </c>
      <c r="V533" s="197" t="s">
        <v>5955</v>
      </c>
      <c r="W533" s="197" t="s">
        <v>70</v>
      </c>
      <c r="X533" s="197" t="s">
        <v>71</v>
      </c>
      <c r="Y533" s="949" t="s">
        <v>5993</v>
      </c>
      <c r="Z533" s="612">
        <v>45312</v>
      </c>
      <c r="AA533" s="289"/>
      <c r="AB533" s="299"/>
      <c r="AC533" s="223"/>
      <c r="AD533" s="299"/>
      <c r="AE533" s="289"/>
      <c r="AF533" s="289"/>
      <c r="AG533" s="299"/>
      <c r="AH533" s="299"/>
      <c r="AI533" s="223"/>
      <c r="AJ533" s="348" t="s">
        <v>560</v>
      </c>
      <c r="AK533" s="348">
        <v>3</v>
      </c>
      <c r="AL533" s="132" t="s">
        <v>433</v>
      </c>
      <c r="AM533" s="120" t="s">
        <v>267</v>
      </c>
      <c r="AN533" s="138"/>
      <c r="AO533" s="138"/>
      <c r="AP533" s="115"/>
      <c r="AQ533" s="115"/>
      <c r="AR533" s="115"/>
      <c r="AS533" s="115"/>
      <c r="AT533" s="115"/>
    </row>
    <row r="534" spans="1:46" ht="39" customHeight="1" x14ac:dyDescent="0.25">
      <c r="A534" s="1468">
        <v>533</v>
      </c>
      <c r="B534" s="117">
        <v>3</v>
      </c>
      <c r="C534" s="548" t="s">
        <v>436</v>
      </c>
      <c r="D534" s="487"/>
      <c r="E534" s="487"/>
      <c r="F534" s="487"/>
      <c r="G534" s="525" t="s">
        <v>437</v>
      </c>
      <c r="H534" s="262" t="s">
        <v>85</v>
      </c>
      <c r="I534" s="508"/>
      <c r="J534" s="245" t="s">
        <v>556</v>
      </c>
      <c r="K534" s="628"/>
      <c r="L534" s="644" t="s">
        <v>2019</v>
      </c>
      <c r="M534" s="644" t="s">
        <v>2019</v>
      </c>
      <c r="N534" s="628"/>
      <c r="O534" s="216" t="s">
        <v>2630</v>
      </c>
      <c r="P534" s="484" t="s">
        <v>1828</v>
      </c>
      <c r="Q534" s="344" t="s">
        <v>132</v>
      </c>
      <c r="R534" s="982" t="s">
        <v>2629</v>
      </c>
      <c r="S534" s="279">
        <v>23914</v>
      </c>
      <c r="T534" s="404"/>
      <c r="U534" s="251" t="s">
        <v>54</v>
      </c>
      <c r="V534" s="250" t="s">
        <v>2793</v>
      </c>
      <c r="W534" s="197" t="s">
        <v>56</v>
      </c>
      <c r="X534" s="197" t="s">
        <v>57</v>
      </c>
      <c r="Y534" s="197" t="s">
        <v>2609</v>
      </c>
      <c r="Z534" s="246">
        <v>45139</v>
      </c>
      <c r="AA534" s="404"/>
      <c r="AB534" s="1291"/>
      <c r="AC534" s="404"/>
      <c r="AD534" s="660"/>
      <c r="AE534" s="404"/>
      <c r="AF534" s="404"/>
      <c r="AG534" s="404"/>
      <c r="AH534" s="404"/>
      <c r="AI534" s="626"/>
      <c r="AJ534" s="348" t="s">
        <v>560</v>
      </c>
      <c r="AK534" s="241">
        <v>4</v>
      </c>
      <c r="AL534" s="132" t="s">
        <v>433</v>
      </c>
      <c r="AM534" s="120" t="s">
        <v>267</v>
      </c>
      <c r="AN534" s="173"/>
      <c r="AO534" s="173"/>
      <c r="AP534" s="115"/>
      <c r="AQ534" s="115"/>
      <c r="AR534" s="115"/>
      <c r="AS534" s="115"/>
      <c r="AT534" s="115"/>
    </row>
    <row r="535" spans="1:46" ht="39" customHeight="1" x14ac:dyDescent="0.25">
      <c r="A535" s="1468">
        <v>534</v>
      </c>
      <c r="B535" s="117">
        <v>3</v>
      </c>
      <c r="C535" s="549" t="s">
        <v>438</v>
      </c>
      <c r="D535" s="481" t="s">
        <v>134</v>
      </c>
      <c r="E535" s="481"/>
      <c r="F535" s="481"/>
      <c r="G535" s="527" t="s">
        <v>291</v>
      </c>
      <c r="H535" s="262" t="s">
        <v>87</v>
      </c>
      <c r="I535" s="473"/>
      <c r="J535" s="245" t="s">
        <v>561</v>
      </c>
      <c r="K535" s="216"/>
      <c r="L535" s="216"/>
      <c r="M535" s="216"/>
      <c r="N535" s="366"/>
      <c r="O535" s="216" t="s">
        <v>2354</v>
      </c>
      <c r="P535" s="555"/>
      <c r="Q535" s="344" t="s">
        <v>293</v>
      </c>
      <c r="R535" s="1252" t="s">
        <v>2353</v>
      </c>
      <c r="S535" s="279">
        <v>25276</v>
      </c>
      <c r="T535" s="289"/>
      <c r="U535" s="251" t="s">
        <v>54</v>
      </c>
      <c r="V535" s="250" t="s">
        <v>2793</v>
      </c>
      <c r="W535" s="197" t="s">
        <v>56</v>
      </c>
      <c r="X535" s="197" t="s">
        <v>57</v>
      </c>
      <c r="Y535" s="197" t="s">
        <v>2609</v>
      </c>
      <c r="Z535" s="246">
        <v>45141</v>
      </c>
      <c r="AA535" s="252"/>
      <c r="AB535" s="281"/>
      <c r="AC535" s="223"/>
      <c r="AD535" s="301"/>
      <c r="AE535" s="384"/>
      <c r="AF535" s="384"/>
      <c r="AG535" s="392"/>
      <c r="AH535" s="301"/>
      <c r="AI535" s="254"/>
      <c r="AJ535" s="348" t="s">
        <v>560</v>
      </c>
      <c r="AK535" s="241">
        <v>4</v>
      </c>
      <c r="AL535" s="132" t="s">
        <v>433</v>
      </c>
      <c r="AM535" s="120" t="s">
        <v>267</v>
      </c>
      <c r="AN535" s="179" t="s">
        <v>4131</v>
      </c>
      <c r="AO535" s="167"/>
      <c r="AP535" s="115"/>
      <c r="AQ535" s="115"/>
      <c r="AR535" s="115"/>
      <c r="AS535" s="115"/>
      <c r="AT535" s="115"/>
    </row>
    <row r="536" spans="1:46" ht="39" customHeight="1" x14ac:dyDescent="0.25">
      <c r="A536" s="1468">
        <v>535</v>
      </c>
      <c r="B536" s="159">
        <v>3</v>
      </c>
      <c r="C536" s="356" t="s">
        <v>438</v>
      </c>
      <c r="D536" s="282" t="s">
        <v>134</v>
      </c>
      <c r="E536" s="282"/>
      <c r="F536" s="282"/>
      <c r="G536" s="447" t="s">
        <v>291</v>
      </c>
      <c r="H536" s="262" t="s">
        <v>87</v>
      </c>
      <c r="I536" s="357"/>
      <c r="J536" s="245" t="s">
        <v>561</v>
      </c>
      <c r="K536" s="307"/>
      <c r="L536" s="289"/>
      <c r="M536" s="289"/>
      <c r="N536" s="366"/>
      <c r="O536" s="216" t="s">
        <v>2657</v>
      </c>
      <c r="P536" s="347"/>
      <c r="Q536" s="344" t="s">
        <v>87</v>
      </c>
      <c r="R536" s="982" t="s">
        <v>2656</v>
      </c>
      <c r="S536" s="279">
        <v>31916</v>
      </c>
      <c r="T536" s="223"/>
      <c r="U536" s="251" t="s">
        <v>54</v>
      </c>
      <c r="V536" s="250" t="s">
        <v>2793</v>
      </c>
      <c r="W536" s="197" t="s">
        <v>56</v>
      </c>
      <c r="X536" s="197" t="s">
        <v>57</v>
      </c>
      <c r="Y536" s="197" t="s">
        <v>2609</v>
      </c>
      <c r="Z536" s="246">
        <v>45141</v>
      </c>
      <c r="AA536" s="374"/>
      <c r="AB536" s="223"/>
      <c r="AC536" s="223"/>
      <c r="AD536" s="257"/>
      <c r="AE536" s="223"/>
      <c r="AF536" s="223"/>
      <c r="AG536" s="241"/>
      <c r="AH536" s="299"/>
      <c r="AI536" s="254"/>
      <c r="AJ536" s="348" t="s">
        <v>560</v>
      </c>
      <c r="AK536" s="241">
        <v>4</v>
      </c>
      <c r="AL536" s="132" t="s">
        <v>433</v>
      </c>
      <c r="AM536" s="120" t="s">
        <v>267</v>
      </c>
      <c r="AN536" s="110" t="s">
        <v>4131</v>
      </c>
      <c r="AO536" s="151"/>
      <c r="AP536" s="115"/>
      <c r="AQ536" s="115"/>
      <c r="AR536" s="115"/>
      <c r="AS536" s="115"/>
      <c r="AT536" s="115"/>
    </row>
    <row r="537" spans="1:46" ht="39" customHeight="1" x14ac:dyDescent="0.25">
      <c r="A537" s="1468">
        <v>536</v>
      </c>
      <c r="B537" s="117"/>
      <c r="C537" s="455"/>
      <c r="D537" s="331"/>
      <c r="E537" s="331"/>
      <c r="F537" s="331"/>
      <c r="G537" s="432"/>
      <c r="H537" s="456"/>
      <c r="I537" s="456"/>
      <c r="J537" s="329"/>
      <c r="K537" s="432"/>
      <c r="L537" s="329"/>
      <c r="M537" s="329"/>
      <c r="N537" s="329"/>
      <c r="O537" s="330"/>
      <c r="P537" s="273" t="s">
        <v>439</v>
      </c>
      <c r="Q537" s="331"/>
      <c r="R537" s="381"/>
      <c r="S537" s="279"/>
      <c r="T537" s="334"/>
      <c r="U537" s="250"/>
      <c r="V537" s="334"/>
      <c r="W537" s="334"/>
      <c r="X537" s="334"/>
      <c r="Y537" s="334"/>
      <c r="Z537" s="457"/>
      <c r="AA537" s="458"/>
      <c r="AB537" s="459"/>
      <c r="AC537" s="460"/>
      <c r="AD537" s="459"/>
      <c r="AE537" s="461"/>
      <c r="AF537" s="457"/>
      <c r="AG537" s="331"/>
      <c r="AH537" s="462"/>
      <c r="AI537" s="463"/>
      <c r="AJ537" s="464"/>
      <c r="AK537" s="331"/>
      <c r="AL537" s="163"/>
      <c r="AM537" s="163"/>
      <c r="AN537" s="163"/>
      <c r="AO537" s="163"/>
      <c r="AP537" s="115"/>
      <c r="AQ537" s="115"/>
      <c r="AR537" s="115"/>
      <c r="AS537" s="115"/>
      <c r="AT537" s="116"/>
    </row>
    <row r="538" spans="1:46" ht="39" customHeight="1" x14ac:dyDescent="0.25">
      <c r="A538" s="1468">
        <v>537</v>
      </c>
      <c r="B538" s="158">
        <v>5</v>
      </c>
      <c r="C538" s="343" t="s">
        <v>440</v>
      </c>
      <c r="D538" s="344"/>
      <c r="E538" s="344" t="s">
        <v>47</v>
      </c>
      <c r="F538" s="344"/>
      <c r="G538" s="345" t="s">
        <v>441</v>
      </c>
      <c r="H538" s="371" t="s">
        <v>132</v>
      </c>
      <c r="I538" s="371"/>
      <c r="J538" s="256">
        <v>403</v>
      </c>
      <c r="K538" s="216" t="s">
        <v>158</v>
      </c>
      <c r="L538" s="281" t="s">
        <v>994</v>
      </c>
      <c r="M538" s="281" t="s">
        <v>994</v>
      </c>
      <c r="N538" s="216"/>
      <c r="O538" s="216" t="s">
        <v>995</v>
      </c>
      <c r="P538" s="387"/>
      <c r="Q538" s="344" t="s">
        <v>132</v>
      </c>
      <c r="R538" s="982" t="s">
        <v>996</v>
      </c>
      <c r="S538" s="279">
        <v>33817</v>
      </c>
      <c r="T538" s="250"/>
      <c r="U538" s="251" t="s">
        <v>54</v>
      </c>
      <c r="V538" s="197" t="s">
        <v>997</v>
      </c>
      <c r="W538" s="197" t="s">
        <v>56</v>
      </c>
      <c r="X538" s="197" t="s">
        <v>57</v>
      </c>
      <c r="Y538" s="197" t="s">
        <v>998</v>
      </c>
      <c r="Z538" s="246">
        <v>44973</v>
      </c>
      <c r="AA538" s="250"/>
      <c r="AB538" s="282"/>
      <c r="AC538" s="223" t="s">
        <v>946</v>
      </c>
      <c r="AD538" s="282"/>
      <c r="AE538" s="258">
        <v>44531</v>
      </c>
      <c r="AF538" s="258">
        <v>44895</v>
      </c>
      <c r="AG538" s="241" t="s">
        <v>61</v>
      </c>
      <c r="AH538" s="283"/>
      <c r="AI538" s="322"/>
      <c r="AJ538" s="348" t="s">
        <v>560</v>
      </c>
      <c r="AK538" s="348">
        <v>3</v>
      </c>
      <c r="AL538" s="132" t="s">
        <v>433</v>
      </c>
      <c r="AM538" s="120" t="s">
        <v>267</v>
      </c>
      <c r="AN538" s="138"/>
      <c r="AO538" s="138"/>
      <c r="AP538" s="115"/>
      <c r="AQ538" s="115"/>
      <c r="AR538" s="115"/>
      <c r="AS538" s="115"/>
      <c r="AT538" s="115"/>
    </row>
    <row r="539" spans="1:46" ht="39" customHeight="1" x14ac:dyDescent="0.25">
      <c r="A539" s="1468">
        <v>538</v>
      </c>
      <c r="B539" s="117">
        <v>3</v>
      </c>
      <c r="C539" s="550" t="s">
        <v>931</v>
      </c>
      <c r="D539" s="551"/>
      <c r="E539" s="551"/>
      <c r="F539" s="551"/>
      <c r="G539" s="552" t="s">
        <v>442</v>
      </c>
      <c r="H539" s="262" t="s">
        <v>85</v>
      </c>
      <c r="I539" s="553"/>
      <c r="J539" s="245" t="s">
        <v>556</v>
      </c>
      <c r="K539" s="216"/>
      <c r="L539" s="288" t="s">
        <v>1860</v>
      </c>
      <c r="M539" s="288" t="s">
        <v>1860</v>
      </c>
      <c r="N539" s="374"/>
      <c r="O539" s="950" t="s">
        <v>1864</v>
      </c>
      <c r="P539" s="247"/>
      <c r="Q539" s="298" t="s">
        <v>87</v>
      </c>
      <c r="R539" s="982" t="s">
        <v>1863</v>
      </c>
      <c r="S539" s="279">
        <v>36905</v>
      </c>
      <c r="T539" s="257"/>
      <c r="U539" s="251" t="s">
        <v>54</v>
      </c>
      <c r="V539" s="197" t="s">
        <v>5830</v>
      </c>
      <c r="W539" s="197" t="s">
        <v>1955</v>
      </c>
      <c r="X539" s="197" t="s">
        <v>3511</v>
      </c>
      <c r="Y539" s="949" t="s">
        <v>998</v>
      </c>
      <c r="Z539" s="246">
        <v>45289</v>
      </c>
      <c r="AA539" s="1460">
        <v>45305</v>
      </c>
      <c r="AB539" s="257"/>
      <c r="AC539" s="223"/>
      <c r="AD539" s="281" t="s">
        <v>1862</v>
      </c>
      <c r="AE539" s="494"/>
      <c r="AF539" s="494"/>
      <c r="AG539" s="385"/>
      <c r="AH539" s="299"/>
      <c r="AI539" s="365"/>
      <c r="AJ539" s="348" t="s">
        <v>560</v>
      </c>
      <c r="AK539" s="219">
        <v>4</v>
      </c>
      <c r="AL539" s="132" t="s">
        <v>433</v>
      </c>
      <c r="AM539" s="120" t="s">
        <v>267</v>
      </c>
      <c r="AN539" s="183"/>
      <c r="AO539" s="183"/>
      <c r="AP539" s="115"/>
      <c r="AQ539" s="115"/>
      <c r="AR539" s="115"/>
      <c r="AS539" s="115"/>
      <c r="AT539" s="115"/>
    </row>
    <row r="540" spans="1:46" ht="39" customHeight="1" x14ac:dyDescent="0.25">
      <c r="A540" s="1468">
        <v>539</v>
      </c>
      <c r="B540" s="159">
        <v>2</v>
      </c>
      <c r="C540" s="501" t="s">
        <v>443</v>
      </c>
      <c r="D540" s="282"/>
      <c r="E540" s="282"/>
      <c r="F540" s="282"/>
      <c r="G540" s="447" t="s">
        <v>354</v>
      </c>
      <c r="H540" s="262" t="s">
        <v>87</v>
      </c>
      <c r="I540" s="357"/>
      <c r="J540" s="245" t="s">
        <v>561</v>
      </c>
      <c r="K540" s="216"/>
      <c r="L540" s="197"/>
      <c r="M540" s="197"/>
      <c r="N540" s="374"/>
      <c r="O540" s="216" t="s">
        <v>2771</v>
      </c>
      <c r="P540" s="402" t="s">
        <v>1828</v>
      </c>
      <c r="Q540" s="344" t="s">
        <v>87</v>
      </c>
      <c r="R540" s="982" t="s">
        <v>2770</v>
      </c>
      <c r="S540" s="279">
        <v>31325</v>
      </c>
      <c r="T540" s="257"/>
      <c r="U540" s="251" t="s">
        <v>54</v>
      </c>
      <c r="V540" s="250" t="s">
        <v>2793</v>
      </c>
      <c r="W540" s="197" t="s">
        <v>56</v>
      </c>
      <c r="X540" s="197" t="s">
        <v>57</v>
      </c>
      <c r="Y540" s="197" t="s">
        <v>2609</v>
      </c>
      <c r="Z540" s="246">
        <v>45148</v>
      </c>
      <c r="AA540" s="252"/>
      <c r="AB540" s="257"/>
      <c r="AC540" s="223"/>
      <c r="AD540" s="288"/>
      <c r="AE540" s="289"/>
      <c r="AF540" s="289"/>
      <c r="AG540" s="241"/>
      <c r="AH540" s="299"/>
      <c r="AI540" s="254"/>
      <c r="AJ540" s="348" t="s">
        <v>560</v>
      </c>
      <c r="AK540" s="241">
        <v>4</v>
      </c>
      <c r="AL540" s="132" t="s">
        <v>433</v>
      </c>
      <c r="AM540" s="120" t="s">
        <v>267</v>
      </c>
      <c r="AN540" s="151" t="s">
        <v>5764</v>
      </c>
      <c r="AO540" s="151"/>
      <c r="AP540" s="115"/>
      <c r="AQ540" s="115"/>
      <c r="AR540" s="115"/>
      <c r="AS540" s="115"/>
      <c r="AT540" s="115"/>
    </row>
    <row r="541" spans="1:46" ht="39" customHeight="1" x14ac:dyDescent="0.25">
      <c r="A541" s="1468">
        <v>540</v>
      </c>
      <c r="B541" s="117"/>
      <c r="C541" s="455"/>
      <c r="D541" s="331"/>
      <c r="E541" s="331"/>
      <c r="F541" s="331"/>
      <c r="G541" s="432"/>
      <c r="H541" s="456"/>
      <c r="I541" s="456"/>
      <c r="J541" s="329"/>
      <c r="K541" s="432"/>
      <c r="L541" s="329"/>
      <c r="M541" s="329"/>
      <c r="N541" s="329"/>
      <c r="O541" s="330"/>
      <c r="P541" s="273" t="s">
        <v>444</v>
      </c>
      <c r="Q541" s="331"/>
      <c r="R541" s="572"/>
      <c r="S541" s="279"/>
      <c r="T541" s="334"/>
      <c r="U541" s="250"/>
      <c r="V541" s="334"/>
      <c r="W541" s="334"/>
      <c r="X541" s="334"/>
      <c r="Y541" s="334"/>
      <c r="Z541" s="457"/>
      <c r="AA541" s="458"/>
      <c r="AB541" s="459"/>
      <c r="AC541" s="460"/>
      <c r="AD541" s="459"/>
      <c r="AE541" s="461"/>
      <c r="AF541" s="457"/>
      <c r="AG541" s="331"/>
      <c r="AH541" s="462"/>
      <c r="AI541" s="463"/>
      <c r="AJ541" s="464"/>
      <c r="AK541" s="331"/>
      <c r="AL541" s="163"/>
      <c r="AM541" s="163"/>
      <c r="AN541" s="163"/>
      <c r="AO541" s="163"/>
      <c r="AP541" s="115"/>
      <c r="AQ541" s="115"/>
      <c r="AR541" s="115"/>
      <c r="AS541" s="115"/>
      <c r="AT541" s="116"/>
    </row>
    <row r="542" spans="1:46" ht="39" customHeight="1" x14ac:dyDescent="0.25">
      <c r="A542" s="1468">
        <v>541</v>
      </c>
      <c r="B542" s="184">
        <v>5</v>
      </c>
      <c r="C542" s="567" t="s">
        <v>367</v>
      </c>
      <c r="D542" s="557"/>
      <c r="E542" s="291" t="s">
        <v>47</v>
      </c>
      <c r="F542" s="291"/>
      <c r="G542" s="292" t="s">
        <v>445</v>
      </c>
      <c r="H542" s="293" t="s">
        <v>132</v>
      </c>
      <c r="I542" s="346"/>
      <c r="J542" s="256">
        <v>403</v>
      </c>
      <c r="K542" s="216"/>
      <c r="L542" s="216" t="s">
        <v>1490</v>
      </c>
      <c r="M542" s="216" t="s">
        <v>1490</v>
      </c>
      <c r="N542" s="245"/>
      <c r="O542" s="216" t="s">
        <v>1489</v>
      </c>
      <c r="P542" s="320" t="s">
        <v>1828</v>
      </c>
      <c r="Q542" s="344" t="s">
        <v>87</v>
      </c>
      <c r="R542" s="982" t="s">
        <v>1488</v>
      </c>
      <c r="S542" s="279">
        <v>31751</v>
      </c>
      <c r="T542" s="306"/>
      <c r="U542" s="251" t="s">
        <v>178</v>
      </c>
      <c r="V542" s="385" t="s">
        <v>5830</v>
      </c>
      <c r="W542" s="147" t="s">
        <v>1955</v>
      </c>
      <c r="X542" s="197" t="s">
        <v>5762</v>
      </c>
      <c r="Y542" s="949" t="s">
        <v>5842</v>
      </c>
      <c r="Z542" s="252">
        <v>45292</v>
      </c>
      <c r="AA542" s="252">
        <v>45308</v>
      </c>
      <c r="AB542" s="281"/>
      <c r="AC542" s="223"/>
      <c r="AD542" s="281"/>
      <c r="AE542" s="252"/>
      <c r="AF542" s="252"/>
      <c r="AG542" s="282"/>
      <c r="AH542" s="283"/>
      <c r="AI542" s="296"/>
      <c r="AJ542" s="348" t="s">
        <v>560</v>
      </c>
      <c r="AK542" s="348">
        <v>3</v>
      </c>
      <c r="AL542" s="132" t="s">
        <v>433</v>
      </c>
      <c r="AM542" s="120" t="s">
        <v>267</v>
      </c>
      <c r="AN542" s="483" t="s">
        <v>5791</v>
      </c>
      <c r="AO542" s="138"/>
      <c r="AP542" s="115"/>
      <c r="AQ542" s="115"/>
      <c r="AR542" s="115"/>
      <c r="AS542" s="115"/>
      <c r="AT542" s="115"/>
    </row>
    <row r="543" spans="1:46" ht="39" customHeight="1" x14ac:dyDescent="0.25">
      <c r="A543" s="1468">
        <v>542</v>
      </c>
      <c r="B543" s="117">
        <v>2</v>
      </c>
      <c r="C543" s="558" t="s">
        <v>353</v>
      </c>
      <c r="D543" s="487"/>
      <c r="E543" s="487"/>
      <c r="F543" s="487"/>
      <c r="G543" s="525" t="s">
        <v>354</v>
      </c>
      <c r="H543" s="262" t="s">
        <v>87</v>
      </c>
      <c r="I543" s="508"/>
      <c r="J543" s="245" t="s">
        <v>561</v>
      </c>
      <c r="K543" s="216"/>
      <c r="L543" s="301"/>
      <c r="M543" s="281"/>
      <c r="N543" s="289"/>
      <c r="O543" s="216" t="s">
        <v>3340</v>
      </c>
      <c r="P543" s="325" t="s">
        <v>1828</v>
      </c>
      <c r="Q543" s="373" t="s">
        <v>293</v>
      </c>
      <c r="R543" s="982" t="s">
        <v>3339</v>
      </c>
      <c r="S543" s="279">
        <v>25368</v>
      </c>
      <c r="T543" s="289"/>
      <c r="U543" s="251" t="s">
        <v>54</v>
      </c>
      <c r="V543" s="197" t="s">
        <v>5133</v>
      </c>
      <c r="W543" s="197" t="s">
        <v>56</v>
      </c>
      <c r="X543" s="280" t="s">
        <v>57</v>
      </c>
      <c r="Y543" s="949" t="s">
        <v>5521</v>
      </c>
      <c r="Z543" s="299"/>
      <c r="AA543" s="252"/>
      <c r="AB543" s="281"/>
      <c r="AC543" s="223"/>
      <c r="AD543" s="365"/>
      <c r="AE543" s="494"/>
      <c r="AF543" s="494"/>
      <c r="AG543" s="241"/>
      <c r="AH543" s="283"/>
      <c r="AI543" s="386"/>
      <c r="AJ543" s="348" t="s">
        <v>560</v>
      </c>
      <c r="AK543" s="241">
        <v>4</v>
      </c>
      <c r="AL543" s="132" t="s">
        <v>433</v>
      </c>
      <c r="AM543" s="120" t="s">
        <v>267</v>
      </c>
      <c r="AN543" s="151" t="s">
        <v>5764</v>
      </c>
      <c r="AO543" s="173"/>
      <c r="AP543" s="115"/>
      <c r="AQ543" s="115"/>
      <c r="AR543" s="115"/>
      <c r="AS543" s="115"/>
      <c r="AT543" s="115"/>
    </row>
    <row r="544" spans="1:46" ht="39" customHeight="1" x14ac:dyDescent="0.25">
      <c r="A544" s="1468">
        <v>543</v>
      </c>
      <c r="B544" s="117">
        <v>2</v>
      </c>
      <c r="C544" s="501" t="s">
        <v>353</v>
      </c>
      <c r="D544" s="282"/>
      <c r="E544" s="282"/>
      <c r="F544" s="282"/>
      <c r="G544" s="447" t="s">
        <v>354</v>
      </c>
      <c r="H544" s="262" t="s">
        <v>87</v>
      </c>
      <c r="I544" s="357"/>
      <c r="J544" s="245" t="s">
        <v>561</v>
      </c>
      <c r="K544" s="257"/>
      <c r="L544" s="301" t="s">
        <v>1860</v>
      </c>
      <c r="M544" s="301" t="s">
        <v>1860</v>
      </c>
      <c r="N544" s="299"/>
      <c r="O544" s="950" t="s">
        <v>1936</v>
      </c>
      <c r="P544" s="484" t="s">
        <v>1828</v>
      </c>
      <c r="Q544" s="344" t="s">
        <v>293</v>
      </c>
      <c r="R544" s="982" t="s">
        <v>1937</v>
      </c>
      <c r="S544" s="279">
        <v>22729</v>
      </c>
      <c r="T544" s="289"/>
      <c r="U544" s="251" t="s">
        <v>54</v>
      </c>
      <c r="V544" s="250" t="s">
        <v>1922</v>
      </c>
      <c r="W544" s="197" t="s">
        <v>56</v>
      </c>
      <c r="X544" s="197" t="s">
        <v>57</v>
      </c>
      <c r="Y544" s="252" t="s">
        <v>1933</v>
      </c>
      <c r="Z544" s="252">
        <v>45133</v>
      </c>
      <c r="AA544" s="289"/>
      <c r="AB544" s="299"/>
      <c r="AC544" s="223"/>
      <c r="AD544" s="299"/>
      <c r="AE544" s="289"/>
      <c r="AF544" s="289"/>
      <c r="AG544" s="299"/>
      <c r="AH544" s="299"/>
      <c r="AI544" s="254"/>
      <c r="AJ544" s="348" t="s">
        <v>560</v>
      </c>
      <c r="AK544" s="241">
        <v>4</v>
      </c>
      <c r="AL544" s="132" t="s">
        <v>433</v>
      </c>
      <c r="AM544" s="120" t="s">
        <v>267</v>
      </c>
      <c r="AN544" s="151" t="s">
        <v>5764</v>
      </c>
      <c r="AO544" s="151"/>
      <c r="AP544" s="115"/>
      <c r="AQ544" s="115"/>
      <c r="AR544" s="115"/>
      <c r="AS544" s="115"/>
      <c r="AT544" s="115"/>
    </row>
    <row r="545" spans="1:46" ht="39" customHeight="1" x14ac:dyDescent="0.25">
      <c r="A545" s="1468">
        <v>544</v>
      </c>
      <c r="B545" s="117">
        <v>2</v>
      </c>
      <c r="C545" s="501" t="s">
        <v>353</v>
      </c>
      <c r="D545" s="282"/>
      <c r="E545" s="282"/>
      <c r="F545" s="282"/>
      <c r="G545" s="447" t="s">
        <v>354</v>
      </c>
      <c r="H545" s="262" t="s">
        <v>87</v>
      </c>
      <c r="I545" s="357"/>
      <c r="J545" s="245" t="s">
        <v>561</v>
      </c>
      <c r="K545" s="257"/>
      <c r="L545" s="299"/>
      <c r="M545" s="299"/>
      <c r="N545" s="299"/>
      <c r="O545" s="216"/>
      <c r="P545" s="555"/>
      <c r="Q545" s="485"/>
      <c r="R545" s="982" t="s">
        <v>66</v>
      </c>
      <c r="S545" s="279"/>
      <c r="T545" s="289"/>
      <c r="U545" s="197"/>
      <c r="V545" s="197"/>
      <c r="W545" s="250"/>
      <c r="X545" s="197"/>
      <c r="Y545" s="197"/>
      <c r="Z545" s="246"/>
      <c r="AA545" s="289"/>
      <c r="AB545" s="299"/>
      <c r="AC545" s="223"/>
      <c r="AD545" s="299"/>
      <c r="AE545" s="289"/>
      <c r="AF545" s="289"/>
      <c r="AG545" s="299"/>
      <c r="AH545" s="299"/>
      <c r="AI545" s="223"/>
      <c r="AJ545" s="348"/>
      <c r="AK545" s="241">
        <v>4</v>
      </c>
      <c r="AL545" s="132" t="s">
        <v>433</v>
      </c>
      <c r="AM545" s="120" t="s">
        <v>267</v>
      </c>
      <c r="AN545" s="151" t="s">
        <v>5764</v>
      </c>
      <c r="AO545" s="151"/>
      <c r="AP545" s="115"/>
      <c r="AQ545" s="115"/>
      <c r="AR545" s="115"/>
      <c r="AS545" s="115"/>
      <c r="AT545" s="115"/>
    </row>
    <row r="546" spans="1:46" ht="39" customHeight="1" x14ac:dyDescent="0.25">
      <c r="A546" s="1468">
        <v>545</v>
      </c>
      <c r="B546" s="161">
        <v>2</v>
      </c>
      <c r="C546" s="504" t="s">
        <v>446</v>
      </c>
      <c r="D546" s="481"/>
      <c r="E546" s="481"/>
      <c r="F546" s="481"/>
      <c r="G546" s="527" t="s">
        <v>354</v>
      </c>
      <c r="H546" s="262" t="s">
        <v>87</v>
      </c>
      <c r="I546" s="492"/>
      <c r="J546" s="245" t="s">
        <v>561</v>
      </c>
      <c r="K546" s="257"/>
      <c r="L546" s="299"/>
      <c r="M546" s="299"/>
      <c r="N546" s="299"/>
      <c r="O546" s="216" t="s">
        <v>2693</v>
      </c>
      <c r="P546" s="372"/>
      <c r="Q546" s="485" t="s">
        <v>293</v>
      </c>
      <c r="R546" s="982" t="s">
        <v>2692</v>
      </c>
      <c r="S546" s="279">
        <v>28669</v>
      </c>
      <c r="T546" s="289"/>
      <c r="U546" s="251" t="s">
        <v>54</v>
      </c>
      <c r="V546" s="250" t="s">
        <v>2793</v>
      </c>
      <c r="W546" s="197" t="s">
        <v>56</v>
      </c>
      <c r="X546" s="197" t="s">
        <v>57</v>
      </c>
      <c r="Y546" s="197" t="s">
        <v>2609</v>
      </c>
      <c r="Z546" s="246">
        <v>45141</v>
      </c>
      <c r="AA546" s="289"/>
      <c r="AB546" s="299"/>
      <c r="AC546" s="223"/>
      <c r="AD546" s="299"/>
      <c r="AE546" s="289"/>
      <c r="AF546" s="289"/>
      <c r="AG546" s="299"/>
      <c r="AH546" s="299"/>
      <c r="AI546" s="223"/>
      <c r="AJ546" s="348" t="s">
        <v>560</v>
      </c>
      <c r="AK546" s="241">
        <v>4</v>
      </c>
      <c r="AL546" s="132" t="s">
        <v>433</v>
      </c>
      <c r="AM546" s="120" t="s">
        <v>267</v>
      </c>
      <c r="AN546" s="151" t="s">
        <v>5764</v>
      </c>
      <c r="AO546" s="167"/>
      <c r="AP546" s="115"/>
      <c r="AQ546" s="115"/>
      <c r="AR546" s="115"/>
      <c r="AS546" s="115"/>
      <c r="AT546" s="115"/>
    </row>
    <row r="547" spans="1:46" ht="39" customHeight="1" x14ac:dyDescent="0.25">
      <c r="A547" s="1468">
        <v>546</v>
      </c>
      <c r="B547" s="117">
        <v>2</v>
      </c>
      <c r="C547" s="501" t="s">
        <v>360</v>
      </c>
      <c r="D547" s="282"/>
      <c r="E547" s="282"/>
      <c r="F547" s="282"/>
      <c r="G547" s="261" t="s">
        <v>354</v>
      </c>
      <c r="H547" s="262" t="s">
        <v>87</v>
      </c>
      <c r="I547" s="357"/>
      <c r="J547" s="245" t="s">
        <v>561</v>
      </c>
      <c r="K547" s="197"/>
      <c r="L547" s="216"/>
      <c r="M547" s="216"/>
      <c r="N547" s="366"/>
      <c r="O547" s="216" t="s">
        <v>2356</v>
      </c>
      <c r="P547" s="555"/>
      <c r="Q547" s="485" t="s">
        <v>293</v>
      </c>
      <c r="R547" s="982" t="s">
        <v>2355</v>
      </c>
      <c r="S547" s="279">
        <v>29259</v>
      </c>
      <c r="T547" s="250"/>
      <c r="U547" s="251" t="s">
        <v>54</v>
      </c>
      <c r="V547" s="250" t="s">
        <v>2793</v>
      </c>
      <c r="W547" s="197" t="s">
        <v>56</v>
      </c>
      <c r="X547" s="197" t="s">
        <v>57</v>
      </c>
      <c r="Y547" s="197" t="s">
        <v>2609</v>
      </c>
      <c r="Z547" s="246">
        <v>45141</v>
      </c>
      <c r="AA547" s="252"/>
      <c r="AB547" s="301"/>
      <c r="AC547" s="223"/>
      <c r="AD547" s="301"/>
      <c r="AE547" s="306"/>
      <c r="AF547" s="306"/>
      <c r="AG547" s="282"/>
      <c r="AH547" s="301"/>
      <c r="AI547" s="223"/>
      <c r="AJ547" s="348" t="s">
        <v>560</v>
      </c>
      <c r="AK547" s="241">
        <v>4</v>
      </c>
      <c r="AL547" s="132" t="s">
        <v>433</v>
      </c>
      <c r="AM547" s="120" t="s">
        <v>267</v>
      </c>
      <c r="AN547" s="151" t="s">
        <v>5764</v>
      </c>
      <c r="AO547" s="151"/>
      <c r="AP547" s="115"/>
      <c r="AQ547" s="115"/>
      <c r="AR547" s="115"/>
      <c r="AS547" s="115"/>
      <c r="AT547" s="115"/>
    </row>
    <row r="548" spans="1:46" ht="39" customHeight="1" x14ac:dyDescent="0.25">
      <c r="A548" s="1468">
        <v>547</v>
      </c>
      <c r="B548" s="117"/>
      <c r="C548" s="455"/>
      <c r="D548" s="331"/>
      <c r="E548" s="331"/>
      <c r="F548" s="331"/>
      <c r="G548" s="432"/>
      <c r="H548" s="456"/>
      <c r="I548" s="456"/>
      <c r="J548" s="329"/>
      <c r="K548" s="432"/>
      <c r="L548" s="329"/>
      <c r="M548" s="329"/>
      <c r="N548" s="329"/>
      <c r="O548" s="330"/>
      <c r="P548" s="273" t="s">
        <v>447</v>
      </c>
      <c r="Q548" s="331"/>
      <c r="R548" s="381"/>
      <c r="S548" s="279"/>
      <c r="T548" s="334"/>
      <c r="U548" s="250"/>
      <c r="V548" s="334"/>
      <c r="W548" s="334"/>
      <c r="X548" s="334"/>
      <c r="Y548" s="334"/>
      <c r="Z548" s="457"/>
      <c r="AA548" s="458"/>
      <c r="AB548" s="459"/>
      <c r="AC548" s="460"/>
      <c r="AD548" s="459"/>
      <c r="AE548" s="461"/>
      <c r="AF548" s="457"/>
      <c r="AG548" s="331"/>
      <c r="AH548" s="462"/>
      <c r="AI548" s="463"/>
      <c r="AJ548" s="464"/>
      <c r="AK548" s="331"/>
      <c r="AL548" s="163"/>
      <c r="AM548" s="163"/>
      <c r="AN548" s="163"/>
      <c r="AO548" s="163"/>
      <c r="AP548" s="115"/>
      <c r="AQ548" s="115"/>
      <c r="AR548" s="115"/>
      <c r="AS548" s="115"/>
      <c r="AT548" s="116"/>
    </row>
    <row r="549" spans="1:46" ht="39" customHeight="1" x14ac:dyDescent="0.25">
      <c r="A549" s="1468">
        <v>548</v>
      </c>
      <c r="B549" s="184">
        <v>5</v>
      </c>
      <c r="C549" s="567" t="s">
        <v>367</v>
      </c>
      <c r="D549" s="557"/>
      <c r="E549" s="291" t="s">
        <v>47</v>
      </c>
      <c r="F549" s="291"/>
      <c r="G549" s="292" t="s">
        <v>445</v>
      </c>
      <c r="H549" s="293" t="s">
        <v>132</v>
      </c>
      <c r="I549" s="346"/>
      <c r="J549" s="256">
        <v>403</v>
      </c>
      <c r="K549" s="216" t="s">
        <v>144</v>
      </c>
      <c r="L549" s="216" t="s">
        <v>1158</v>
      </c>
      <c r="M549" s="281" t="s">
        <v>1159</v>
      </c>
      <c r="N549" s="216"/>
      <c r="O549" s="216" t="s">
        <v>1160</v>
      </c>
      <c r="P549" s="320"/>
      <c r="Q549" s="373" t="s">
        <v>570</v>
      </c>
      <c r="R549" s="360" t="s">
        <v>1161</v>
      </c>
      <c r="S549" s="279">
        <v>36795</v>
      </c>
      <c r="T549" s="197" t="s">
        <v>480</v>
      </c>
      <c r="U549" s="251" t="s">
        <v>54</v>
      </c>
      <c r="V549" s="197" t="s">
        <v>55</v>
      </c>
      <c r="W549" s="197" t="s">
        <v>56</v>
      </c>
      <c r="X549" s="197" t="s">
        <v>57</v>
      </c>
      <c r="Y549" s="197" t="s">
        <v>58</v>
      </c>
      <c r="Z549" s="246">
        <v>44783</v>
      </c>
      <c r="AA549" s="246"/>
      <c r="AB549" s="376"/>
      <c r="AC549" s="223" t="s">
        <v>946</v>
      </c>
      <c r="AD549" s="281"/>
      <c r="AE549" s="363"/>
      <c r="AF549" s="252"/>
      <c r="AG549" s="282" t="s">
        <v>61</v>
      </c>
      <c r="AH549" s="376"/>
      <c r="AI549" s="547"/>
      <c r="AJ549" s="348" t="s">
        <v>560</v>
      </c>
      <c r="AK549" s="348">
        <v>3</v>
      </c>
      <c r="AL549" s="132" t="s">
        <v>433</v>
      </c>
      <c r="AM549" s="120" t="s">
        <v>267</v>
      </c>
      <c r="AN549" s="483" t="s">
        <v>5791</v>
      </c>
      <c r="AO549" s="138"/>
      <c r="AP549" s="115"/>
      <c r="AQ549" s="115"/>
      <c r="AR549" s="115"/>
      <c r="AS549" s="115"/>
      <c r="AT549" s="115"/>
    </row>
    <row r="550" spans="1:46" ht="39" customHeight="1" x14ac:dyDescent="0.25">
      <c r="A550" s="1468">
        <v>549</v>
      </c>
      <c r="B550" s="117">
        <v>2</v>
      </c>
      <c r="C550" s="558" t="s">
        <v>353</v>
      </c>
      <c r="D550" s="487"/>
      <c r="E550" s="487"/>
      <c r="F550" s="487"/>
      <c r="G550" s="525" t="s">
        <v>354</v>
      </c>
      <c r="H550" s="262" t="s">
        <v>87</v>
      </c>
      <c r="I550" s="508"/>
      <c r="J550" s="245" t="s">
        <v>561</v>
      </c>
      <c r="K550" s="216"/>
      <c r="L550" s="301" t="s">
        <v>1967</v>
      </c>
      <c r="M550" s="301" t="s">
        <v>1967</v>
      </c>
      <c r="N550" s="299"/>
      <c r="O550" s="950" t="s">
        <v>1966</v>
      </c>
      <c r="P550" s="484" t="s">
        <v>1828</v>
      </c>
      <c r="Q550" s="373" t="s">
        <v>87</v>
      </c>
      <c r="R550" s="982" t="s">
        <v>1965</v>
      </c>
      <c r="S550" s="279">
        <v>27672</v>
      </c>
      <c r="T550" s="250"/>
      <c r="U550" s="250"/>
      <c r="V550" s="250"/>
      <c r="W550" s="197" t="s">
        <v>4076</v>
      </c>
      <c r="X550" s="197"/>
      <c r="Y550" s="197"/>
      <c r="Z550" s="246"/>
      <c r="AA550" s="289"/>
      <c r="AB550" s="299"/>
      <c r="AC550" s="223"/>
      <c r="AD550" s="299"/>
      <c r="AE550" s="289"/>
      <c r="AF550" s="289"/>
      <c r="AG550" s="299"/>
      <c r="AH550" s="299"/>
      <c r="AI550" s="296"/>
      <c r="AJ550" s="348" t="s">
        <v>560</v>
      </c>
      <c r="AK550" s="241">
        <v>4</v>
      </c>
      <c r="AL550" s="132" t="s">
        <v>433</v>
      </c>
      <c r="AM550" s="120" t="s">
        <v>267</v>
      </c>
      <c r="AN550" s="173" t="s">
        <v>5767</v>
      </c>
      <c r="AO550" s="173"/>
      <c r="AP550" s="115"/>
      <c r="AQ550" s="115"/>
      <c r="AR550" s="115"/>
      <c r="AS550" s="115"/>
      <c r="AT550" s="115"/>
    </row>
    <row r="551" spans="1:46" ht="39" customHeight="1" x14ac:dyDescent="0.25">
      <c r="A551" s="1468">
        <v>550</v>
      </c>
      <c r="B551" s="117">
        <v>2</v>
      </c>
      <c r="C551" s="501" t="s">
        <v>353</v>
      </c>
      <c r="D551" s="282"/>
      <c r="E551" s="282"/>
      <c r="F551" s="282"/>
      <c r="G551" s="447" t="s">
        <v>354</v>
      </c>
      <c r="H551" s="262" t="s">
        <v>87</v>
      </c>
      <c r="I551" s="357"/>
      <c r="J551" s="245" t="s">
        <v>561</v>
      </c>
      <c r="K551" s="216" t="s">
        <v>144</v>
      </c>
      <c r="L551" s="301" t="s">
        <v>1103</v>
      </c>
      <c r="M551" s="301" t="s">
        <v>1103</v>
      </c>
      <c r="N551" s="301"/>
      <c r="O551" s="216" t="s">
        <v>1147</v>
      </c>
      <c r="P551" s="367"/>
      <c r="Q551" s="373" t="s">
        <v>570</v>
      </c>
      <c r="R551" s="982" t="s">
        <v>1148</v>
      </c>
      <c r="S551" s="279">
        <v>37831</v>
      </c>
      <c r="T551" s="197" t="s">
        <v>480</v>
      </c>
      <c r="U551" s="251" t="s">
        <v>54</v>
      </c>
      <c r="V551" s="197" t="s">
        <v>1149</v>
      </c>
      <c r="W551" s="197" t="s">
        <v>56</v>
      </c>
      <c r="X551" s="197" t="s">
        <v>302</v>
      </c>
      <c r="Y551" s="197" t="s">
        <v>1150</v>
      </c>
      <c r="Z551" s="246">
        <v>44942</v>
      </c>
      <c r="AA551" s="246"/>
      <c r="AB551" s="301" t="s">
        <v>170</v>
      </c>
      <c r="AC551" s="223" t="s">
        <v>946</v>
      </c>
      <c r="AD551" s="301" t="s">
        <v>1151</v>
      </c>
      <c r="AE551" s="306">
        <v>44510</v>
      </c>
      <c r="AF551" s="306">
        <v>44874</v>
      </c>
      <c r="AG551" s="301" t="s">
        <v>61</v>
      </c>
      <c r="AH551" s="301"/>
      <c r="AI551" s="401"/>
      <c r="AJ551" s="348" t="s">
        <v>560</v>
      </c>
      <c r="AK551" s="241">
        <v>4</v>
      </c>
      <c r="AL551" s="132" t="s">
        <v>433</v>
      </c>
      <c r="AM551" s="120" t="s">
        <v>267</v>
      </c>
      <c r="AN551" s="151" t="s">
        <v>5764</v>
      </c>
      <c r="AO551" s="151"/>
      <c r="AP551" s="115"/>
      <c r="AQ551" s="115"/>
      <c r="AR551" s="115"/>
      <c r="AS551" s="115"/>
      <c r="AT551" s="115"/>
    </row>
    <row r="552" spans="1:46" ht="39" customHeight="1" x14ac:dyDescent="0.25">
      <c r="A552" s="1468">
        <v>551</v>
      </c>
      <c r="B552" s="117">
        <v>2</v>
      </c>
      <c r="C552" s="501" t="s">
        <v>448</v>
      </c>
      <c r="D552" s="282"/>
      <c r="E552" s="282"/>
      <c r="F552" s="282"/>
      <c r="G552" s="447" t="s">
        <v>354</v>
      </c>
      <c r="H552" s="262" t="s">
        <v>87</v>
      </c>
      <c r="I552" s="357"/>
      <c r="J552" s="245" t="s">
        <v>561</v>
      </c>
      <c r="K552" s="216"/>
      <c r="L552" s="281"/>
      <c r="M552" s="250"/>
      <c r="N552" s="366"/>
      <c r="O552" s="216" t="s">
        <v>2730</v>
      </c>
      <c r="P552" s="367"/>
      <c r="Q552" s="373" t="s">
        <v>87</v>
      </c>
      <c r="R552" s="982" t="s">
        <v>2729</v>
      </c>
      <c r="S552" s="279">
        <v>30978</v>
      </c>
      <c r="T552" s="252"/>
      <c r="U552" s="251" t="s">
        <v>54</v>
      </c>
      <c r="V552" s="250" t="s">
        <v>2793</v>
      </c>
      <c r="W552" s="197" t="s">
        <v>56</v>
      </c>
      <c r="X552" s="197" t="s">
        <v>57</v>
      </c>
      <c r="Y552" s="197" t="s">
        <v>2609</v>
      </c>
      <c r="Z552" s="246">
        <v>45141</v>
      </c>
      <c r="AA552" s="252"/>
      <c r="AB552" s="282"/>
      <c r="AC552" s="223"/>
      <c r="AD552" s="282"/>
      <c r="AE552" s="246"/>
      <c r="AF552" s="246"/>
      <c r="AG552" s="282"/>
      <c r="AH552" s="283"/>
      <c r="AI552" s="254"/>
      <c r="AJ552" s="348" t="s">
        <v>560</v>
      </c>
      <c r="AK552" s="241">
        <v>4</v>
      </c>
      <c r="AL552" s="132" t="s">
        <v>433</v>
      </c>
      <c r="AM552" s="120" t="s">
        <v>267</v>
      </c>
      <c r="AN552" s="151" t="s">
        <v>5764</v>
      </c>
      <c r="AO552" s="151"/>
      <c r="AP552" s="115"/>
      <c r="AQ552" s="115"/>
      <c r="AR552" s="115"/>
      <c r="AS552" s="115"/>
      <c r="AT552" s="115"/>
    </row>
    <row r="553" spans="1:46" ht="39" customHeight="1" x14ac:dyDescent="0.25">
      <c r="A553" s="1468">
        <v>552</v>
      </c>
      <c r="B553" s="117">
        <v>2</v>
      </c>
      <c r="C553" s="501" t="s">
        <v>446</v>
      </c>
      <c r="D553" s="282"/>
      <c r="E553" s="282"/>
      <c r="F553" s="282"/>
      <c r="G553" s="447" t="s">
        <v>354</v>
      </c>
      <c r="H553" s="262" t="s">
        <v>87</v>
      </c>
      <c r="I553" s="357"/>
      <c r="J553" s="245" t="s">
        <v>561</v>
      </c>
      <c r="K553" s="216"/>
      <c r="L553" s="301"/>
      <c r="M553" s="216"/>
      <c r="N553" s="366"/>
      <c r="O553" s="950" t="s">
        <v>2740</v>
      </c>
      <c r="P553" s="325"/>
      <c r="Q553" s="373" t="s">
        <v>293</v>
      </c>
      <c r="R553" s="982" t="s">
        <v>2739</v>
      </c>
      <c r="S553" s="279">
        <v>27719</v>
      </c>
      <c r="T553" s="306"/>
      <c r="U553" s="251" t="s">
        <v>54</v>
      </c>
      <c r="V553" s="250" t="s">
        <v>2793</v>
      </c>
      <c r="W553" s="197" t="s">
        <v>56</v>
      </c>
      <c r="X553" s="197" t="s">
        <v>57</v>
      </c>
      <c r="Y553" s="197" t="s">
        <v>2609</v>
      </c>
      <c r="Z553" s="246">
        <v>45141</v>
      </c>
      <c r="AA553" s="246"/>
      <c r="AB553" s="301"/>
      <c r="AC553" s="223"/>
      <c r="AD553" s="301"/>
      <c r="AE553" s="306"/>
      <c r="AF553" s="306"/>
      <c r="AG553" s="301"/>
      <c r="AH553" s="301"/>
      <c r="AI553" s="386"/>
      <c r="AJ553" s="348" t="s">
        <v>560</v>
      </c>
      <c r="AK553" s="241">
        <v>4</v>
      </c>
      <c r="AL553" s="132" t="s">
        <v>433</v>
      </c>
      <c r="AM553" s="120" t="s">
        <v>267</v>
      </c>
      <c r="AN553" s="151" t="s">
        <v>5764</v>
      </c>
      <c r="AO553" s="151"/>
      <c r="AP553" s="115"/>
      <c r="AQ553" s="115"/>
      <c r="AR553" s="115"/>
      <c r="AS553" s="115"/>
      <c r="AT553" s="115"/>
    </row>
    <row r="554" spans="1:46" ht="39" customHeight="1" x14ac:dyDescent="0.25">
      <c r="A554" s="1468">
        <v>553</v>
      </c>
      <c r="B554" s="161">
        <v>2</v>
      </c>
      <c r="C554" s="501" t="s">
        <v>353</v>
      </c>
      <c r="D554" s="282"/>
      <c r="E554" s="282" t="s">
        <v>47</v>
      </c>
      <c r="F554" s="282"/>
      <c r="G554" s="447" t="s">
        <v>449</v>
      </c>
      <c r="H554" s="262" t="s">
        <v>87</v>
      </c>
      <c r="I554" s="364"/>
      <c r="J554" s="245" t="s">
        <v>561</v>
      </c>
      <c r="K554" s="277"/>
      <c r="L554" s="281" t="s">
        <v>1860</v>
      </c>
      <c r="M554" s="281" t="s">
        <v>1860</v>
      </c>
      <c r="N554" s="276"/>
      <c r="O554" s="950" t="s">
        <v>1932</v>
      </c>
      <c r="P554" s="484" t="s">
        <v>1828</v>
      </c>
      <c r="Q554" s="344" t="s">
        <v>87</v>
      </c>
      <c r="R554" s="996" t="s">
        <v>1931</v>
      </c>
      <c r="S554" s="279">
        <v>26801</v>
      </c>
      <c r="T554" s="398"/>
      <c r="U554" s="251" t="s">
        <v>54</v>
      </c>
      <c r="V554" s="250" t="s">
        <v>1922</v>
      </c>
      <c r="W554" s="197" t="s">
        <v>56</v>
      </c>
      <c r="X554" s="197" t="s">
        <v>57</v>
      </c>
      <c r="Y554" s="252" t="s">
        <v>1933</v>
      </c>
      <c r="Z554" s="252">
        <v>45133</v>
      </c>
      <c r="AA554" s="486"/>
      <c r="AB554" s="487"/>
      <c r="AC554" s="488"/>
      <c r="AD554" s="487"/>
      <c r="AE554" s="398"/>
      <c r="AF554" s="398"/>
      <c r="AG554" s="487"/>
      <c r="AH554" s="489"/>
      <c r="AI554" s="490"/>
      <c r="AJ554" s="348" t="s">
        <v>560</v>
      </c>
      <c r="AK554" s="241">
        <v>4</v>
      </c>
      <c r="AL554" s="132" t="s">
        <v>433</v>
      </c>
      <c r="AM554" s="120" t="s">
        <v>267</v>
      </c>
      <c r="AN554" s="151" t="s">
        <v>5764</v>
      </c>
      <c r="AO554" s="151"/>
      <c r="AP554" s="115"/>
      <c r="AQ554" s="115"/>
      <c r="AR554" s="115"/>
      <c r="AS554" s="115"/>
      <c r="AT554" s="115"/>
    </row>
    <row r="555" spans="1:46" ht="39" customHeight="1" x14ac:dyDescent="0.25">
      <c r="A555" s="1468">
        <v>554</v>
      </c>
      <c r="B555" s="161"/>
      <c r="C555" s="559"/>
      <c r="D555" s="511"/>
      <c r="E555" s="511"/>
      <c r="F555" s="511"/>
      <c r="G555" s="529"/>
      <c r="H555" s="560"/>
      <c r="I555" s="560"/>
      <c r="J555" s="330"/>
      <c r="K555" s="330"/>
      <c r="L555" s="330"/>
      <c r="M555" s="530"/>
      <c r="N555" s="330"/>
      <c r="O555" s="330"/>
      <c r="P555" s="561" t="s">
        <v>450</v>
      </c>
      <c r="Q555" s="562"/>
      <c r="R555" s="381"/>
      <c r="S555" s="279"/>
      <c r="T555" s="334"/>
      <c r="U555" s="250"/>
      <c r="V555" s="197"/>
      <c r="W555" s="334"/>
      <c r="X555" s="334"/>
      <c r="Y555" s="334"/>
      <c r="Z555" s="457"/>
      <c r="AA555" s="457"/>
      <c r="AB555" s="563"/>
      <c r="AC555" s="460"/>
      <c r="AD555" s="530"/>
      <c r="AE555" s="564"/>
      <c r="AF555" s="333"/>
      <c r="AG555" s="511"/>
      <c r="AH555" s="563"/>
      <c r="AI555" s="565"/>
      <c r="AJ555" s="566"/>
      <c r="AK555" s="566"/>
      <c r="AL555" s="185"/>
      <c r="AM555" s="185"/>
      <c r="AN555" s="156"/>
      <c r="AO555" s="156"/>
      <c r="AP555" s="115"/>
      <c r="AQ555" s="115"/>
      <c r="AR555" s="115"/>
      <c r="AS555" s="115"/>
      <c r="AT555" s="115"/>
    </row>
    <row r="556" spans="1:46" ht="39" customHeight="1" x14ac:dyDescent="0.25">
      <c r="A556" s="1468">
        <v>555</v>
      </c>
      <c r="B556" s="161">
        <v>5</v>
      </c>
      <c r="C556" s="567" t="s">
        <v>367</v>
      </c>
      <c r="D556" s="557"/>
      <c r="E556" s="291"/>
      <c r="F556" s="291"/>
      <c r="G556" s="292" t="s">
        <v>451</v>
      </c>
      <c r="H556" s="293" t="s">
        <v>132</v>
      </c>
      <c r="I556" s="364"/>
      <c r="J556" s="256">
        <v>403</v>
      </c>
      <c r="K556" s="216"/>
      <c r="L556" s="216" t="s">
        <v>1860</v>
      </c>
      <c r="M556" s="216" t="s">
        <v>1860</v>
      </c>
      <c r="N556" s="245"/>
      <c r="O556" s="216" t="s">
        <v>1858</v>
      </c>
      <c r="P556" s="247"/>
      <c r="Q556" s="344" t="s">
        <v>567</v>
      </c>
      <c r="R556" s="982" t="s">
        <v>1857</v>
      </c>
      <c r="S556" s="279">
        <v>34609</v>
      </c>
      <c r="T556" s="306"/>
      <c r="U556" s="251" t="s">
        <v>178</v>
      </c>
      <c r="V556" s="385" t="s">
        <v>5830</v>
      </c>
      <c r="W556" s="197" t="s">
        <v>5841</v>
      </c>
      <c r="X556" s="197" t="s">
        <v>3511</v>
      </c>
      <c r="Y556" s="949" t="s">
        <v>5840</v>
      </c>
      <c r="Z556" s="252">
        <v>45290</v>
      </c>
      <c r="AA556" s="306">
        <v>45304</v>
      </c>
      <c r="AB556" s="281"/>
      <c r="AC556" s="223"/>
      <c r="AD556" s="281" t="s">
        <v>1862</v>
      </c>
      <c r="AE556" s="252"/>
      <c r="AF556" s="252"/>
      <c r="AG556" s="282"/>
      <c r="AH556" s="283"/>
      <c r="AI556" s="296"/>
      <c r="AJ556" s="348" t="s">
        <v>560</v>
      </c>
      <c r="AK556" s="348">
        <v>3</v>
      </c>
      <c r="AL556" s="132" t="s">
        <v>433</v>
      </c>
      <c r="AM556" s="120" t="s">
        <v>267</v>
      </c>
      <c r="AN556" s="151"/>
      <c r="AO556" s="151"/>
      <c r="AP556" s="115"/>
      <c r="AQ556" s="115"/>
      <c r="AR556" s="115"/>
      <c r="AS556" s="115"/>
      <c r="AT556" s="115"/>
    </row>
    <row r="557" spans="1:46" ht="39" customHeight="1" x14ac:dyDescent="0.25">
      <c r="A557" s="1468">
        <v>556</v>
      </c>
      <c r="B557" s="161">
        <v>3</v>
      </c>
      <c r="C557" s="358" t="s">
        <v>452</v>
      </c>
      <c r="D557" s="282"/>
      <c r="E557" s="282"/>
      <c r="F557" s="282"/>
      <c r="G557" s="447" t="s">
        <v>453</v>
      </c>
      <c r="H557" s="262" t="s">
        <v>85</v>
      </c>
      <c r="I557" s="364"/>
      <c r="J557" s="245" t="s">
        <v>556</v>
      </c>
      <c r="K557" s="216"/>
      <c r="L557" s="216"/>
      <c r="M557" s="216"/>
      <c r="N557" s="366"/>
      <c r="O557" s="216" t="s">
        <v>2226</v>
      </c>
      <c r="P557" s="402"/>
      <c r="Q557" s="344" t="s">
        <v>87</v>
      </c>
      <c r="R557" s="982" t="s">
        <v>2225</v>
      </c>
      <c r="S557" s="279">
        <v>33970</v>
      </c>
      <c r="T557" s="289"/>
      <c r="U557" s="251" t="s">
        <v>54</v>
      </c>
      <c r="V557" s="250" t="s">
        <v>2793</v>
      </c>
      <c r="W557" s="197" t="s">
        <v>56</v>
      </c>
      <c r="X557" s="197" t="s">
        <v>57</v>
      </c>
      <c r="Y557" s="197" t="s">
        <v>2609</v>
      </c>
      <c r="Z557" s="246">
        <v>45141</v>
      </c>
      <c r="AA557" s="252"/>
      <c r="AB557" s="301"/>
      <c r="AC557" s="223"/>
      <c r="AD557" s="301"/>
      <c r="AE557" s="384"/>
      <c r="AF557" s="306"/>
      <c r="AG557" s="241"/>
      <c r="AH557" s="301"/>
      <c r="AI557" s="296"/>
      <c r="AJ557" s="348" t="s">
        <v>560</v>
      </c>
      <c r="AK557" s="241">
        <v>4</v>
      </c>
      <c r="AL557" s="132" t="s">
        <v>433</v>
      </c>
      <c r="AM557" s="120" t="s">
        <v>267</v>
      </c>
      <c r="AN557" s="151"/>
      <c r="AO557" s="151"/>
      <c r="AP557" s="115"/>
      <c r="AQ557" s="115"/>
      <c r="AR557" s="115"/>
      <c r="AS557" s="115"/>
      <c r="AT557" s="115"/>
    </row>
    <row r="558" spans="1:46" ht="39" customHeight="1" x14ac:dyDescent="0.25">
      <c r="A558" s="1468">
        <v>557</v>
      </c>
      <c r="B558" s="161">
        <v>2</v>
      </c>
      <c r="C558" s="358" t="s">
        <v>454</v>
      </c>
      <c r="D558" s="282"/>
      <c r="E558" s="282"/>
      <c r="F558" s="282"/>
      <c r="G558" s="447" t="s">
        <v>455</v>
      </c>
      <c r="H558" s="262" t="s">
        <v>87</v>
      </c>
      <c r="I558" s="364"/>
      <c r="J558" s="245" t="s">
        <v>561</v>
      </c>
      <c r="K558" s="257"/>
      <c r="L558" s="299"/>
      <c r="M558" s="299"/>
      <c r="N558" s="299"/>
      <c r="O558" s="216" t="s">
        <v>2699</v>
      </c>
      <c r="P558" s="367"/>
      <c r="Q558" s="373" t="s">
        <v>293</v>
      </c>
      <c r="R558" s="1252" t="s">
        <v>2698</v>
      </c>
      <c r="S558" s="279">
        <v>31475</v>
      </c>
      <c r="T558" s="289"/>
      <c r="U558" s="251" t="s">
        <v>54</v>
      </c>
      <c r="V558" s="250" t="s">
        <v>2793</v>
      </c>
      <c r="W558" s="197" t="s">
        <v>56</v>
      </c>
      <c r="X558" s="197" t="s">
        <v>57</v>
      </c>
      <c r="Y558" s="197" t="s">
        <v>2609</v>
      </c>
      <c r="Z558" s="246">
        <v>45141</v>
      </c>
      <c r="AA558" s="289"/>
      <c r="AB558" s="299"/>
      <c r="AC558" s="223"/>
      <c r="AD558" s="299"/>
      <c r="AE558" s="289"/>
      <c r="AF558" s="289"/>
      <c r="AG558" s="299"/>
      <c r="AH558" s="299"/>
      <c r="AI558" s="223"/>
      <c r="AJ558" s="348" t="s">
        <v>560</v>
      </c>
      <c r="AK558" s="241">
        <v>4</v>
      </c>
      <c r="AL558" s="132" t="s">
        <v>433</v>
      </c>
      <c r="AM558" s="120" t="s">
        <v>267</v>
      </c>
      <c r="AN558" s="151"/>
      <c r="AO558" s="151"/>
      <c r="AP558" s="115"/>
      <c r="AQ558" s="115"/>
      <c r="AR558" s="115"/>
      <c r="AS558" s="115"/>
      <c r="AT558" s="115"/>
    </row>
    <row r="559" spans="1:46" ht="39" customHeight="1" x14ac:dyDescent="0.25">
      <c r="A559" s="1468">
        <v>558</v>
      </c>
      <c r="B559" s="161">
        <v>2</v>
      </c>
      <c r="C559" s="358" t="s">
        <v>454</v>
      </c>
      <c r="D559" s="282"/>
      <c r="E559" s="282"/>
      <c r="F559" s="282"/>
      <c r="G559" s="447" t="s">
        <v>455</v>
      </c>
      <c r="H559" s="262" t="s">
        <v>87</v>
      </c>
      <c r="I559" s="364"/>
      <c r="J559" s="245" t="s">
        <v>561</v>
      </c>
      <c r="K559" s="257"/>
      <c r="L559" s="299"/>
      <c r="M559" s="299"/>
      <c r="N559" s="299"/>
      <c r="O559" s="216" t="s">
        <v>2723</v>
      </c>
      <c r="P559" s="367"/>
      <c r="Q559" s="485" t="s">
        <v>293</v>
      </c>
      <c r="R559" s="982" t="s">
        <v>2722</v>
      </c>
      <c r="S559" s="279">
        <v>25570</v>
      </c>
      <c r="T559" s="289"/>
      <c r="U559" s="251" t="s">
        <v>54</v>
      </c>
      <c r="V559" s="250" t="s">
        <v>2793</v>
      </c>
      <c r="W559" s="197" t="s">
        <v>56</v>
      </c>
      <c r="X559" s="197" t="s">
        <v>57</v>
      </c>
      <c r="Y559" s="197" t="s">
        <v>2609</v>
      </c>
      <c r="Z559" s="246">
        <v>45141</v>
      </c>
      <c r="AA559" s="289"/>
      <c r="AB559" s="299"/>
      <c r="AC559" s="223"/>
      <c r="AD559" s="299"/>
      <c r="AE559" s="289"/>
      <c r="AF559" s="289"/>
      <c r="AG559" s="299"/>
      <c r="AH559" s="299"/>
      <c r="AI559" s="223"/>
      <c r="AJ559" s="348" t="s">
        <v>560</v>
      </c>
      <c r="AK559" s="241">
        <v>4</v>
      </c>
      <c r="AL559" s="132" t="s">
        <v>433</v>
      </c>
      <c r="AM559" s="120" t="s">
        <v>267</v>
      </c>
      <c r="AN559" s="151"/>
      <c r="AO559" s="151"/>
      <c r="AP559" s="115"/>
      <c r="AQ559" s="115"/>
      <c r="AR559" s="115"/>
      <c r="AS559" s="115"/>
      <c r="AT559" s="115"/>
    </row>
    <row r="560" spans="1:46" ht="39" customHeight="1" x14ac:dyDescent="0.25">
      <c r="A560" s="1468">
        <v>559</v>
      </c>
      <c r="B560" s="161">
        <v>2</v>
      </c>
      <c r="C560" s="358" t="s">
        <v>454</v>
      </c>
      <c r="D560" s="282"/>
      <c r="E560" s="282"/>
      <c r="F560" s="282"/>
      <c r="G560" s="447" t="s">
        <v>455</v>
      </c>
      <c r="H560" s="262" t="s">
        <v>87</v>
      </c>
      <c r="I560" s="364"/>
      <c r="J560" s="245" t="s">
        <v>561</v>
      </c>
      <c r="K560" s="216"/>
      <c r="L560" s="216" t="s">
        <v>1490</v>
      </c>
      <c r="M560" s="216" t="s">
        <v>1490</v>
      </c>
      <c r="N560" s="216"/>
      <c r="O560" s="216" t="s">
        <v>1483</v>
      </c>
      <c r="P560" s="320" t="s">
        <v>1828</v>
      </c>
      <c r="Q560" s="373" t="s">
        <v>87</v>
      </c>
      <c r="R560" s="982" t="s">
        <v>1482</v>
      </c>
      <c r="S560" s="279">
        <v>33893</v>
      </c>
      <c r="T560" s="197"/>
      <c r="U560" s="251" t="s">
        <v>54</v>
      </c>
      <c r="V560" s="250" t="s">
        <v>2793</v>
      </c>
      <c r="W560" s="197" t="s">
        <v>56</v>
      </c>
      <c r="X560" s="197" t="s">
        <v>57</v>
      </c>
      <c r="Y560" s="197" t="s">
        <v>2609</v>
      </c>
      <c r="Z560" s="246">
        <v>45142</v>
      </c>
      <c r="AA560" s="246"/>
      <c r="AB560" s="376"/>
      <c r="AC560" s="223"/>
      <c r="AD560" s="281"/>
      <c r="AE560" s="363"/>
      <c r="AF560" s="252"/>
      <c r="AG560" s="282"/>
      <c r="AH560" s="376"/>
      <c r="AI560" s="547"/>
      <c r="AJ560" s="348" t="s">
        <v>560</v>
      </c>
      <c r="AK560" s="241">
        <v>4</v>
      </c>
      <c r="AL560" s="132" t="s">
        <v>433</v>
      </c>
      <c r="AM560" s="120" t="s">
        <v>267</v>
      </c>
      <c r="AN560" s="151"/>
      <c r="AO560" s="151"/>
      <c r="AP560" s="115"/>
      <c r="AQ560" s="115"/>
      <c r="AR560" s="115"/>
      <c r="AS560" s="115"/>
      <c r="AT560" s="115"/>
    </row>
    <row r="561" spans="1:46" ht="39" customHeight="1" x14ac:dyDescent="0.25">
      <c r="A561" s="1468">
        <v>560</v>
      </c>
      <c r="B561" s="161">
        <v>2</v>
      </c>
      <c r="C561" s="568" t="s">
        <v>456</v>
      </c>
      <c r="D561" s="282"/>
      <c r="E561" s="282"/>
      <c r="F561" s="282"/>
      <c r="G561" s="447" t="s">
        <v>457</v>
      </c>
      <c r="H561" s="262" t="s">
        <v>87</v>
      </c>
      <c r="I561" s="364"/>
      <c r="J561" s="245" t="s">
        <v>561</v>
      </c>
      <c r="K561" s="216"/>
      <c r="L561" s="197"/>
      <c r="M561" s="197"/>
      <c r="N561" s="256"/>
      <c r="O561" s="216" t="s">
        <v>2769</v>
      </c>
      <c r="P561" s="247"/>
      <c r="Q561" s="344" t="s">
        <v>87</v>
      </c>
      <c r="R561" s="982" t="s">
        <v>2768</v>
      </c>
      <c r="S561" s="279">
        <v>26805</v>
      </c>
      <c r="T561" s="250"/>
      <c r="U561" s="197"/>
      <c r="V561" s="250"/>
      <c r="W561" s="197"/>
      <c r="X561" s="197"/>
      <c r="Y561" s="981"/>
      <c r="Z561" s="246"/>
      <c r="AA561" s="1460"/>
      <c r="AB561" s="250"/>
      <c r="AC561" s="223"/>
      <c r="AD561" s="299"/>
      <c r="AE561" s="246"/>
      <c r="AF561" s="246"/>
      <c r="AG561" s="241"/>
      <c r="AH561" s="253"/>
      <c r="AI561" s="254"/>
      <c r="AJ561" s="348" t="s">
        <v>560</v>
      </c>
      <c r="AK561" s="241">
        <v>4</v>
      </c>
      <c r="AL561" s="132" t="s">
        <v>433</v>
      </c>
      <c r="AM561" s="120" t="s">
        <v>267</v>
      </c>
      <c r="AN561" s="151"/>
      <c r="AO561" s="151"/>
      <c r="AP561" s="115"/>
      <c r="AQ561" s="115"/>
      <c r="AR561" s="115"/>
      <c r="AS561" s="115"/>
      <c r="AT561" s="115"/>
    </row>
    <row r="562" spans="1:46" ht="39" customHeight="1" x14ac:dyDescent="0.25">
      <c r="A562" s="1468">
        <v>561</v>
      </c>
      <c r="B562" s="161">
        <v>2</v>
      </c>
      <c r="C562" s="568" t="s">
        <v>456</v>
      </c>
      <c r="D562" s="282"/>
      <c r="E562" s="282"/>
      <c r="F562" s="282"/>
      <c r="G562" s="447" t="s">
        <v>457</v>
      </c>
      <c r="H562" s="262" t="s">
        <v>87</v>
      </c>
      <c r="I562" s="364"/>
      <c r="J562" s="245" t="s">
        <v>561</v>
      </c>
      <c r="K562" s="216"/>
      <c r="L562" s="216"/>
      <c r="M562" s="281"/>
      <c r="N562" s="216"/>
      <c r="O562" s="392" t="s">
        <v>3229</v>
      </c>
      <c r="P562" s="247"/>
      <c r="Q562" s="344" t="s">
        <v>87</v>
      </c>
      <c r="R562" s="982" t="s">
        <v>1408</v>
      </c>
      <c r="S562" s="279">
        <v>31390</v>
      </c>
      <c r="T562" s="197"/>
      <c r="U562" s="251" t="s">
        <v>54</v>
      </c>
      <c r="V562" s="197"/>
      <c r="W562" s="197" t="s">
        <v>70</v>
      </c>
      <c r="X562" s="197" t="s">
        <v>71</v>
      </c>
      <c r="Y562" s="197"/>
      <c r="Z562" s="246"/>
      <c r="AA562" s="246"/>
      <c r="AB562" s="376"/>
      <c r="AC562" s="223"/>
      <c r="AD562" s="281"/>
      <c r="AE562" s="363"/>
      <c r="AF562" s="252"/>
      <c r="AG562" s="282"/>
      <c r="AH562" s="376"/>
      <c r="AI562" s="547"/>
      <c r="AJ562" s="348" t="s">
        <v>560</v>
      </c>
      <c r="AK562" s="241">
        <v>4</v>
      </c>
      <c r="AL562" s="132" t="s">
        <v>433</v>
      </c>
      <c r="AM562" s="120" t="s">
        <v>267</v>
      </c>
      <c r="AN562" s="151"/>
      <c r="AO562" s="151"/>
      <c r="AP562" s="115"/>
      <c r="AQ562" s="115"/>
      <c r="AR562" s="115"/>
      <c r="AS562" s="115"/>
      <c r="AT562" s="115"/>
    </row>
    <row r="563" spans="1:46" ht="39" customHeight="1" x14ac:dyDescent="0.25">
      <c r="A563" s="1468">
        <v>562</v>
      </c>
      <c r="B563" s="117"/>
      <c r="C563" s="324"/>
      <c r="D563" s="664"/>
      <c r="E563" s="664"/>
      <c r="F563" s="664"/>
      <c r="G563" s="227"/>
      <c r="H563" s="228"/>
      <c r="I563" s="228"/>
      <c r="J563" s="229"/>
      <c r="K563" s="227"/>
      <c r="L563" s="229"/>
      <c r="M563" s="229"/>
      <c r="N563" s="229"/>
      <c r="O563" s="229"/>
      <c r="P563" s="230" t="s">
        <v>458</v>
      </c>
      <c r="Q563" s="229"/>
      <c r="R563" s="324"/>
      <c r="S563" s="232"/>
      <c r="T563" s="232"/>
      <c r="U563" s="232"/>
      <c r="V563" s="232"/>
      <c r="W563" s="232"/>
      <c r="X563" s="232"/>
      <c r="Y563" s="232"/>
      <c r="Z563" s="233"/>
      <c r="AA563" s="234"/>
      <c r="AB563" s="235"/>
      <c r="AC563" s="236"/>
      <c r="AD563" s="235"/>
      <c r="AE563" s="237"/>
      <c r="AF563" s="233"/>
      <c r="AG563" s="664"/>
      <c r="AH563" s="238"/>
      <c r="AI563" s="239"/>
      <c r="AJ563" s="238"/>
      <c r="AK563" s="569"/>
      <c r="AL563" s="176"/>
      <c r="AM563" s="176"/>
      <c r="AN563" s="113"/>
      <c r="AO563" s="114"/>
      <c r="AP563" s="115"/>
      <c r="AQ563" s="115"/>
      <c r="AR563" s="115"/>
      <c r="AS563" s="115"/>
      <c r="AT563" s="116"/>
    </row>
    <row r="564" spans="1:46" ht="39" customHeight="1" x14ac:dyDescent="0.25">
      <c r="A564" s="1468">
        <v>563</v>
      </c>
      <c r="B564" s="117"/>
      <c r="C564" s="324"/>
      <c r="D564" s="664"/>
      <c r="E564" s="664"/>
      <c r="F564" s="664"/>
      <c r="G564" s="227"/>
      <c r="H564" s="228"/>
      <c r="I564" s="228"/>
      <c r="J564" s="229"/>
      <c r="K564" s="227"/>
      <c r="L564" s="229"/>
      <c r="M564" s="229"/>
      <c r="N564" s="229"/>
      <c r="O564" s="229"/>
      <c r="P564" s="230" t="s">
        <v>45</v>
      </c>
      <c r="Q564" s="229"/>
      <c r="R564" s="232"/>
      <c r="S564" s="232"/>
      <c r="T564" s="232"/>
      <c r="U564" s="232"/>
      <c r="V564" s="232"/>
      <c r="W564" s="232"/>
      <c r="X564" s="232"/>
      <c r="Y564" s="232"/>
      <c r="Z564" s="233"/>
      <c r="AA564" s="234"/>
      <c r="AB564" s="235"/>
      <c r="AC564" s="236"/>
      <c r="AD564" s="235"/>
      <c r="AE564" s="237"/>
      <c r="AF564" s="233"/>
      <c r="AG564" s="664"/>
      <c r="AH564" s="238"/>
      <c r="AI564" s="239"/>
      <c r="AJ564" s="238"/>
      <c r="AK564" s="569"/>
      <c r="AL564" s="123"/>
      <c r="AM564" s="123"/>
      <c r="AN564" s="113"/>
      <c r="AO564" s="114"/>
      <c r="AP564" s="115"/>
      <c r="AQ564" s="115"/>
      <c r="AR564" s="115"/>
      <c r="AS564" s="115"/>
      <c r="AT564" s="116"/>
    </row>
    <row r="565" spans="1:46" ht="39" customHeight="1" x14ac:dyDescent="0.25">
      <c r="A565" s="1468">
        <v>564</v>
      </c>
      <c r="B565" s="117"/>
      <c r="C565" s="324"/>
      <c r="D565" s="664"/>
      <c r="E565" s="664"/>
      <c r="F565" s="664"/>
      <c r="G565" s="227"/>
      <c r="H565" s="228"/>
      <c r="I565" s="228"/>
      <c r="J565" s="229"/>
      <c r="K565" s="227"/>
      <c r="L565" s="229"/>
      <c r="M565" s="229"/>
      <c r="N565" s="229"/>
      <c r="O565" s="229"/>
      <c r="P565" s="230" t="s">
        <v>44</v>
      </c>
      <c r="Q565" s="229"/>
      <c r="R565" s="324"/>
      <c r="S565" s="232"/>
      <c r="T565" s="232"/>
      <c r="U565" s="232"/>
      <c r="V565" s="232"/>
      <c r="W565" s="232"/>
      <c r="X565" s="232"/>
      <c r="Y565" s="232"/>
      <c r="Z565" s="233"/>
      <c r="AA565" s="234"/>
      <c r="AB565" s="235"/>
      <c r="AC565" s="236"/>
      <c r="AD565" s="235"/>
      <c r="AE565" s="237"/>
      <c r="AF565" s="233"/>
      <c r="AG565" s="664"/>
      <c r="AH565" s="238"/>
      <c r="AI565" s="239"/>
      <c r="AJ565" s="238"/>
      <c r="AK565" s="569"/>
      <c r="AL565" s="175"/>
      <c r="AM565" s="175"/>
      <c r="AN565" s="113"/>
      <c r="AO565" s="114"/>
      <c r="AP565" s="115"/>
      <c r="AQ565" s="115"/>
      <c r="AR565" s="115"/>
      <c r="AS565" s="115"/>
      <c r="AT565" s="116"/>
    </row>
    <row r="566" spans="1:46" ht="39" customHeight="1" x14ac:dyDescent="0.25">
      <c r="A566" s="1468">
        <v>565</v>
      </c>
      <c r="B566" s="119">
        <v>18</v>
      </c>
      <c r="C566" s="240" t="s">
        <v>265</v>
      </c>
      <c r="D566" s="282"/>
      <c r="E566" s="338" t="s">
        <v>47</v>
      </c>
      <c r="F566" s="282"/>
      <c r="G566" s="339" t="s">
        <v>91</v>
      </c>
      <c r="H566" s="340" t="s">
        <v>65</v>
      </c>
      <c r="I566" s="340"/>
      <c r="J566" s="245">
        <v>202</v>
      </c>
      <c r="K566" s="216"/>
      <c r="L566" s="269"/>
      <c r="M566" s="269"/>
      <c r="N566" s="256"/>
      <c r="O566" s="216"/>
      <c r="P566" s="287"/>
      <c r="Q566" s="687"/>
      <c r="R566" s="1164" t="s">
        <v>66</v>
      </c>
      <c r="S566" s="279"/>
      <c r="T566" s="250"/>
      <c r="U566" s="250"/>
      <c r="V566" s="197"/>
      <c r="W566" s="197"/>
      <c r="X566" s="197"/>
      <c r="Y566" s="197"/>
      <c r="Z566" s="246"/>
      <c r="AA566" s="246"/>
      <c r="AB566" s="241"/>
      <c r="AC566" s="223"/>
      <c r="AD566" s="241"/>
      <c r="AE566" s="269"/>
      <c r="AF566" s="258"/>
      <c r="AG566" s="241"/>
      <c r="AH566" s="253"/>
      <c r="AI566" s="254"/>
      <c r="AJ566" s="255"/>
      <c r="AK566" s="242">
        <v>1</v>
      </c>
      <c r="AL566" s="123" t="s">
        <v>459</v>
      </c>
      <c r="AM566" s="123" t="s">
        <v>460</v>
      </c>
      <c r="AN566" s="124"/>
      <c r="AO566" s="245"/>
      <c r="AP566" s="330"/>
      <c r="AQ566" s="116"/>
      <c r="AR566"/>
      <c r="AS566"/>
      <c r="AT566"/>
    </row>
    <row r="567" spans="1:46" ht="39" customHeight="1" x14ac:dyDescent="0.25">
      <c r="A567" s="1468">
        <v>566</v>
      </c>
      <c r="B567" s="119">
        <v>16</v>
      </c>
      <c r="C567" s="341" t="s">
        <v>268</v>
      </c>
      <c r="D567" s="282"/>
      <c r="E567" s="338" t="s">
        <v>47</v>
      </c>
      <c r="F567" s="282"/>
      <c r="G567" s="339" t="s">
        <v>269</v>
      </c>
      <c r="H567" s="340" t="s">
        <v>92</v>
      </c>
      <c r="I567" s="340"/>
      <c r="J567" s="245">
        <v>204</v>
      </c>
      <c r="K567" s="216" t="s">
        <v>50</v>
      </c>
      <c r="L567" s="281" t="s">
        <v>959</v>
      </c>
      <c r="M567" s="281" t="s">
        <v>959</v>
      </c>
      <c r="N567" s="281"/>
      <c r="O567" s="216" t="s">
        <v>960</v>
      </c>
      <c r="P567" s="247"/>
      <c r="Q567" s="687" t="s">
        <v>78</v>
      </c>
      <c r="R567" s="259" t="s">
        <v>961</v>
      </c>
      <c r="S567" s="279">
        <v>30440</v>
      </c>
      <c r="T567" s="197"/>
      <c r="U567" s="250"/>
      <c r="V567" s="197"/>
      <c r="W567" s="250" t="s">
        <v>3478</v>
      </c>
      <c r="X567" s="197"/>
      <c r="Y567" s="197"/>
      <c r="Z567" s="246"/>
      <c r="AA567" s="219"/>
      <c r="AB567" s="281"/>
      <c r="AC567" s="223" t="s">
        <v>946</v>
      </c>
      <c r="AD567" s="281"/>
      <c r="AE567" s="258">
        <v>42964</v>
      </c>
      <c r="AF567" s="258">
        <v>44789</v>
      </c>
      <c r="AG567" s="241" t="s">
        <v>61</v>
      </c>
      <c r="AH567" s="283"/>
      <c r="AI567" s="296"/>
      <c r="AJ567" s="255" t="s">
        <v>62</v>
      </c>
      <c r="AK567" s="242">
        <v>1</v>
      </c>
      <c r="AL567" s="123" t="s">
        <v>459</v>
      </c>
      <c r="AM567" s="123" t="s">
        <v>460</v>
      </c>
      <c r="AN567" s="124"/>
      <c r="AO567" s="124"/>
      <c r="AP567" s="115"/>
      <c r="AQ567" s="115"/>
      <c r="AR567" s="115"/>
      <c r="AS567" s="115"/>
      <c r="AT567" s="115"/>
    </row>
    <row r="568" spans="1:46" ht="39" customHeight="1" x14ac:dyDescent="0.25">
      <c r="A568" s="1468">
        <v>567</v>
      </c>
      <c r="B568" s="119">
        <v>16</v>
      </c>
      <c r="C568" s="781" t="s">
        <v>270</v>
      </c>
      <c r="D568" s="481"/>
      <c r="E568" s="700" t="s">
        <v>47</v>
      </c>
      <c r="F568" s="481"/>
      <c r="G568" s="782" t="s">
        <v>271</v>
      </c>
      <c r="H568" s="783" t="s">
        <v>92</v>
      </c>
      <c r="I568" s="783"/>
      <c r="J568" s="264">
        <v>204</v>
      </c>
      <c r="K568" s="265" t="s">
        <v>941</v>
      </c>
      <c r="L568" s="438" t="s">
        <v>942</v>
      </c>
      <c r="M568" s="438" t="s">
        <v>942</v>
      </c>
      <c r="N568" s="264"/>
      <c r="O568" s="265" t="s">
        <v>943</v>
      </c>
      <c r="P568" s="266"/>
      <c r="Q568" s="700" t="s">
        <v>92</v>
      </c>
      <c r="R568" s="1165" t="s">
        <v>944</v>
      </c>
      <c r="S568" s="279">
        <v>32878</v>
      </c>
      <c r="T568" s="414" t="s">
        <v>945</v>
      </c>
      <c r="U568" s="251" t="s">
        <v>54</v>
      </c>
      <c r="V568" s="268" t="s">
        <v>1410</v>
      </c>
      <c r="W568" s="268" t="s">
        <v>56</v>
      </c>
      <c r="X568" s="268" t="s">
        <v>57</v>
      </c>
      <c r="Y568" s="268" t="s">
        <v>1409</v>
      </c>
      <c r="Z568" s="405">
        <v>45091</v>
      </c>
      <c r="AA568" s="395"/>
      <c r="AB568" s="264"/>
      <c r="AC568" s="474" t="s">
        <v>946</v>
      </c>
      <c r="AD568" s="438" t="s">
        <v>128</v>
      </c>
      <c r="AE568" s="395"/>
      <c r="AF568" s="395">
        <v>45457</v>
      </c>
      <c r="AG568" s="471" t="s">
        <v>61</v>
      </c>
      <c r="AH568" s="585"/>
      <c r="AI568" s="586"/>
      <c r="AJ568" s="587" t="s">
        <v>62</v>
      </c>
      <c r="AK568" s="582">
        <v>1</v>
      </c>
      <c r="AL568" s="176" t="s">
        <v>459</v>
      </c>
      <c r="AM568" s="176" t="s">
        <v>460</v>
      </c>
      <c r="AN568" s="124"/>
      <c r="AO568" s="877"/>
      <c r="AP568" s="115"/>
      <c r="AQ568" s="115"/>
      <c r="AR568" s="115"/>
      <c r="AS568" s="115"/>
      <c r="AT568" s="115"/>
    </row>
    <row r="569" spans="1:46" ht="39" customHeight="1" x14ac:dyDescent="0.25">
      <c r="A569" s="1468">
        <v>568</v>
      </c>
      <c r="B569" s="987"/>
      <c r="C569" s="989"/>
      <c r="D569" s="664"/>
      <c r="E569" s="664"/>
      <c r="F569" s="664"/>
      <c r="G569" s="227"/>
      <c r="H569" s="228"/>
      <c r="I569" s="228"/>
      <c r="J569" s="229"/>
      <c r="K569" s="227"/>
      <c r="L569" s="229"/>
      <c r="M569" s="229"/>
      <c r="N569" s="229"/>
      <c r="O569" s="309"/>
      <c r="P569" s="230" t="s">
        <v>88</v>
      </c>
      <c r="Q569" s="664"/>
      <c r="R569" s="324"/>
      <c r="S569" s="279"/>
      <c r="T569" s="232"/>
      <c r="U569" s="250"/>
      <c r="V569" s="232"/>
      <c r="W569" s="232"/>
      <c r="X569" s="232"/>
      <c r="Y569" s="232"/>
      <c r="Z569" s="233"/>
      <c r="AA569" s="234"/>
      <c r="AB569" s="235"/>
      <c r="AC569" s="236"/>
      <c r="AD569" s="235"/>
      <c r="AE569" s="237"/>
      <c r="AF569" s="233"/>
      <c r="AG569" s="664"/>
      <c r="AH569" s="238"/>
      <c r="AI569" s="239"/>
      <c r="AJ569" s="238"/>
      <c r="AK569" s="664"/>
      <c r="AL569" s="134"/>
      <c r="AM569" s="134"/>
      <c r="AN569" s="113"/>
      <c r="AO569" s="114"/>
      <c r="AP569" s="115"/>
      <c r="AQ569" s="115"/>
      <c r="AR569" s="115"/>
      <c r="AS569" s="115"/>
      <c r="AT569" s="116"/>
    </row>
    <row r="570" spans="1:46" ht="39" customHeight="1" x14ac:dyDescent="0.25">
      <c r="A570" s="1468">
        <v>569</v>
      </c>
      <c r="B570" s="119">
        <v>16</v>
      </c>
      <c r="C570" s="784" t="s">
        <v>272</v>
      </c>
      <c r="D570" s="487"/>
      <c r="E570" s="728" t="s">
        <v>47</v>
      </c>
      <c r="F570" s="487"/>
      <c r="G570" s="730" t="s">
        <v>91</v>
      </c>
      <c r="H570" s="733" t="s">
        <v>92</v>
      </c>
      <c r="I570" s="733"/>
      <c r="J570" s="276">
        <v>204</v>
      </c>
      <c r="K570" s="197" t="s">
        <v>50</v>
      </c>
      <c r="L570" s="281"/>
      <c r="M570" s="281"/>
      <c r="N570" s="245"/>
      <c r="O570" s="216" t="s">
        <v>3342</v>
      </c>
      <c r="P570" s="706" t="s">
        <v>1411</v>
      </c>
      <c r="Q570" s="338" t="s">
        <v>83</v>
      </c>
      <c r="R570" s="1165" t="s">
        <v>3341</v>
      </c>
      <c r="S570" s="279">
        <v>28196</v>
      </c>
      <c r="T570" s="250"/>
      <c r="U570" s="251" t="s">
        <v>54</v>
      </c>
      <c r="V570" s="250" t="s">
        <v>2552</v>
      </c>
      <c r="W570" s="197" t="s">
        <v>56</v>
      </c>
      <c r="X570" s="197" t="s">
        <v>57</v>
      </c>
      <c r="Y570" s="280" t="s">
        <v>2609</v>
      </c>
      <c r="Z570" s="486">
        <v>45151</v>
      </c>
      <c r="AA570" s="246"/>
      <c r="AB570" s="281"/>
      <c r="AC570" s="223"/>
      <c r="AD570" s="281"/>
      <c r="AE570" s="258"/>
      <c r="AF570" s="258"/>
      <c r="AG570" s="241"/>
      <c r="AH570" s="283"/>
      <c r="AI570" s="328"/>
      <c r="AJ570" s="255" t="s">
        <v>62</v>
      </c>
      <c r="AK570" s="442">
        <v>1</v>
      </c>
      <c r="AL570" s="175" t="s">
        <v>459</v>
      </c>
      <c r="AM570" s="175" t="s">
        <v>460</v>
      </c>
      <c r="AN570" s="124"/>
      <c r="AO570" s="798"/>
      <c r="AP570" s="115"/>
      <c r="AQ570" s="115"/>
      <c r="AR570" s="115"/>
      <c r="AS570" s="115"/>
      <c r="AT570" s="115"/>
    </row>
    <row r="571" spans="1:46" ht="39" customHeight="1" x14ac:dyDescent="0.25">
      <c r="A571" s="1468">
        <v>570</v>
      </c>
      <c r="B571" s="128">
        <v>5</v>
      </c>
      <c r="C571" s="1121" t="s">
        <v>461</v>
      </c>
      <c r="D571" s="741"/>
      <c r="E571" s="741">
        <v>0</v>
      </c>
      <c r="F571" s="741"/>
      <c r="G571" s="1122" t="s">
        <v>274</v>
      </c>
      <c r="H571" s="1123" t="s">
        <v>132</v>
      </c>
      <c r="I571" s="1123"/>
      <c r="J571" s="263">
        <v>403</v>
      </c>
      <c r="K571" s="265"/>
      <c r="L571" s="438" t="s">
        <v>2528</v>
      </c>
      <c r="M571" s="438" t="s">
        <v>2528</v>
      </c>
      <c r="N571" s="264"/>
      <c r="O571" s="265"/>
      <c r="P571" s="1124"/>
      <c r="Q571" s="453" t="s">
        <v>85</v>
      </c>
      <c r="R571" s="897" t="s">
        <v>2550</v>
      </c>
      <c r="S571" s="279" t="s">
        <v>4738</v>
      </c>
      <c r="T571" s="414"/>
      <c r="U571" s="251" t="s">
        <v>54</v>
      </c>
      <c r="V571" s="440" t="s">
        <v>2528</v>
      </c>
      <c r="W571" s="414" t="s">
        <v>295</v>
      </c>
      <c r="X571" s="268" t="s">
        <v>475</v>
      </c>
      <c r="Y571" s="1108" t="s">
        <v>2551</v>
      </c>
      <c r="Z571" s="1244">
        <v>45182</v>
      </c>
      <c r="AA571" s="405"/>
      <c r="AB571" s="438"/>
      <c r="AC571" s="474" t="s">
        <v>946</v>
      </c>
      <c r="AD571" s="438"/>
      <c r="AE571" s="395"/>
      <c r="AF571" s="395"/>
      <c r="AG571" s="471"/>
      <c r="AH571" s="585"/>
      <c r="AI571" s="719" t="s">
        <v>1351</v>
      </c>
      <c r="AJ571" s="470" t="s">
        <v>136</v>
      </c>
      <c r="AK571" s="743">
        <v>3</v>
      </c>
      <c r="AL571" s="176" t="s">
        <v>459</v>
      </c>
      <c r="AM571" s="176" t="s">
        <v>460</v>
      </c>
      <c r="AN571" s="130"/>
      <c r="AO571" s="1301"/>
      <c r="AP571" s="115"/>
      <c r="AQ571" s="115"/>
      <c r="AR571" s="115"/>
      <c r="AS571" s="115"/>
      <c r="AT571" s="115"/>
    </row>
    <row r="572" spans="1:46" ht="39" customHeight="1" x14ac:dyDescent="0.25">
      <c r="A572" s="1468">
        <v>571</v>
      </c>
      <c r="B572" s="987"/>
      <c r="C572" s="989"/>
      <c r="D572" s="664"/>
      <c r="E572" s="664"/>
      <c r="F572" s="664"/>
      <c r="G572" s="227"/>
      <c r="H572" s="228"/>
      <c r="I572" s="228"/>
      <c r="J572" s="229"/>
      <c r="K572" s="227"/>
      <c r="L572" s="229"/>
      <c r="M572" s="229"/>
      <c r="N572" s="229"/>
      <c r="O572" s="309"/>
      <c r="P572" s="230" t="s">
        <v>462</v>
      </c>
      <c r="Q572" s="664"/>
      <c r="R572" s="324"/>
      <c r="S572" s="279"/>
      <c r="T572" s="232"/>
      <c r="U572" s="250"/>
      <c r="V572" s="232"/>
      <c r="W572" s="232"/>
      <c r="X572" s="232"/>
      <c r="Y572" s="232"/>
      <c r="Z572" s="233"/>
      <c r="AA572" s="234"/>
      <c r="AB572" s="235"/>
      <c r="AC572" s="236"/>
      <c r="AD572" s="235"/>
      <c r="AE572" s="237"/>
      <c r="AF572" s="233"/>
      <c r="AG572" s="664"/>
      <c r="AH572" s="238"/>
      <c r="AI572" s="239"/>
      <c r="AJ572" s="238"/>
      <c r="AK572" s="664"/>
      <c r="AL572" s="134"/>
      <c r="AM572" s="134"/>
      <c r="AN572" s="113"/>
      <c r="AO572" s="114"/>
      <c r="AP572" s="115"/>
      <c r="AQ572" s="115"/>
      <c r="AR572" s="115"/>
      <c r="AS572" s="115"/>
      <c r="AT572" s="116"/>
    </row>
    <row r="573" spans="1:46" ht="39" customHeight="1" x14ac:dyDescent="0.25">
      <c r="A573" s="1468">
        <v>572</v>
      </c>
      <c r="B573" s="141" t="s">
        <v>276</v>
      </c>
      <c r="C573" s="793" t="s">
        <v>277</v>
      </c>
      <c r="D573" s="442"/>
      <c r="E573" s="442" t="s">
        <v>47</v>
      </c>
      <c r="F573" s="442"/>
      <c r="G573" s="757" t="s">
        <v>91</v>
      </c>
      <c r="H573" s="758" t="s">
        <v>78</v>
      </c>
      <c r="I573" s="733"/>
      <c r="J573" s="276">
        <v>300</v>
      </c>
      <c r="K573" s="280" t="s">
        <v>50</v>
      </c>
      <c r="L573" s="441" t="s">
        <v>1903</v>
      </c>
      <c r="M573" s="441" t="s">
        <v>1903</v>
      </c>
      <c r="N573" s="276"/>
      <c r="O573" s="952" t="s">
        <v>1902</v>
      </c>
      <c r="P573" s="278" t="s">
        <v>1828</v>
      </c>
      <c r="Q573" s="978" t="s">
        <v>78</v>
      </c>
      <c r="R573" s="995" t="s">
        <v>1901</v>
      </c>
      <c r="S573" s="279">
        <v>35237</v>
      </c>
      <c r="T573" s="280"/>
      <c r="U573" s="250"/>
      <c r="V573" s="280"/>
      <c r="W573" s="443" t="s">
        <v>3478</v>
      </c>
      <c r="X573" s="280"/>
      <c r="Y573" s="280"/>
      <c r="Z573" s="486"/>
      <c r="AA573" s="486"/>
      <c r="AB573" s="441"/>
      <c r="AC573" s="488"/>
      <c r="AD573" s="441"/>
      <c r="AE573" s="398"/>
      <c r="AF573" s="398"/>
      <c r="AG573" s="487"/>
      <c r="AH573" s="489"/>
      <c r="AI573" s="721"/>
      <c r="AJ573" s="755" t="s">
        <v>62</v>
      </c>
      <c r="AK573" s="442">
        <v>1</v>
      </c>
      <c r="AL573" s="175" t="s">
        <v>463</v>
      </c>
      <c r="AM573" s="175" t="s">
        <v>460</v>
      </c>
      <c r="AN573" s="124"/>
      <c r="AO573" s="798"/>
      <c r="AP573" s="115"/>
      <c r="AQ573" s="115"/>
      <c r="AR573" s="115"/>
      <c r="AS573" s="115"/>
      <c r="AT573" s="115"/>
    </row>
    <row r="574" spans="1:46" ht="39" customHeight="1" x14ac:dyDescent="0.25">
      <c r="A574" s="1468">
        <v>573</v>
      </c>
      <c r="B574" s="141">
        <v>12</v>
      </c>
      <c r="C574" s="240" t="s">
        <v>279</v>
      </c>
      <c r="D574" s="242"/>
      <c r="E574" s="242" t="s">
        <v>47</v>
      </c>
      <c r="F574" s="242"/>
      <c r="G574" s="243" t="s">
        <v>280</v>
      </c>
      <c r="H574" s="244" t="s">
        <v>83</v>
      </c>
      <c r="I574" s="349"/>
      <c r="J574" s="245">
        <v>302</v>
      </c>
      <c r="K574" s="197" t="s">
        <v>50</v>
      </c>
      <c r="L574" s="216" t="s">
        <v>1815</v>
      </c>
      <c r="M574" s="216" t="s">
        <v>1815</v>
      </c>
      <c r="N574" s="245"/>
      <c r="O574" s="1476" t="s">
        <v>1816</v>
      </c>
      <c r="P574" s="247"/>
      <c r="Q574" s="338" t="s">
        <v>119</v>
      </c>
      <c r="R574" s="990" t="s">
        <v>1817</v>
      </c>
      <c r="S574" s="279">
        <v>36694</v>
      </c>
      <c r="T574" s="250"/>
      <c r="U574" s="250"/>
      <c r="V574" s="197"/>
      <c r="W574" s="250" t="s">
        <v>3478</v>
      </c>
      <c r="X574" s="197"/>
      <c r="Y574" s="981"/>
      <c r="Z574" s="246"/>
      <c r="AA574" s="246"/>
      <c r="AB574" s="282"/>
      <c r="AC574" s="223"/>
      <c r="AD574" s="281"/>
      <c r="AE574" s="258"/>
      <c r="AF574" s="258"/>
      <c r="AG574" s="241"/>
      <c r="AH574" s="283"/>
      <c r="AI574" s="296"/>
      <c r="AJ574" s="255" t="s">
        <v>62</v>
      </c>
      <c r="AK574" s="242">
        <v>1</v>
      </c>
      <c r="AL574" s="123" t="s">
        <v>463</v>
      </c>
      <c r="AM574" s="123" t="s">
        <v>460</v>
      </c>
      <c r="AN574" s="124"/>
      <c r="AO574" s="124"/>
      <c r="AP574" s="115"/>
      <c r="AQ574" s="115"/>
      <c r="AR574" s="115"/>
      <c r="AS574" s="115"/>
      <c r="AT574" s="115"/>
    </row>
    <row r="575" spans="1:46" ht="39" customHeight="1" x14ac:dyDescent="0.25">
      <c r="A575" s="1468">
        <v>574</v>
      </c>
      <c r="B575" s="142">
        <v>9</v>
      </c>
      <c r="C575" s="311" t="s">
        <v>281</v>
      </c>
      <c r="D575" s="241"/>
      <c r="E575" s="312" t="s">
        <v>47</v>
      </c>
      <c r="F575" s="241"/>
      <c r="G575" s="313" t="s">
        <v>282</v>
      </c>
      <c r="H575" s="314" t="s">
        <v>283</v>
      </c>
      <c r="I575" s="350"/>
      <c r="J575" s="281">
        <v>410</v>
      </c>
      <c r="K575" s="216"/>
      <c r="L575" s="281" t="s">
        <v>1839</v>
      </c>
      <c r="M575" s="281" t="s">
        <v>1839</v>
      </c>
      <c r="N575" s="245"/>
      <c r="O575" s="634" t="s">
        <v>1838</v>
      </c>
      <c r="P575" s="287" t="s">
        <v>1828</v>
      </c>
      <c r="Q575" s="353" t="s">
        <v>153</v>
      </c>
      <c r="R575" s="1140" t="s">
        <v>1842</v>
      </c>
      <c r="S575" s="279">
        <v>30604</v>
      </c>
      <c r="T575" s="197"/>
      <c r="U575" s="250"/>
      <c r="V575" s="197"/>
      <c r="W575" s="250" t="s">
        <v>3478</v>
      </c>
      <c r="X575" s="197"/>
      <c r="Y575" s="197"/>
      <c r="Z575" s="246"/>
      <c r="AA575" s="246"/>
      <c r="AB575" s="282"/>
      <c r="AC575" s="223"/>
      <c r="AD575" s="282"/>
      <c r="AE575" s="252"/>
      <c r="AF575" s="252"/>
      <c r="AG575" s="241"/>
      <c r="AH575" s="283"/>
      <c r="AI575" s="296"/>
      <c r="AJ575" s="317" t="s">
        <v>47</v>
      </c>
      <c r="AK575" s="312">
        <v>2</v>
      </c>
      <c r="AL575" s="123" t="s">
        <v>463</v>
      </c>
      <c r="AM575" s="123" t="s">
        <v>460</v>
      </c>
      <c r="AN575" s="133"/>
      <c r="AO575" s="133"/>
      <c r="AP575" s="115"/>
      <c r="AQ575" s="115"/>
      <c r="AR575" s="115"/>
      <c r="AS575" s="115"/>
      <c r="AT575" s="115"/>
    </row>
    <row r="576" spans="1:46" ht="39" customHeight="1" x14ac:dyDescent="0.25">
      <c r="A576" s="1468">
        <v>575</v>
      </c>
      <c r="B576" s="142">
        <v>9</v>
      </c>
      <c r="C576" s="311" t="s">
        <v>284</v>
      </c>
      <c r="D576" s="241"/>
      <c r="E576" s="312" t="s">
        <v>47</v>
      </c>
      <c r="F576" s="241"/>
      <c r="G576" s="313" t="s">
        <v>285</v>
      </c>
      <c r="H576" s="314" t="s">
        <v>283</v>
      </c>
      <c r="I576" s="350"/>
      <c r="J576" s="281">
        <v>410</v>
      </c>
      <c r="K576" s="216"/>
      <c r="L576" s="252" t="s">
        <v>1999</v>
      </c>
      <c r="M576" s="252" t="s">
        <v>1999</v>
      </c>
      <c r="N576" s="245"/>
      <c r="O576" s="392" t="s">
        <v>1998</v>
      </c>
      <c r="P576" s="287" t="s">
        <v>1828</v>
      </c>
      <c r="Q576" s="317" t="s">
        <v>153</v>
      </c>
      <c r="R576" s="1170" t="s">
        <v>1997</v>
      </c>
      <c r="S576" s="279">
        <v>24069</v>
      </c>
      <c r="T576" s="250"/>
      <c r="U576" s="250"/>
      <c r="V576" s="197"/>
      <c r="W576" s="250" t="s">
        <v>3478</v>
      </c>
      <c r="X576" s="197"/>
      <c r="Y576" s="197"/>
      <c r="Z576" s="246"/>
      <c r="AA576" s="252"/>
      <c r="AB576" s="281"/>
      <c r="AC576" s="223"/>
      <c r="AD576" s="281"/>
      <c r="AE576" s="252"/>
      <c r="AF576" s="252"/>
      <c r="AG576" s="241"/>
      <c r="AH576" s="283"/>
      <c r="AI576" s="422"/>
      <c r="AJ576" s="317" t="s">
        <v>47</v>
      </c>
      <c r="AK576" s="312">
        <v>2</v>
      </c>
      <c r="AL576" s="123" t="s">
        <v>463</v>
      </c>
      <c r="AM576" s="123" t="s">
        <v>460</v>
      </c>
      <c r="AN576" s="133"/>
      <c r="AO576" s="133"/>
      <c r="AP576" s="115"/>
      <c r="AQ576" s="115"/>
      <c r="AR576" s="115"/>
      <c r="AS576" s="115"/>
      <c r="AT576" s="115"/>
    </row>
    <row r="577" spans="1:46" ht="39" customHeight="1" x14ac:dyDescent="0.25">
      <c r="A577" s="1468">
        <v>576</v>
      </c>
      <c r="B577" s="142">
        <v>6</v>
      </c>
      <c r="C577" s="311" t="s">
        <v>286</v>
      </c>
      <c r="D577" s="241"/>
      <c r="E577" s="312" t="s">
        <v>47</v>
      </c>
      <c r="F577" s="241"/>
      <c r="G577" s="313" t="s">
        <v>287</v>
      </c>
      <c r="H577" s="323" t="s">
        <v>153</v>
      </c>
      <c r="I577" s="354"/>
      <c r="J577" s="256">
        <v>400</v>
      </c>
      <c r="K577" s="216"/>
      <c r="L577" s="301"/>
      <c r="M577" s="301"/>
      <c r="N577" s="366"/>
      <c r="O577" s="245"/>
      <c r="P577" s="245"/>
      <c r="Q577" s="380"/>
      <c r="R577" s="683" t="s">
        <v>66</v>
      </c>
      <c r="S577" s="279"/>
      <c r="T577" s="197"/>
      <c r="U577" s="250"/>
      <c r="V577" s="245"/>
      <c r="W577" s="250"/>
      <c r="X577" s="197"/>
      <c r="Y577" s="197"/>
      <c r="Z577" s="246"/>
      <c r="AA577" s="252"/>
      <c r="AB577" s="241"/>
      <c r="AC577" s="223"/>
      <c r="AD577" s="257"/>
      <c r="AE577" s="246"/>
      <c r="AF577" s="246"/>
      <c r="AG577" s="301"/>
      <c r="AH577" s="253"/>
      <c r="AI577" s="296"/>
      <c r="AJ577" s="303"/>
      <c r="AK577" s="312">
        <v>2</v>
      </c>
      <c r="AL577" s="123" t="s">
        <v>463</v>
      </c>
      <c r="AM577" s="123" t="s">
        <v>460</v>
      </c>
      <c r="AN577" s="133"/>
      <c r="AO577" s="133"/>
      <c r="AP577" s="115"/>
      <c r="AQ577" s="115"/>
      <c r="AR577" s="115"/>
      <c r="AS577" s="115"/>
      <c r="AT577" s="115"/>
    </row>
    <row r="578" spans="1:46" ht="39" customHeight="1" x14ac:dyDescent="0.25">
      <c r="A578" s="1468">
        <v>577</v>
      </c>
      <c r="B578" s="141">
        <v>5</v>
      </c>
      <c r="C578" s="290" t="s">
        <v>288</v>
      </c>
      <c r="D578" s="291"/>
      <c r="E578" s="291" t="s">
        <v>47</v>
      </c>
      <c r="F578" s="291"/>
      <c r="G578" s="292" t="s">
        <v>289</v>
      </c>
      <c r="H578" s="293" t="s">
        <v>132</v>
      </c>
      <c r="I578" s="344">
        <v>144</v>
      </c>
      <c r="J578" s="256">
        <v>403</v>
      </c>
      <c r="K578" s="288" t="s">
        <v>4571</v>
      </c>
      <c r="L578" s="301" t="s">
        <v>3678</v>
      </c>
      <c r="M578" s="301" t="s">
        <v>3678</v>
      </c>
      <c r="N578" s="281" t="s">
        <v>4217</v>
      </c>
      <c r="O578" s="216" t="s">
        <v>3872</v>
      </c>
      <c r="P578" s="359"/>
      <c r="Q578" s="594" t="s">
        <v>87</v>
      </c>
      <c r="R578" s="683" t="s">
        <v>3871</v>
      </c>
      <c r="S578" s="279">
        <v>37601</v>
      </c>
      <c r="T578" s="250"/>
      <c r="U578" s="251" t="s">
        <v>54</v>
      </c>
      <c r="V578" s="245" t="s">
        <v>5948</v>
      </c>
      <c r="W578" s="250" t="s">
        <v>295</v>
      </c>
      <c r="X578" s="197" t="s">
        <v>475</v>
      </c>
      <c r="Y578" s="981" t="s">
        <v>5950</v>
      </c>
      <c r="Z578" s="246">
        <v>45309</v>
      </c>
      <c r="AA578" s="252"/>
      <c r="AB578" s="288" t="s">
        <v>4316</v>
      </c>
      <c r="AC578" s="223" t="s">
        <v>946</v>
      </c>
      <c r="AD578" s="299" t="s">
        <v>467</v>
      </c>
      <c r="AE578" s="252">
        <v>45076</v>
      </c>
      <c r="AF578" s="252">
        <v>45441</v>
      </c>
      <c r="AG578" s="241"/>
      <c r="AH578" s="283"/>
      <c r="AI578" s="296" t="s">
        <v>1351</v>
      </c>
      <c r="AJ578" s="303" t="s">
        <v>136</v>
      </c>
      <c r="AK578" s="348">
        <v>3</v>
      </c>
      <c r="AL578" s="123" t="s">
        <v>463</v>
      </c>
      <c r="AM578" s="123" t="s">
        <v>460</v>
      </c>
      <c r="AN578" s="130"/>
      <c r="AO578" s="130"/>
      <c r="AP578" s="115"/>
      <c r="AQ578" s="115"/>
      <c r="AR578" s="115"/>
      <c r="AS578" s="115"/>
      <c r="AT578" s="115"/>
    </row>
    <row r="579" spans="1:46" ht="39" customHeight="1" x14ac:dyDescent="0.25">
      <c r="A579" s="1468">
        <v>578</v>
      </c>
      <c r="B579" s="141">
        <v>3</v>
      </c>
      <c r="C579" s="356" t="s">
        <v>290</v>
      </c>
      <c r="D579" s="241" t="s">
        <v>134</v>
      </c>
      <c r="E579" s="241"/>
      <c r="F579" s="241"/>
      <c r="G579" s="261" t="s">
        <v>291</v>
      </c>
      <c r="H579" s="262" t="s">
        <v>87</v>
      </c>
      <c r="I579" s="357"/>
      <c r="J579" s="245" t="s">
        <v>561</v>
      </c>
      <c r="K579" s="288" t="s">
        <v>158</v>
      </c>
      <c r="L579" s="288" t="s">
        <v>3678</v>
      </c>
      <c r="M579" s="288" t="s">
        <v>3678</v>
      </c>
      <c r="N579" s="281" t="s">
        <v>4217</v>
      </c>
      <c r="O579" s="392" t="s">
        <v>3702</v>
      </c>
      <c r="P579" s="374"/>
      <c r="Q579" s="301" t="s">
        <v>87</v>
      </c>
      <c r="R579" s="683" t="s">
        <v>3701</v>
      </c>
      <c r="S579" s="279">
        <v>37720</v>
      </c>
      <c r="T579" s="299"/>
      <c r="U579" s="251" t="s">
        <v>54</v>
      </c>
      <c r="V579" s="245" t="s">
        <v>3904</v>
      </c>
      <c r="W579" s="250" t="s">
        <v>295</v>
      </c>
      <c r="X579" s="197" t="s">
        <v>475</v>
      </c>
      <c r="Y579" s="245" t="s">
        <v>3975</v>
      </c>
      <c r="Z579" s="246">
        <v>45224</v>
      </c>
      <c r="AA579" s="246"/>
      <c r="AB579" s="288" t="s">
        <v>4298</v>
      </c>
      <c r="AC579" s="223" t="s">
        <v>946</v>
      </c>
      <c r="AD579" s="299" t="s">
        <v>467</v>
      </c>
      <c r="AE579" s="252">
        <v>45112</v>
      </c>
      <c r="AF579" s="252">
        <v>45477</v>
      </c>
      <c r="AG579" s="392"/>
      <c r="AH579" s="283"/>
      <c r="AI579" s="254" t="s">
        <v>1351</v>
      </c>
      <c r="AJ579" s="303" t="s">
        <v>136</v>
      </c>
      <c r="AK579" s="241">
        <v>4</v>
      </c>
      <c r="AL579" s="123" t="s">
        <v>463</v>
      </c>
      <c r="AM579" s="123" t="s">
        <v>460</v>
      </c>
      <c r="AN579" s="110" t="s">
        <v>4184</v>
      </c>
      <c r="AO579" s="110"/>
      <c r="AP579" s="115"/>
      <c r="AQ579" s="115"/>
      <c r="AR579" s="115"/>
      <c r="AS579" s="115"/>
      <c r="AT579" s="115"/>
    </row>
    <row r="580" spans="1:46" ht="39" customHeight="1" x14ac:dyDescent="0.25">
      <c r="A580" s="1468">
        <v>579</v>
      </c>
      <c r="B580" s="141">
        <v>3</v>
      </c>
      <c r="C580" s="358" t="s">
        <v>297</v>
      </c>
      <c r="D580" s="241" t="s">
        <v>134</v>
      </c>
      <c r="E580" s="241"/>
      <c r="F580" s="241"/>
      <c r="G580" s="261" t="s">
        <v>298</v>
      </c>
      <c r="H580" s="262" t="s">
        <v>85</v>
      </c>
      <c r="I580" s="357"/>
      <c r="J580" s="245" t="s">
        <v>556</v>
      </c>
      <c r="K580" s="288" t="s">
        <v>158</v>
      </c>
      <c r="L580" s="288" t="s">
        <v>3678</v>
      </c>
      <c r="M580" s="288" t="s">
        <v>3678</v>
      </c>
      <c r="N580" s="281" t="s">
        <v>4217</v>
      </c>
      <c r="O580" s="392" t="s">
        <v>3704</v>
      </c>
      <c r="P580" s="374"/>
      <c r="Q580" s="301" t="s">
        <v>87</v>
      </c>
      <c r="R580" s="683" t="s">
        <v>3703</v>
      </c>
      <c r="S580" s="279">
        <v>37963</v>
      </c>
      <c r="T580" s="299"/>
      <c r="U580" s="251" t="s">
        <v>54</v>
      </c>
      <c r="V580" s="245" t="s">
        <v>3904</v>
      </c>
      <c r="W580" s="250" t="s">
        <v>295</v>
      </c>
      <c r="X580" s="197" t="s">
        <v>475</v>
      </c>
      <c r="Y580" s="245" t="s">
        <v>3975</v>
      </c>
      <c r="Z580" s="246">
        <v>45224</v>
      </c>
      <c r="AA580" s="246"/>
      <c r="AB580" s="288" t="s">
        <v>4318</v>
      </c>
      <c r="AC580" s="223" t="s">
        <v>946</v>
      </c>
      <c r="AD580" s="299" t="s">
        <v>467</v>
      </c>
      <c r="AE580" s="252">
        <v>45108</v>
      </c>
      <c r="AF580" s="252">
        <v>45473</v>
      </c>
      <c r="AG580" s="392"/>
      <c r="AH580" s="283"/>
      <c r="AI580" s="254" t="s">
        <v>1351</v>
      </c>
      <c r="AJ580" s="303" t="s">
        <v>136</v>
      </c>
      <c r="AK580" s="241">
        <v>4</v>
      </c>
      <c r="AL580" s="123" t="s">
        <v>463</v>
      </c>
      <c r="AM580" s="123" t="s">
        <v>460</v>
      </c>
      <c r="AN580" s="110"/>
      <c r="AO580" s="110"/>
      <c r="AP580" s="115"/>
      <c r="AQ580" s="115"/>
      <c r="AR580" s="115"/>
      <c r="AS580" s="115"/>
      <c r="AT580" s="116"/>
    </row>
    <row r="581" spans="1:46" ht="39" customHeight="1" x14ac:dyDescent="0.25">
      <c r="A581" s="1468">
        <v>580</v>
      </c>
      <c r="B581" s="141">
        <v>2</v>
      </c>
      <c r="C581" s="260" t="s">
        <v>299</v>
      </c>
      <c r="D581" s="241"/>
      <c r="E581" s="241"/>
      <c r="F581" s="241"/>
      <c r="G581" s="261" t="s">
        <v>300</v>
      </c>
      <c r="H581" s="262" t="s">
        <v>87</v>
      </c>
      <c r="I581" s="357"/>
      <c r="J581" s="245" t="s">
        <v>561</v>
      </c>
      <c r="K581" s="197"/>
      <c r="L581" s="281" t="s">
        <v>1676</v>
      </c>
      <c r="M581" s="281" t="s">
        <v>1508</v>
      </c>
      <c r="N581" s="366"/>
      <c r="O581" s="392" t="s">
        <v>3073</v>
      </c>
      <c r="P581"/>
      <c r="Q581" s="380" t="s">
        <v>87</v>
      </c>
      <c r="R581" s="682" t="s">
        <v>1787</v>
      </c>
      <c r="S581" s="279" t="s">
        <v>4739</v>
      </c>
      <c r="T581" s="197"/>
      <c r="U581" s="251" t="s">
        <v>54</v>
      </c>
      <c r="V581" s="245" t="s">
        <v>5948</v>
      </c>
      <c r="W581" s="250" t="s">
        <v>295</v>
      </c>
      <c r="X581" s="197" t="s">
        <v>475</v>
      </c>
      <c r="Y581" s="981" t="s">
        <v>5950</v>
      </c>
      <c r="Z581" s="246">
        <v>45309</v>
      </c>
      <c r="AA581" s="246"/>
      <c r="AB581" s="296" t="s">
        <v>4344</v>
      </c>
      <c r="AC581" s="223" t="s">
        <v>946</v>
      </c>
      <c r="AD581" s="376"/>
      <c r="AE581" s="1111" t="s">
        <v>4345</v>
      </c>
      <c r="AF581" s="252">
        <v>45478</v>
      </c>
      <c r="AG581" s="241"/>
      <c r="AH581" s="283"/>
      <c r="AI581" s="254" t="s">
        <v>1351</v>
      </c>
      <c r="AJ581" s="303" t="s">
        <v>136</v>
      </c>
      <c r="AK581" s="241">
        <v>4</v>
      </c>
      <c r="AL581" s="123" t="s">
        <v>463</v>
      </c>
      <c r="AM581" s="123" t="s">
        <v>460</v>
      </c>
      <c r="AN581" s="110"/>
      <c r="AO581" s="110"/>
      <c r="AP581" s="115"/>
      <c r="AQ581" s="115"/>
      <c r="AR581" s="115"/>
      <c r="AS581" s="115"/>
      <c r="AT581" s="115"/>
    </row>
    <row r="582" spans="1:46" ht="39" customHeight="1" x14ac:dyDescent="0.25">
      <c r="A582" s="1468">
        <v>581</v>
      </c>
      <c r="B582" s="146">
        <v>2</v>
      </c>
      <c r="C582" s="503" t="s">
        <v>86</v>
      </c>
      <c r="D582" s="471"/>
      <c r="E582" s="471"/>
      <c r="F582" s="471"/>
      <c r="G582" s="472" t="s">
        <v>303</v>
      </c>
      <c r="H582" s="1302" t="s">
        <v>87</v>
      </c>
      <c r="I582" s="492"/>
      <c r="J582" s="264" t="s">
        <v>561</v>
      </c>
      <c r="K582" s="216"/>
      <c r="L582" s="281" t="s">
        <v>1676</v>
      </c>
      <c r="M582" s="281" t="s">
        <v>1508</v>
      </c>
      <c r="N582" s="366"/>
      <c r="O582" s="1390" t="s">
        <v>2984</v>
      </c>
      <c r="P582" s="402"/>
      <c r="Q582" s="380" t="s">
        <v>87</v>
      </c>
      <c r="R582" s="1006" t="s">
        <v>1766</v>
      </c>
      <c r="S582" s="279" t="s">
        <v>4742</v>
      </c>
      <c r="T582" s="197"/>
      <c r="U582" s="251" t="s">
        <v>54</v>
      </c>
      <c r="V582" s="245"/>
      <c r="W582" s="250" t="s">
        <v>295</v>
      </c>
      <c r="X582" s="197"/>
      <c r="Y582" s="245"/>
      <c r="Z582" s="246"/>
      <c r="AA582" s="246"/>
      <c r="AB582" s="296" t="s">
        <v>4362</v>
      </c>
      <c r="AC582" s="223" t="s">
        <v>946</v>
      </c>
      <c r="AD582" s="376"/>
      <c r="AE582" s="1111" t="s">
        <v>4345</v>
      </c>
      <c r="AF582" s="252">
        <v>45478</v>
      </c>
      <c r="AG582" s="241"/>
      <c r="AH582" s="283"/>
      <c r="AI582" s="254" t="s">
        <v>1351</v>
      </c>
      <c r="AJ582" s="303" t="s">
        <v>136</v>
      </c>
      <c r="AK582" s="471">
        <v>4</v>
      </c>
      <c r="AL582" s="176" t="s">
        <v>463</v>
      </c>
      <c r="AM582" s="176" t="s">
        <v>460</v>
      </c>
      <c r="AN582" s="110"/>
      <c r="AO582" s="179"/>
      <c r="AP582" s="115"/>
      <c r="AQ582" s="115"/>
      <c r="AR582" s="115"/>
      <c r="AS582" s="115"/>
      <c r="AT582" s="115"/>
    </row>
    <row r="583" spans="1:46" ht="39" customHeight="1" x14ac:dyDescent="0.25">
      <c r="A583" s="1468">
        <v>582</v>
      </c>
      <c r="B583" s="987"/>
      <c r="C583" s="989"/>
      <c r="D583" s="664"/>
      <c r="E583" s="664"/>
      <c r="F583" s="664"/>
      <c r="G583" s="227"/>
      <c r="H583" s="228"/>
      <c r="I583" s="228"/>
      <c r="J583" s="229"/>
      <c r="K583" s="227"/>
      <c r="L583" s="229"/>
      <c r="M583" s="229"/>
      <c r="N583" s="229"/>
      <c r="O583" s="309"/>
      <c r="P583" s="230" t="s">
        <v>304</v>
      </c>
      <c r="Q583" s="664"/>
      <c r="R583" s="324"/>
      <c r="S583" s="279"/>
      <c r="T583" s="232"/>
      <c r="U583" s="250"/>
      <c r="V583" s="232"/>
      <c r="W583" s="232"/>
      <c r="X583" s="232"/>
      <c r="Y583" s="232"/>
      <c r="Z583" s="233"/>
      <c r="AA583" s="234"/>
      <c r="AB583" s="235"/>
      <c r="AC583" s="236"/>
      <c r="AD583" s="235"/>
      <c r="AE583" s="237"/>
      <c r="AF583" s="233"/>
      <c r="AG583" s="664"/>
      <c r="AH583" s="238"/>
      <c r="AI583" s="239"/>
      <c r="AJ583" s="576"/>
      <c r="AK583" s="664"/>
      <c r="AL583" s="113"/>
      <c r="AM583" s="113"/>
      <c r="AN583" s="113"/>
      <c r="AO583" s="114"/>
      <c r="AP583" s="115"/>
      <c r="AQ583" s="115"/>
      <c r="AR583" s="115"/>
      <c r="AS583" s="115"/>
      <c r="AT583" s="116"/>
    </row>
    <row r="584" spans="1:46" ht="39" customHeight="1" x14ac:dyDescent="0.3">
      <c r="A584" s="1468">
        <v>583</v>
      </c>
      <c r="B584" s="141">
        <v>10</v>
      </c>
      <c r="C584" s="804" t="s">
        <v>305</v>
      </c>
      <c r="D584" s="806"/>
      <c r="E584" s="806" t="s">
        <v>47</v>
      </c>
      <c r="F584" s="806"/>
      <c r="G584" s="807" t="s">
        <v>91</v>
      </c>
      <c r="H584" s="808" t="s">
        <v>83</v>
      </c>
      <c r="I584" s="839"/>
      <c r="J584" s="809">
        <v>302</v>
      </c>
      <c r="K584" s="816"/>
      <c r="L584" s="554" t="s">
        <v>4640</v>
      </c>
      <c r="M584" s="554" t="s">
        <v>4640</v>
      </c>
      <c r="N584" s="554"/>
      <c r="O584" s="644" t="s">
        <v>3196</v>
      </c>
      <c r="P584" s="976"/>
      <c r="Q584" s="744" t="s">
        <v>2053</v>
      </c>
      <c r="R584" s="1007" t="s">
        <v>1914</v>
      </c>
      <c r="S584" s="279">
        <v>31854</v>
      </c>
      <c r="T584" s="840"/>
      <c r="U584" s="197"/>
      <c r="V584" s="819"/>
      <c r="W584" s="840" t="s">
        <v>3478</v>
      </c>
      <c r="X584" s="819"/>
      <c r="Y584" s="1126"/>
      <c r="Z584" s="841"/>
      <c r="AA584" s="841"/>
      <c r="AB584" s="551"/>
      <c r="AC584" s="822"/>
      <c r="AD584" s="551"/>
      <c r="AE584" s="881"/>
      <c r="AF584" s="881"/>
      <c r="AG584" s="805"/>
      <c r="AH584" s="551"/>
      <c r="AI584" s="1303"/>
      <c r="AJ584" s="824" t="s">
        <v>62</v>
      </c>
      <c r="AK584" s="806">
        <v>1</v>
      </c>
      <c r="AL584" s="810" t="s">
        <v>463</v>
      </c>
      <c r="AM584" s="810" t="s">
        <v>460</v>
      </c>
      <c r="AN584" s="124"/>
      <c r="AO584" s="1304"/>
      <c r="AP584" s="115"/>
      <c r="AQ584" s="115"/>
      <c r="AR584" s="115"/>
      <c r="AS584" s="115"/>
      <c r="AT584" s="115"/>
    </row>
    <row r="585" spans="1:46" ht="39" customHeight="1" x14ac:dyDescent="0.25">
      <c r="A585" s="1468">
        <v>584</v>
      </c>
      <c r="B585" s="987"/>
      <c r="C585" s="989"/>
      <c r="D585" s="664"/>
      <c r="E585" s="664"/>
      <c r="F585" s="664"/>
      <c r="G585" s="227"/>
      <c r="H585" s="228"/>
      <c r="I585" s="228"/>
      <c r="J585" s="229"/>
      <c r="K585" s="227"/>
      <c r="L585" s="229"/>
      <c r="M585" s="229"/>
      <c r="N585" s="229"/>
      <c r="O585" s="309"/>
      <c r="P585" s="230" t="s">
        <v>306</v>
      </c>
      <c r="Q585" s="664"/>
      <c r="R585" s="324"/>
      <c r="S585" s="279"/>
      <c r="T585" s="232"/>
      <c r="U585" s="250"/>
      <c r="V585" s="232"/>
      <c r="W585" s="232"/>
      <c r="X585" s="232"/>
      <c r="Y585" s="232"/>
      <c r="Z585" s="233"/>
      <c r="AA585" s="234"/>
      <c r="AB585" s="235"/>
      <c r="AC585" s="236"/>
      <c r="AD585" s="235"/>
      <c r="AE585" s="237"/>
      <c r="AF585" s="233"/>
      <c r="AG585" s="664"/>
      <c r="AH585" s="238"/>
      <c r="AI585" s="239"/>
      <c r="AJ585" s="576"/>
      <c r="AK585" s="664"/>
      <c r="AL585" s="113"/>
      <c r="AM585" s="113"/>
      <c r="AN585" s="113"/>
      <c r="AO585" s="114"/>
      <c r="AP585" s="115"/>
      <c r="AQ585" s="115"/>
      <c r="AR585" s="115"/>
      <c r="AS585" s="115"/>
      <c r="AT585" s="116"/>
    </row>
    <row r="586" spans="1:46" ht="39" customHeight="1" x14ac:dyDescent="0.25">
      <c r="A586" s="1468">
        <v>585</v>
      </c>
      <c r="B586" s="146">
        <v>7</v>
      </c>
      <c r="C586" s="497" t="s">
        <v>307</v>
      </c>
      <c r="D586" s="498"/>
      <c r="E586" s="498" t="s">
        <v>47</v>
      </c>
      <c r="F586" s="498"/>
      <c r="G586" s="499" t="s">
        <v>308</v>
      </c>
      <c r="H586" s="896" t="s">
        <v>132</v>
      </c>
      <c r="I586" s="371" t="s">
        <v>309</v>
      </c>
      <c r="J586" s="734">
        <v>403</v>
      </c>
      <c r="K586" s="756" t="s">
        <v>158</v>
      </c>
      <c r="L586" s="397" t="s">
        <v>3678</v>
      </c>
      <c r="M586" s="397" t="s">
        <v>3678</v>
      </c>
      <c r="N586" s="441" t="s">
        <v>4217</v>
      </c>
      <c r="O586" s="276" t="s">
        <v>3866</v>
      </c>
      <c r="P586" s="276"/>
      <c r="Q586" s="1305" t="s">
        <v>87</v>
      </c>
      <c r="R586" s="1306" t="s">
        <v>3865</v>
      </c>
      <c r="S586" s="279">
        <v>38039</v>
      </c>
      <c r="T586" s="280"/>
      <c r="U586" s="251" t="s">
        <v>54</v>
      </c>
      <c r="V586" s="276"/>
      <c r="W586" s="443" t="s">
        <v>295</v>
      </c>
      <c r="X586" s="280"/>
      <c r="Y586" s="280"/>
      <c r="Z586" s="486"/>
      <c r="AA586" s="398"/>
      <c r="AB586" s="756" t="s">
        <v>4297</v>
      </c>
      <c r="AC586" s="488" t="s">
        <v>4221</v>
      </c>
      <c r="AD586" s="412" t="s">
        <v>467</v>
      </c>
      <c r="AE586" s="398">
        <v>45096</v>
      </c>
      <c r="AF586" s="398">
        <v>45461</v>
      </c>
      <c r="AG586" s="397"/>
      <c r="AH586" s="871"/>
      <c r="AI586" s="721" t="s">
        <v>1351</v>
      </c>
      <c r="AJ586" s="507" t="s">
        <v>136</v>
      </c>
      <c r="AK586" s="491">
        <v>3</v>
      </c>
      <c r="AL586" s="175" t="s">
        <v>463</v>
      </c>
      <c r="AM586" s="175" t="s">
        <v>460</v>
      </c>
      <c r="AN586" s="130"/>
      <c r="AO586" s="177"/>
      <c r="AP586" s="115"/>
      <c r="AQ586" s="115"/>
      <c r="AR586" s="115"/>
      <c r="AS586" s="115"/>
      <c r="AT586" s="115"/>
    </row>
    <row r="587" spans="1:46" ht="39" customHeight="1" x14ac:dyDescent="0.25">
      <c r="A587" s="1468">
        <v>586</v>
      </c>
      <c r="B587" s="141">
        <v>3</v>
      </c>
      <c r="C587" s="356" t="s">
        <v>290</v>
      </c>
      <c r="D587" s="241" t="s">
        <v>134</v>
      </c>
      <c r="E587" s="241"/>
      <c r="F587" s="241"/>
      <c r="G587" s="261" t="s">
        <v>291</v>
      </c>
      <c r="H587" s="262" t="s">
        <v>85</v>
      </c>
      <c r="I587" s="371"/>
      <c r="J587" s="245" t="s">
        <v>556</v>
      </c>
      <c r="K587" s="288" t="s">
        <v>158</v>
      </c>
      <c r="L587" s="288" t="s">
        <v>3678</v>
      </c>
      <c r="M587" s="288" t="s">
        <v>3678</v>
      </c>
      <c r="N587" s="281" t="s">
        <v>4217</v>
      </c>
      <c r="O587" s="392" t="s">
        <v>3706</v>
      </c>
      <c r="P587" s="300"/>
      <c r="Q587" s="301" t="s">
        <v>87</v>
      </c>
      <c r="R587" s="1188" t="s">
        <v>3705</v>
      </c>
      <c r="S587" s="279">
        <v>37752</v>
      </c>
      <c r="T587" s="289"/>
      <c r="U587" s="251" t="s">
        <v>54</v>
      </c>
      <c r="V587" s="245" t="s">
        <v>3904</v>
      </c>
      <c r="W587" s="250" t="s">
        <v>295</v>
      </c>
      <c r="X587" s="197" t="s">
        <v>475</v>
      </c>
      <c r="Y587" s="245" t="s">
        <v>3975</v>
      </c>
      <c r="Z587" s="246">
        <v>45224</v>
      </c>
      <c r="AA587" s="246"/>
      <c r="AB587" s="288" t="s">
        <v>4307</v>
      </c>
      <c r="AC587" s="223" t="s">
        <v>946</v>
      </c>
      <c r="AD587" s="299" t="s">
        <v>467</v>
      </c>
      <c r="AE587" s="252">
        <v>45111</v>
      </c>
      <c r="AF587" s="252">
        <v>45476</v>
      </c>
      <c r="AG587" s="392"/>
      <c r="AH587" s="283"/>
      <c r="AI587" s="296" t="s">
        <v>1351</v>
      </c>
      <c r="AJ587" s="303" t="s">
        <v>136</v>
      </c>
      <c r="AK587" s="241">
        <v>4</v>
      </c>
      <c r="AL587" s="123" t="s">
        <v>463</v>
      </c>
      <c r="AM587" s="123" t="s">
        <v>460</v>
      </c>
      <c r="AN587" s="110" t="s">
        <v>4184</v>
      </c>
      <c r="AO587" s="130"/>
      <c r="AP587" s="115"/>
      <c r="AQ587" s="115"/>
      <c r="AR587" s="115"/>
      <c r="AS587" s="115"/>
      <c r="AT587" s="115"/>
    </row>
    <row r="588" spans="1:46" ht="39" customHeight="1" x14ac:dyDescent="0.25">
      <c r="A588" s="1468">
        <v>587</v>
      </c>
      <c r="B588" s="141">
        <v>3</v>
      </c>
      <c r="C588" s="358" t="s">
        <v>297</v>
      </c>
      <c r="D588" s="241" t="s">
        <v>134</v>
      </c>
      <c r="E588" s="241"/>
      <c r="F588" s="241"/>
      <c r="G588" s="261" t="s">
        <v>298</v>
      </c>
      <c r="H588" s="262" t="s">
        <v>85</v>
      </c>
      <c r="I588" s="371"/>
      <c r="J588" s="245" t="s">
        <v>556</v>
      </c>
      <c r="K588" s="288" t="s">
        <v>158</v>
      </c>
      <c r="L588" s="288" t="s">
        <v>3678</v>
      </c>
      <c r="M588" s="288" t="s">
        <v>3678</v>
      </c>
      <c r="N588" s="281" t="s">
        <v>4217</v>
      </c>
      <c r="O588" s="392" t="s">
        <v>3708</v>
      </c>
      <c r="P588" s="374"/>
      <c r="Q588" s="301" t="s">
        <v>87</v>
      </c>
      <c r="R588" s="1188" t="s">
        <v>3707</v>
      </c>
      <c r="S588" s="279">
        <v>37769</v>
      </c>
      <c r="T588" s="197"/>
      <c r="U588" s="251" t="s">
        <v>54</v>
      </c>
      <c r="V588" s="245" t="s">
        <v>3904</v>
      </c>
      <c r="W588" s="250" t="s">
        <v>295</v>
      </c>
      <c r="X588" s="197" t="s">
        <v>475</v>
      </c>
      <c r="Y588" s="245" t="s">
        <v>3975</v>
      </c>
      <c r="Z588" s="246">
        <v>45224</v>
      </c>
      <c r="AA588" s="246"/>
      <c r="AB588" s="288" t="s">
        <v>4296</v>
      </c>
      <c r="AC588" s="223" t="s">
        <v>946</v>
      </c>
      <c r="AD588" s="299" t="s">
        <v>467</v>
      </c>
      <c r="AE588" s="252">
        <v>45104</v>
      </c>
      <c r="AF588" s="252">
        <v>45469</v>
      </c>
      <c r="AG588" s="392"/>
      <c r="AH588" s="283"/>
      <c r="AI588" s="296" t="s">
        <v>1351</v>
      </c>
      <c r="AJ588" s="303" t="s">
        <v>136</v>
      </c>
      <c r="AK588" s="241">
        <v>4</v>
      </c>
      <c r="AL588" s="123" t="s">
        <v>463</v>
      </c>
      <c r="AM588" s="123" t="s">
        <v>460</v>
      </c>
      <c r="AN588" s="130"/>
      <c r="AO588" s="130"/>
      <c r="AP588" s="115"/>
      <c r="AQ588" s="115"/>
      <c r="AR588" s="115"/>
      <c r="AS588" s="115"/>
      <c r="AT588" s="116"/>
    </row>
    <row r="589" spans="1:46" ht="39" customHeight="1" x14ac:dyDescent="0.3">
      <c r="A589" s="1468">
        <v>588</v>
      </c>
      <c r="B589" s="141">
        <v>2</v>
      </c>
      <c r="C589" s="260" t="s">
        <v>311</v>
      </c>
      <c r="D589" s="241"/>
      <c r="E589" s="241"/>
      <c r="F589" s="241"/>
      <c r="G589" s="261" t="s">
        <v>312</v>
      </c>
      <c r="H589" s="262" t="s">
        <v>85</v>
      </c>
      <c r="I589" s="371"/>
      <c r="J589" s="245" t="s">
        <v>556</v>
      </c>
      <c r="K589" s="257"/>
      <c r="L589" s="301" t="s">
        <v>1678</v>
      </c>
      <c r="M589" s="301" t="s">
        <v>991</v>
      </c>
      <c r="N589" s="299"/>
      <c r="O589" s="392" t="s">
        <v>3150</v>
      </c>
      <c r="P589" s="300"/>
      <c r="Q589" s="197" t="s">
        <v>87</v>
      </c>
      <c r="R589" s="302" t="s">
        <v>1363</v>
      </c>
      <c r="S589" s="279">
        <v>38346</v>
      </c>
      <c r="T589" s="289"/>
      <c r="U589" s="251" t="s">
        <v>54</v>
      </c>
      <c r="V589" s="306" t="s">
        <v>3578</v>
      </c>
      <c r="W589" s="250" t="s">
        <v>295</v>
      </c>
      <c r="X589" s="197" t="s">
        <v>475</v>
      </c>
      <c r="Y589" s="1138" t="s">
        <v>3579</v>
      </c>
      <c r="Z589" s="289">
        <v>45216</v>
      </c>
      <c r="AA589" s="612"/>
      <c r="AB589" s="250" t="s">
        <v>4346</v>
      </c>
      <c r="AC589" s="223" t="s">
        <v>946</v>
      </c>
      <c r="AD589" s="299"/>
      <c r="AE589" s="252">
        <v>45070</v>
      </c>
      <c r="AF589" s="252">
        <v>45435</v>
      </c>
      <c r="AG589" s="299"/>
      <c r="AH589" s="299"/>
      <c r="AI589" s="254" t="s">
        <v>1351</v>
      </c>
      <c r="AJ589" s="303" t="s">
        <v>136</v>
      </c>
      <c r="AK589" s="241">
        <v>4</v>
      </c>
      <c r="AL589" s="123" t="s">
        <v>463</v>
      </c>
      <c r="AM589" s="123" t="s">
        <v>460</v>
      </c>
      <c r="AN589" s="130"/>
      <c r="AO589" s="130"/>
      <c r="AP589" s="115"/>
      <c r="AQ589" s="115"/>
      <c r="AR589" s="115"/>
      <c r="AS589" s="115"/>
      <c r="AT589" s="116"/>
    </row>
    <row r="590" spans="1:46" ht="39" customHeight="1" x14ac:dyDescent="0.25">
      <c r="A590" s="1468">
        <v>589</v>
      </c>
      <c r="B590" s="141">
        <v>2</v>
      </c>
      <c r="C590" s="260" t="s">
        <v>317</v>
      </c>
      <c r="D590" s="241"/>
      <c r="E590" s="241"/>
      <c r="F590" s="241"/>
      <c r="G590" s="261" t="s">
        <v>318</v>
      </c>
      <c r="H590" s="262" t="s">
        <v>87</v>
      </c>
      <c r="I590" s="371"/>
      <c r="J590" s="245" t="s">
        <v>561</v>
      </c>
      <c r="K590" s="250" t="s">
        <v>5056</v>
      </c>
      <c r="L590" s="299" t="s">
        <v>5027</v>
      </c>
      <c r="M590" s="299" t="s">
        <v>5027</v>
      </c>
      <c r="N590" s="245"/>
      <c r="O590" s="570" t="s">
        <v>5038</v>
      </c>
      <c r="P590" s="627"/>
      <c r="Q590" s="197" t="s">
        <v>87</v>
      </c>
      <c r="R590" s="381" t="s">
        <v>5037</v>
      </c>
      <c r="S590" s="279">
        <v>38439</v>
      </c>
      <c r="T590" s="289"/>
      <c r="U590" s="251" t="s">
        <v>54</v>
      </c>
      <c r="V590" s="197" t="s">
        <v>5027</v>
      </c>
      <c r="W590" s="197" t="s">
        <v>3478</v>
      </c>
      <c r="X590" s="197"/>
      <c r="Y590" s="197" t="s">
        <v>5057</v>
      </c>
      <c r="Z590" s="246">
        <v>45252</v>
      </c>
      <c r="AA590" s="245"/>
      <c r="AB590" s="296" t="s">
        <v>5039</v>
      </c>
      <c r="AC590" s="223" t="s">
        <v>946</v>
      </c>
      <c r="AD590" s="299" t="s">
        <v>467</v>
      </c>
      <c r="AE590" s="494">
        <v>45251</v>
      </c>
      <c r="AF590" s="494">
        <v>45616</v>
      </c>
      <c r="AG590" s="241"/>
      <c r="AH590" s="253"/>
      <c r="AI590" s="307" t="s">
        <v>4208</v>
      </c>
      <c r="AJ590" s="303" t="s">
        <v>136</v>
      </c>
      <c r="AK590" s="241">
        <v>4</v>
      </c>
      <c r="AL590" s="123" t="s">
        <v>463</v>
      </c>
      <c r="AM590" s="123" t="s">
        <v>460</v>
      </c>
      <c r="AN590" s="130"/>
      <c r="AO590" s="130"/>
      <c r="AP590" s="115"/>
      <c r="AQ590" s="115"/>
      <c r="AR590" s="115"/>
      <c r="AS590" s="115"/>
      <c r="AT590" s="115"/>
    </row>
    <row r="591" spans="1:46" ht="39" customHeight="1" x14ac:dyDescent="0.25">
      <c r="A591" s="1468">
        <v>590</v>
      </c>
      <c r="B591" s="146">
        <v>2</v>
      </c>
      <c r="C591" s="260" t="s">
        <v>319</v>
      </c>
      <c r="D591" s="241"/>
      <c r="E591" s="241"/>
      <c r="F591" s="241"/>
      <c r="G591" s="261" t="s">
        <v>320</v>
      </c>
      <c r="H591" s="262" t="s">
        <v>87</v>
      </c>
      <c r="I591" s="357"/>
      <c r="J591" s="245" t="s">
        <v>561</v>
      </c>
      <c r="K591" s="216" t="s">
        <v>313</v>
      </c>
      <c r="L591" s="299" t="s">
        <v>5058</v>
      </c>
      <c r="M591" s="299" t="s">
        <v>5058</v>
      </c>
      <c r="N591" s="366"/>
      <c r="O591" s="570" t="s">
        <v>5074</v>
      </c>
      <c r="P591" s="627"/>
      <c r="Q591" s="241" t="s">
        <v>87</v>
      </c>
      <c r="R591" s="381" t="s">
        <v>5073</v>
      </c>
      <c r="S591" s="279">
        <v>38305</v>
      </c>
      <c r="T591" s="197"/>
      <c r="U591" s="251" t="s">
        <v>54</v>
      </c>
      <c r="V591" s="299" t="s">
        <v>5058</v>
      </c>
      <c r="W591" s="250" t="s">
        <v>295</v>
      </c>
      <c r="X591" s="197"/>
      <c r="Y591" s="245"/>
      <c r="Z591" s="246">
        <v>45253</v>
      </c>
      <c r="AA591" s="246"/>
      <c r="AB591" s="296" t="s">
        <v>5075</v>
      </c>
      <c r="AC591" s="223" t="s">
        <v>4227</v>
      </c>
      <c r="AD591" s="245" t="s">
        <v>467</v>
      </c>
      <c r="AE591" s="494">
        <v>45251</v>
      </c>
      <c r="AF591" s="494">
        <v>45616</v>
      </c>
      <c r="AG591" s="241"/>
      <c r="AH591" s="283"/>
      <c r="AI591" s="254" t="s">
        <v>4208</v>
      </c>
      <c r="AJ591" s="303" t="s">
        <v>136</v>
      </c>
      <c r="AK591" s="241">
        <v>4</v>
      </c>
      <c r="AL591" s="123" t="s">
        <v>463</v>
      </c>
      <c r="AM591" s="123" t="s">
        <v>460</v>
      </c>
      <c r="AN591" s="110"/>
      <c r="AO591" s="110"/>
      <c r="AP591" s="115"/>
      <c r="AQ591" s="115"/>
      <c r="AR591" s="115"/>
      <c r="AS591" s="115"/>
      <c r="AT591" s="115"/>
    </row>
    <row r="592" spans="1:46" ht="39" customHeight="1" x14ac:dyDescent="0.25">
      <c r="A592" s="1468">
        <v>591</v>
      </c>
      <c r="B592" s="141">
        <v>2</v>
      </c>
      <c r="C592" s="378" t="s">
        <v>321</v>
      </c>
      <c r="D592" s="303"/>
      <c r="E592" s="241"/>
      <c r="F592" s="241"/>
      <c r="G592" s="261" t="s">
        <v>322</v>
      </c>
      <c r="H592" s="262" t="s">
        <v>87</v>
      </c>
      <c r="I592" s="364"/>
      <c r="J592" s="245" t="s">
        <v>561</v>
      </c>
      <c r="K592" s="197"/>
      <c r="L592" s="281" t="s">
        <v>1676</v>
      </c>
      <c r="M592" s="281" t="s">
        <v>1508</v>
      </c>
      <c r="N592" s="366"/>
      <c r="O592" s="392" t="s">
        <v>2920</v>
      </c>
      <c r="P592" s="402"/>
      <c r="Q592" s="380" t="s">
        <v>87</v>
      </c>
      <c r="R592" s="682" t="s">
        <v>1754</v>
      </c>
      <c r="S592" s="279">
        <v>38207</v>
      </c>
      <c r="T592" s="197"/>
      <c r="U592" s="251" t="s">
        <v>54</v>
      </c>
      <c r="V592" s="245"/>
      <c r="W592" s="250" t="s">
        <v>295</v>
      </c>
      <c r="X592" s="197"/>
      <c r="Y592" s="245"/>
      <c r="Z592" s="246"/>
      <c r="AA592" s="246"/>
      <c r="AB592" s="288" t="s">
        <v>4348</v>
      </c>
      <c r="AC592" s="223" t="s">
        <v>946</v>
      </c>
      <c r="AD592" s="376"/>
      <c r="AE592" s="494">
        <v>45113</v>
      </c>
      <c r="AF592" s="494">
        <v>45478</v>
      </c>
      <c r="AG592" s="241"/>
      <c r="AH592" s="283"/>
      <c r="AI592" s="254" t="s">
        <v>1351</v>
      </c>
      <c r="AJ592" s="303" t="s">
        <v>136</v>
      </c>
      <c r="AK592" s="241">
        <v>4</v>
      </c>
      <c r="AL592" s="123" t="s">
        <v>463</v>
      </c>
      <c r="AM592" s="123" t="s">
        <v>460</v>
      </c>
      <c r="AN592" s="110"/>
      <c r="AO592" s="110"/>
      <c r="AP592" s="115"/>
      <c r="AQ592" s="115"/>
      <c r="AR592" s="115"/>
      <c r="AS592" s="115"/>
      <c r="AT592" s="115"/>
    </row>
    <row r="593" spans="1:46" ht="39" customHeight="1" x14ac:dyDescent="0.25">
      <c r="A593" s="1468">
        <v>592</v>
      </c>
      <c r="B593" s="141">
        <v>1</v>
      </c>
      <c r="C593" s="378" t="s">
        <v>323</v>
      </c>
      <c r="D593" s="303"/>
      <c r="E593" s="241"/>
      <c r="F593" s="241"/>
      <c r="G593" s="261" t="s">
        <v>324</v>
      </c>
      <c r="H593" s="262" t="s">
        <v>87</v>
      </c>
      <c r="I593" s="357"/>
      <c r="J593" s="245" t="s">
        <v>561</v>
      </c>
      <c r="K593" s="250" t="s">
        <v>5056</v>
      </c>
      <c r="L593" s="299" t="s">
        <v>5027</v>
      </c>
      <c r="M593" s="299" t="s">
        <v>5027</v>
      </c>
      <c r="N593" s="245"/>
      <c r="O593" s="570" t="s">
        <v>5041</v>
      </c>
      <c r="P593" s="627"/>
      <c r="Q593" s="197" t="s">
        <v>87</v>
      </c>
      <c r="R593" s="381" t="s">
        <v>5040</v>
      </c>
      <c r="S593" s="279">
        <v>38533</v>
      </c>
      <c r="T593" s="289"/>
      <c r="U593" s="251" t="s">
        <v>54</v>
      </c>
      <c r="V593" s="197" t="s">
        <v>5027</v>
      </c>
      <c r="W593" s="197" t="s">
        <v>3478</v>
      </c>
      <c r="X593" s="197"/>
      <c r="Y593" s="197" t="s">
        <v>5057</v>
      </c>
      <c r="Z593" s="246">
        <v>45252</v>
      </c>
      <c r="AA593" s="245"/>
      <c r="AB593" s="296" t="s">
        <v>5039</v>
      </c>
      <c r="AC593" s="223" t="s">
        <v>946</v>
      </c>
      <c r="AD593" s="299" t="s">
        <v>467</v>
      </c>
      <c r="AE593" s="494">
        <v>45251</v>
      </c>
      <c r="AF593" s="494">
        <v>45616</v>
      </c>
      <c r="AG593" s="241"/>
      <c r="AH593" s="253"/>
      <c r="AI593" s="307" t="s">
        <v>4208</v>
      </c>
      <c r="AJ593" s="303" t="s">
        <v>136</v>
      </c>
      <c r="AK593" s="241">
        <v>4</v>
      </c>
      <c r="AL593" s="123" t="s">
        <v>463</v>
      </c>
      <c r="AM593" s="123" t="s">
        <v>460</v>
      </c>
      <c r="AN593" s="110"/>
      <c r="AO593" s="110"/>
      <c r="AP593" s="115"/>
      <c r="AQ593" s="115"/>
      <c r="AR593" s="115"/>
      <c r="AS593" s="115"/>
      <c r="AT593" s="115"/>
    </row>
    <row r="594" spans="1:46" ht="39" customHeight="1" x14ac:dyDescent="0.25">
      <c r="A594" s="1468">
        <v>593</v>
      </c>
      <c r="B594" s="141">
        <v>1</v>
      </c>
      <c r="C594" s="503" t="s">
        <v>325</v>
      </c>
      <c r="D594" s="471"/>
      <c r="E594" s="471"/>
      <c r="F594" s="471"/>
      <c r="G594" s="472" t="s">
        <v>324</v>
      </c>
      <c r="H594" s="1302" t="s">
        <v>87</v>
      </c>
      <c r="I594" s="473"/>
      <c r="J594" s="264" t="s">
        <v>561</v>
      </c>
      <c r="K594" s="288" t="s">
        <v>158</v>
      </c>
      <c r="L594" s="299" t="s">
        <v>5027</v>
      </c>
      <c r="M594" s="299" t="s">
        <v>5027</v>
      </c>
      <c r="N594" s="245"/>
      <c r="O594" s="570" t="s">
        <v>5044</v>
      </c>
      <c r="P594" s="627"/>
      <c r="Q594" s="197" t="s">
        <v>87</v>
      </c>
      <c r="R594" s="381" t="s">
        <v>5043</v>
      </c>
      <c r="S594" s="279">
        <v>37407</v>
      </c>
      <c r="T594" s="289"/>
      <c r="U594" s="251" t="s">
        <v>54</v>
      </c>
      <c r="V594" s="197" t="s">
        <v>5027</v>
      </c>
      <c r="W594" s="197" t="s">
        <v>3478</v>
      </c>
      <c r="X594" s="197"/>
      <c r="Y594" s="197" t="s">
        <v>5057</v>
      </c>
      <c r="Z594" s="246">
        <v>45252</v>
      </c>
      <c r="AA594" s="245"/>
      <c r="AB594" s="296" t="s">
        <v>5039</v>
      </c>
      <c r="AC594" s="223" t="s">
        <v>946</v>
      </c>
      <c r="AD594" s="299" t="s">
        <v>467</v>
      </c>
      <c r="AE594" s="494">
        <v>45251</v>
      </c>
      <c r="AF594" s="494">
        <v>45616</v>
      </c>
      <c r="AG594" s="241"/>
      <c r="AH594" s="253"/>
      <c r="AI594" s="307" t="s">
        <v>4208</v>
      </c>
      <c r="AJ594" s="303" t="s">
        <v>136</v>
      </c>
      <c r="AK594" s="471">
        <v>4</v>
      </c>
      <c r="AL594" s="176" t="s">
        <v>463</v>
      </c>
      <c r="AM594" s="176" t="s">
        <v>460</v>
      </c>
      <c r="AN594" s="110"/>
      <c r="AO594" s="179"/>
      <c r="AP594" s="115"/>
      <c r="AQ594" s="115"/>
      <c r="AR594" s="115"/>
      <c r="AS594" s="115"/>
      <c r="AT594" s="115"/>
    </row>
    <row r="595" spans="1:46" ht="39" customHeight="1" x14ac:dyDescent="0.25">
      <c r="A595" s="1468">
        <v>594</v>
      </c>
      <c r="B595" s="987"/>
      <c r="C595" s="989"/>
      <c r="D595" s="664"/>
      <c r="E595" s="664"/>
      <c r="F595" s="664"/>
      <c r="G595" s="227"/>
      <c r="H595" s="228"/>
      <c r="I595" s="228"/>
      <c r="J595" s="229"/>
      <c r="K595" s="227"/>
      <c r="L595" s="229"/>
      <c r="M595" s="229"/>
      <c r="N595" s="229"/>
      <c r="O595" s="309"/>
      <c r="P595" s="230" t="s">
        <v>326</v>
      </c>
      <c r="Q595" s="664"/>
      <c r="R595" s="324"/>
      <c r="S595" s="279"/>
      <c r="T595" s="232"/>
      <c r="U595" s="250"/>
      <c r="V595" s="232"/>
      <c r="W595" s="232"/>
      <c r="X595" s="232"/>
      <c r="Y595" s="232"/>
      <c r="Z595" s="233"/>
      <c r="AA595" s="234"/>
      <c r="AB595" s="235"/>
      <c r="AC595" s="236"/>
      <c r="AD595" s="235"/>
      <c r="AE595" s="494"/>
      <c r="AF595" s="494"/>
      <c r="AG595" s="664"/>
      <c r="AH595" s="238"/>
      <c r="AI595" s="239"/>
      <c r="AJ595" s="576"/>
      <c r="AK595" s="664"/>
      <c r="AL595" s="113"/>
      <c r="AM595" s="113"/>
      <c r="AN595" s="1"/>
      <c r="AO595" s="114"/>
      <c r="AP595" s="115"/>
      <c r="AQ595" s="115"/>
      <c r="AR595" s="115"/>
      <c r="AS595" s="115"/>
      <c r="AT595" s="116"/>
    </row>
    <row r="596" spans="1:46" ht="39" customHeight="1" x14ac:dyDescent="0.25">
      <c r="A596" s="1468">
        <v>595</v>
      </c>
      <c r="B596" s="141">
        <v>5</v>
      </c>
      <c r="C596" s="497" t="s">
        <v>288</v>
      </c>
      <c r="D596" s="498"/>
      <c r="E596" s="498" t="s">
        <v>47</v>
      </c>
      <c r="F596" s="498"/>
      <c r="G596" s="499" t="s">
        <v>289</v>
      </c>
      <c r="H596" s="896" t="s">
        <v>132</v>
      </c>
      <c r="I596" s="344">
        <v>144</v>
      </c>
      <c r="J596" s="734">
        <v>403</v>
      </c>
      <c r="K596" s="756" t="s">
        <v>158</v>
      </c>
      <c r="L596" s="397" t="s">
        <v>3678</v>
      </c>
      <c r="M596" s="397" t="s">
        <v>3678</v>
      </c>
      <c r="N596" s="441" t="s">
        <v>4217</v>
      </c>
      <c r="O596" s="906" t="s">
        <v>3864</v>
      </c>
      <c r="P596" s="454"/>
      <c r="Q596" s="1305" t="s">
        <v>87</v>
      </c>
      <c r="R596" s="1307" t="s">
        <v>3863</v>
      </c>
      <c r="S596" s="279">
        <v>37874</v>
      </c>
      <c r="T596" s="280"/>
      <c r="U596" s="251" t="s">
        <v>54</v>
      </c>
      <c r="V596" s="245" t="s">
        <v>5948</v>
      </c>
      <c r="W596" s="250" t="s">
        <v>295</v>
      </c>
      <c r="X596" s="197" t="s">
        <v>475</v>
      </c>
      <c r="Y596" s="981" t="s">
        <v>5950</v>
      </c>
      <c r="Z596" s="246">
        <v>45309</v>
      </c>
      <c r="AA596" s="1094"/>
      <c r="AB596" s="756" t="s">
        <v>4297</v>
      </c>
      <c r="AC596" s="488" t="s">
        <v>4221</v>
      </c>
      <c r="AD596" s="412" t="s">
        <v>467</v>
      </c>
      <c r="AE596" s="494">
        <v>45096</v>
      </c>
      <c r="AF596" s="494">
        <v>45461</v>
      </c>
      <c r="AG596" s="1300"/>
      <c r="AH596" s="489"/>
      <c r="AI596" s="721" t="s">
        <v>1351</v>
      </c>
      <c r="AJ596" s="507" t="s">
        <v>136</v>
      </c>
      <c r="AK596" s="491">
        <v>3</v>
      </c>
      <c r="AL596" s="175" t="s">
        <v>463</v>
      </c>
      <c r="AM596" s="175" t="s">
        <v>460</v>
      </c>
      <c r="AN596" s="130"/>
      <c r="AO596" s="177"/>
      <c r="AP596" s="115"/>
      <c r="AQ596" s="115"/>
      <c r="AR596" s="115"/>
      <c r="AS596" s="115"/>
      <c r="AT596" s="115"/>
    </row>
    <row r="597" spans="1:46" ht="39" customHeight="1" x14ac:dyDescent="0.25">
      <c r="A597" s="1468">
        <v>596</v>
      </c>
      <c r="B597" s="141">
        <v>3</v>
      </c>
      <c r="C597" s="356" t="s">
        <v>290</v>
      </c>
      <c r="D597" s="241" t="s">
        <v>134</v>
      </c>
      <c r="E597" s="241"/>
      <c r="F597" s="241"/>
      <c r="G597" s="261" t="s">
        <v>291</v>
      </c>
      <c r="H597" s="262" t="s">
        <v>85</v>
      </c>
      <c r="I597" s="371"/>
      <c r="J597" s="245" t="s">
        <v>556</v>
      </c>
      <c r="K597" s="288" t="s">
        <v>158</v>
      </c>
      <c r="L597" s="288" t="s">
        <v>3678</v>
      </c>
      <c r="M597" s="288" t="s">
        <v>3678</v>
      </c>
      <c r="N597" s="281" t="s">
        <v>4217</v>
      </c>
      <c r="O597" s="392" t="s">
        <v>3710</v>
      </c>
      <c r="P597" s="360"/>
      <c r="Q597" s="594" t="s">
        <v>87</v>
      </c>
      <c r="R597" s="1188" t="s">
        <v>3709</v>
      </c>
      <c r="S597" s="279">
        <v>37837</v>
      </c>
      <c r="T597" s="257"/>
      <c r="U597" s="251" t="s">
        <v>54</v>
      </c>
      <c r="V597" s="245" t="s">
        <v>3904</v>
      </c>
      <c r="W597" s="250" t="s">
        <v>295</v>
      </c>
      <c r="X597" s="197" t="s">
        <v>475</v>
      </c>
      <c r="Y597" s="245" t="s">
        <v>3975</v>
      </c>
      <c r="Z597" s="246">
        <v>45224</v>
      </c>
      <c r="AA597" s="246"/>
      <c r="AB597" s="288" t="s">
        <v>4286</v>
      </c>
      <c r="AC597" s="223" t="s">
        <v>946</v>
      </c>
      <c r="AD597" s="299" t="s">
        <v>467</v>
      </c>
      <c r="AE597" s="494">
        <v>45113</v>
      </c>
      <c r="AF597" s="494">
        <v>45478</v>
      </c>
      <c r="AG597" s="392"/>
      <c r="AH597" s="283"/>
      <c r="AI597" s="296" t="s">
        <v>1351</v>
      </c>
      <c r="AJ597" s="303" t="s">
        <v>136</v>
      </c>
      <c r="AK597" s="241">
        <v>4</v>
      </c>
      <c r="AL597" s="123" t="s">
        <v>463</v>
      </c>
      <c r="AM597" s="123" t="s">
        <v>460</v>
      </c>
      <c r="AN597" s="110" t="s">
        <v>4184</v>
      </c>
      <c r="AO597" s="130"/>
      <c r="AP597" s="115"/>
      <c r="AQ597" s="115"/>
      <c r="AR597" s="115"/>
      <c r="AS597" s="115"/>
      <c r="AT597" s="115"/>
    </row>
    <row r="598" spans="1:46" ht="39" customHeight="1" x14ac:dyDescent="0.25">
      <c r="A598" s="1468">
        <v>597</v>
      </c>
      <c r="B598" s="141">
        <v>3</v>
      </c>
      <c r="C598" s="358" t="s">
        <v>297</v>
      </c>
      <c r="D598" s="241" t="s">
        <v>134</v>
      </c>
      <c r="E598" s="241"/>
      <c r="F598" s="241"/>
      <c r="G598" s="261" t="s">
        <v>298</v>
      </c>
      <c r="H598" s="262" t="s">
        <v>85</v>
      </c>
      <c r="I598" s="371"/>
      <c r="J598" s="245" t="s">
        <v>556</v>
      </c>
      <c r="K598" s="288" t="s">
        <v>158</v>
      </c>
      <c r="L598" s="288" t="s">
        <v>3678</v>
      </c>
      <c r="M598" s="288" t="s">
        <v>3678</v>
      </c>
      <c r="N598" s="281" t="s">
        <v>4217</v>
      </c>
      <c r="O598" s="392" t="s">
        <v>3712</v>
      </c>
      <c r="P598" s="366"/>
      <c r="Q598" s="594" t="s">
        <v>87</v>
      </c>
      <c r="R598" s="1171" t="s">
        <v>3711</v>
      </c>
      <c r="S598" s="279">
        <v>37806</v>
      </c>
      <c r="T598" s="250"/>
      <c r="U598" s="251" t="s">
        <v>54</v>
      </c>
      <c r="V598" s="245" t="s">
        <v>3904</v>
      </c>
      <c r="W598" s="250" t="s">
        <v>295</v>
      </c>
      <c r="X598" s="197" t="s">
        <v>475</v>
      </c>
      <c r="Y598" s="245" t="s">
        <v>3975</v>
      </c>
      <c r="Z598" s="246">
        <v>45224</v>
      </c>
      <c r="AA598" s="246"/>
      <c r="AB598" s="288" t="s">
        <v>4273</v>
      </c>
      <c r="AC598" s="223" t="s">
        <v>946</v>
      </c>
      <c r="AD598" s="299" t="s">
        <v>467</v>
      </c>
      <c r="AE598" s="494">
        <v>45114</v>
      </c>
      <c r="AF598" s="494">
        <v>45479</v>
      </c>
      <c r="AG598" s="392"/>
      <c r="AH598" s="283"/>
      <c r="AI598" s="296" t="s">
        <v>1351</v>
      </c>
      <c r="AJ598" s="303" t="s">
        <v>136</v>
      </c>
      <c r="AK598" s="241">
        <v>4</v>
      </c>
      <c r="AL598" s="123" t="s">
        <v>463</v>
      </c>
      <c r="AM598" s="123" t="s">
        <v>460</v>
      </c>
      <c r="AN598" s="130"/>
      <c r="AO598" s="130"/>
      <c r="AP598" s="115"/>
      <c r="AQ598" s="115"/>
      <c r="AR598" s="115"/>
      <c r="AS598" s="115"/>
      <c r="AT598" s="116"/>
    </row>
    <row r="599" spans="1:46" ht="39" customHeight="1" x14ac:dyDescent="0.25">
      <c r="A599" s="1468">
        <v>598</v>
      </c>
      <c r="B599" s="141">
        <v>2</v>
      </c>
      <c r="C599" s="260" t="s">
        <v>311</v>
      </c>
      <c r="D599" s="241"/>
      <c r="E599" s="241"/>
      <c r="F599" s="241"/>
      <c r="G599" s="261" t="s">
        <v>312</v>
      </c>
      <c r="H599" s="262" t="s">
        <v>85</v>
      </c>
      <c r="I599" s="371"/>
      <c r="J599" s="245" t="s">
        <v>556</v>
      </c>
      <c r="K599" s="288" t="s">
        <v>158</v>
      </c>
      <c r="L599" s="299" t="s">
        <v>5058</v>
      </c>
      <c r="M599" s="299" t="s">
        <v>5058</v>
      </c>
      <c r="N599" s="366"/>
      <c r="O599" s="1372" t="s">
        <v>5077</v>
      </c>
      <c r="P599" s="367"/>
      <c r="Q599" s="594" t="s">
        <v>87</v>
      </c>
      <c r="R599" s="381" t="s">
        <v>5076</v>
      </c>
      <c r="S599" s="279">
        <v>38229</v>
      </c>
      <c r="T599" s="197"/>
      <c r="U599" s="251" t="s">
        <v>54</v>
      </c>
      <c r="V599" s="299" t="s">
        <v>5058</v>
      </c>
      <c r="W599" s="250" t="s">
        <v>295</v>
      </c>
      <c r="X599" s="197"/>
      <c r="Y599" s="245"/>
      <c r="Z599" s="246">
        <v>45253</v>
      </c>
      <c r="AA599" s="246"/>
      <c r="AB599" s="288" t="s">
        <v>5078</v>
      </c>
      <c r="AC599" s="223"/>
      <c r="AD599" s="245" t="s">
        <v>467</v>
      </c>
      <c r="AE599" s="494">
        <v>45251</v>
      </c>
      <c r="AF599" s="494">
        <v>45616</v>
      </c>
      <c r="AG599" s="241"/>
      <c r="AH599" s="283"/>
      <c r="AI599" s="254" t="s">
        <v>4208</v>
      </c>
      <c r="AJ599" s="303" t="s">
        <v>136</v>
      </c>
      <c r="AK599" s="241">
        <v>4</v>
      </c>
      <c r="AL599" s="123" t="s">
        <v>463</v>
      </c>
      <c r="AM599" s="123" t="s">
        <v>460</v>
      </c>
      <c r="AN599" s="130"/>
      <c r="AO599" s="130"/>
      <c r="AP599" s="115"/>
      <c r="AQ599" s="115"/>
      <c r="AR599" s="115"/>
      <c r="AS599" s="115"/>
      <c r="AT599" s="116"/>
    </row>
    <row r="600" spans="1:46" ht="39" customHeight="1" x14ac:dyDescent="0.25">
      <c r="A600" s="1468">
        <v>599</v>
      </c>
      <c r="B600" s="141">
        <v>2</v>
      </c>
      <c r="C600" s="260" t="s">
        <v>317</v>
      </c>
      <c r="D600" s="241"/>
      <c r="E600" s="241"/>
      <c r="F600" s="241"/>
      <c r="G600" s="261" t="s">
        <v>318</v>
      </c>
      <c r="H600" s="262" t="s">
        <v>87</v>
      </c>
      <c r="I600" s="371"/>
      <c r="J600" s="245" t="s">
        <v>561</v>
      </c>
      <c r="K600" s="288" t="s">
        <v>144</v>
      </c>
      <c r="L600" s="299" t="s">
        <v>5058</v>
      </c>
      <c r="M600" s="299" t="s">
        <v>5058</v>
      </c>
      <c r="N600" s="245"/>
      <c r="O600" s="1392" t="s">
        <v>5101</v>
      </c>
      <c r="P600" s="627"/>
      <c r="Q600" s="1392" t="s">
        <v>87</v>
      </c>
      <c r="R600" s="1003" t="s">
        <v>5100</v>
      </c>
      <c r="S600" s="279">
        <v>38644</v>
      </c>
      <c r="T600" s="289"/>
      <c r="U600" s="251" t="s">
        <v>54</v>
      </c>
      <c r="V600" s="299" t="s">
        <v>5058</v>
      </c>
      <c r="W600" s="250" t="s">
        <v>295</v>
      </c>
      <c r="X600" s="197"/>
      <c r="Y600" s="245"/>
      <c r="Z600" s="246">
        <v>45253</v>
      </c>
      <c r="AA600" s="245"/>
      <c r="AB600" s="288" t="s">
        <v>4835</v>
      </c>
      <c r="AC600" s="223" t="s">
        <v>946</v>
      </c>
      <c r="AD600" s="245" t="s">
        <v>467</v>
      </c>
      <c r="AE600" s="494">
        <v>45252</v>
      </c>
      <c r="AF600" s="494">
        <v>45617</v>
      </c>
      <c r="AG600" s="241"/>
      <c r="AH600" s="253"/>
      <c r="AI600" s="254" t="s">
        <v>4208</v>
      </c>
      <c r="AJ600" s="303" t="s">
        <v>136</v>
      </c>
      <c r="AK600" s="241">
        <v>4</v>
      </c>
      <c r="AL600" s="123" t="s">
        <v>463</v>
      </c>
      <c r="AM600" s="123" t="s">
        <v>460</v>
      </c>
      <c r="AN600" s="130"/>
      <c r="AO600" s="130"/>
      <c r="AP600" s="115"/>
      <c r="AQ600" s="115"/>
      <c r="AR600" s="115"/>
      <c r="AS600" s="115"/>
      <c r="AT600" s="116"/>
    </row>
    <row r="601" spans="1:46" ht="39" customHeight="1" x14ac:dyDescent="0.3">
      <c r="A601" s="1468">
        <v>600</v>
      </c>
      <c r="B601" s="146">
        <v>2</v>
      </c>
      <c r="C601" s="260" t="s">
        <v>319</v>
      </c>
      <c r="D601" s="241"/>
      <c r="E601" s="241"/>
      <c r="F601" s="241"/>
      <c r="G601" s="261" t="s">
        <v>320</v>
      </c>
      <c r="H601" s="262" t="s">
        <v>87</v>
      </c>
      <c r="I601" s="357"/>
      <c r="J601" s="245" t="s">
        <v>561</v>
      </c>
      <c r="K601" s="713"/>
      <c r="L601" s="281" t="s">
        <v>1676</v>
      </c>
      <c r="M601" s="281" t="s">
        <v>1508</v>
      </c>
      <c r="N601" s="366"/>
      <c r="O601" s="392" t="s">
        <v>3141</v>
      </c>
      <c r="P601" s="402"/>
      <c r="Q601" s="594" t="s">
        <v>87</v>
      </c>
      <c r="R601" s="381" t="s">
        <v>1803</v>
      </c>
      <c r="S601" s="279">
        <v>37648</v>
      </c>
      <c r="T601" s="197"/>
      <c r="U601" s="251" t="s">
        <v>391</v>
      </c>
      <c r="V601" s="245" t="s">
        <v>3678</v>
      </c>
      <c r="W601" s="979" t="s">
        <v>3679</v>
      </c>
      <c r="X601" s="197" t="s">
        <v>2002</v>
      </c>
      <c r="Y601" s="1126" t="s">
        <v>3680</v>
      </c>
      <c r="Z601" s="246">
        <v>45222</v>
      </c>
      <c r="AA601" s="246"/>
      <c r="AB601" s="288" t="s">
        <v>4355</v>
      </c>
      <c r="AC601" s="223" t="s">
        <v>4223</v>
      </c>
      <c r="AD601" s="376"/>
      <c r="AE601" s="494">
        <v>45112</v>
      </c>
      <c r="AF601" s="494">
        <v>45477</v>
      </c>
      <c r="AG601" s="241"/>
      <c r="AH601" s="283"/>
      <c r="AI601" s="254" t="s">
        <v>1351</v>
      </c>
      <c r="AJ601" s="303" t="s">
        <v>136</v>
      </c>
      <c r="AK601" s="241">
        <v>4</v>
      </c>
      <c r="AL601" s="123" t="s">
        <v>463</v>
      </c>
      <c r="AM601" s="123" t="s">
        <v>460</v>
      </c>
      <c r="AN601" s="110"/>
      <c r="AO601" s="110"/>
      <c r="AP601" s="115"/>
      <c r="AQ601" s="115"/>
      <c r="AR601" s="115"/>
      <c r="AS601" s="115"/>
      <c r="AT601" s="115"/>
    </row>
    <row r="602" spans="1:46" ht="39" customHeight="1" x14ac:dyDescent="0.25">
      <c r="A602" s="1468">
        <v>601</v>
      </c>
      <c r="B602" s="141">
        <v>2</v>
      </c>
      <c r="C602" s="378" t="s">
        <v>321</v>
      </c>
      <c r="D602" s="303"/>
      <c r="E602" s="241"/>
      <c r="F602" s="241"/>
      <c r="G602" s="261" t="s">
        <v>322</v>
      </c>
      <c r="H602" s="262" t="s">
        <v>87</v>
      </c>
      <c r="I602" s="364"/>
      <c r="J602" s="245" t="s">
        <v>561</v>
      </c>
      <c r="K602" s="216" t="s">
        <v>313</v>
      </c>
      <c r="L602" s="299" t="s">
        <v>5058</v>
      </c>
      <c r="M602" s="299" t="s">
        <v>5058</v>
      </c>
      <c r="N602" s="366"/>
      <c r="O602" s="1372" t="s">
        <v>5080</v>
      </c>
      <c r="P602" s="367"/>
      <c r="Q602" s="301" t="s">
        <v>87</v>
      </c>
      <c r="R602" s="682" t="s">
        <v>5079</v>
      </c>
      <c r="S602" s="279">
        <v>38487</v>
      </c>
      <c r="T602" s="197"/>
      <c r="U602" s="251" t="s">
        <v>54</v>
      </c>
      <c r="V602" s="299" t="s">
        <v>5058</v>
      </c>
      <c r="W602" s="250" t="s">
        <v>295</v>
      </c>
      <c r="X602" s="197"/>
      <c r="Y602" s="245"/>
      <c r="Z602" s="246">
        <v>45253</v>
      </c>
      <c r="AA602" s="246"/>
      <c r="AB602" s="288" t="s">
        <v>5081</v>
      </c>
      <c r="AC602" s="223"/>
      <c r="AD602" s="245" t="s">
        <v>467</v>
      </c>
      <c r="AE602" s="494">
        <v>45251</v>
      </c>
      <c r="AF602" s="494">
        <v>45616</v>
      </c>
      <c r="AG602" s="241"/>
      <c r="AH602" s="283"/>
      <c r="AI602" s="254" t="s">
        <v>4208</v>
      </c>
      <c r="AJ602" s="303" t="s">
        <v>136</v>
      </c>
      <c r="AK602" s="241">
        <v>4</v>
      </c>
      <c r="AL602" s="123" t="s">
        <v>463</v>
      </c>
      <c r="AM602" s="123" t="s">
        <v>460</v>
      </c>
      <c r="AN602" s="110"/>
      <c r="AO602" s="110"/>
      <c r="AP602" s="115"/>
      <c r="AQ602" s="115"/>
      <c r="AR602" s="115"/>
      <c r="AS602" s="115"/>
      <c r="AT602" s="115"/>
    </row>
    <row r="603" spans="1:46" ht="39" customHeight="1" x14ac:dyDescent="0.25">
      <c r="A603" s="1468">
        <v>602</v>
      </c>
      <c r="B603" s="141">
        <v>1</v>
      </c>
      <c r="C603" s="378" t="s">
        <v>323</v>
      </c>
      <c r="D603" s="303"/>
      <c r="E603" s="241"/>
      <c r="F603" s="241"/>
      <c r="G603" s="261" t="s">
        <v>324</v>
      </c>
      <c r="H603" s="262" t="s">
        <v>87</v>
      </c>
      <c r="I603" s="357"/>
      <c r="J603" s="245" t="s">
        <v>561</v>
      </c>
      <c r="K603" s="640"/>
      <c r="L603" s="438" t="s">
        <v>1676</v>
      </c>
      <c r="M603" s="438" t="s">
        <v>1508</v>
      </c>
      <c r="N603" s="404"/>
      <c r="O603" s="392" t="s">
        <v>3142</v>
      </c>
      <c r="P603" s="431"/>
      <c r="Q603" s="453" t="s">
        <v>87</v>
      </c>
      <c r="R603" s="682" t="s">
        <v>1802</v>
      </c>
      <c r="S603" s="279" t="s">
        <v>4740</v>
      </c>
      <c r="T603" s="268"/>
      <c r="U603" s="251" t="s">
        <v>54</v>
      </c>
      <c r="V603" s="264"/>
      <c r="W603" s="414" t="s">
        <v>295</v>
      </c>
      <c r="X603" s="197"/>
      <c r="Y603" s="264"/>
      <c r="Z603" s="405"/>
      <c r="AA603" s="405"/>
      <c r="AB603" s="288" t="s">
        <v>4355</v>
      </c>
      <c r="AC603" s="223" t="s">
        <v>4223</v>
      </c>
      <c r="AD603" s="718"/>
      <c r="AE603" s="494">
        <v>45112</v>
      </c>
      <c r="AF603" s="494">
        <v>45477</v>
      </c>
      <c r="AG603" s="471"/>
      <c r="AH603" s="585"/>
      <c r="AI603" s="719" t="s">
        <v>1351</v>
      </c>
      <c r="AJ603" s="470" t="s">
        <v>136</v>
      </c>
      <c r="AK603" s="241">
        <v>4</v>
      </c>
      <c r="AL603" s="123" t="s">
        <v>463</v>
      </c>
      <c r="AM603" s="123" t="s">
        <v>460</v>
      </c>
      <c r="AN603" s="110"/>
      <c r="AO603" s="110"/>
      <c r="AP603" s="115"/>
      <c r="AQ603" s="115"/>
      <c r="AR603" s="115"/>
      <c r="AS603" s="115"/>
      <c r="AT603" s="115"/>
    </row>
    <row r="604" spans="1:46" ht="39" customHeight="1" x14ac:dyDescent="0.25">
      <c r="A604" s="1468">
        <v>603</v>
      </c>
      <c r="B604" s="141">
        <v>1</v>
      </c>
      <c r="C604" s="503" t="s">
        <v>325</v>
      </c>
      <c r="D604" s="471"/>
      <c r="E604" s="471"/>
      <c r="F604" s="471"/>
      <c r="G604" s="472" t="s">
        <v>324</v>
      </c>
      <c r="H604" s="1302" t="s">
        <v>87</v>
      </c>
      <c r="I604" s="473"/>
      <c r="J604" s="264" t="s">
        <v>561</v>
      </c>
      <c r="K604" s="265"/>
      <c r="L604" s="438" t="s">
        <v>1676</v>
      </c>
      <c r="M604" s="438" t="s">
        <v>1508</v>
      </c>
      <c r="N604" s="404"/>
      <c r="O604" s="626" t="s">
        <v>2940</v>
      </c>
      <c r="P604" s="431"/>
      <c r="Q604" s="453" t="s">
        <v>87</v>
      </c>
      <c r="R604" s="897" t="s">
        <v>1758</v>
      </c>
      <c r="S604" s="279">
        <v>37582</v>
      </c>
      <c r="T604" s="268"/>
      <c r="U604" s="251" t="s">
        <v>54</v>
      </c>
      <c r="V604" s="264"/>
      <c r="W604" s="414" t="s">
        <v>295</v>
      </c>
      <c r="X604" s="268"/>
      <c r="Y604" s="264"/>
      <c r="Z604" s="405"/>
      <c r="AA604" s="405"/>
      <c r="AB604" s="836" t="s">
        <v>4356</v>
      </c>
      <c r="AC604" s="474" t="s">
        <v>946</v>
      </c>
      <c r="AD604" s="718"/>
      <c r="AE604" s="494">
        <v>45113</v>
      </c>
      <c r="AF604" s="494">
        <v>45478</v>
      </c>
      <c r="AG604" s="471"/>
      <c r="AH604" s="585"/>
      <c r="AI604" s="719" t="s">
        <v>1351</v>
      </c>
      <c r="AJ604" s="470" t="s">
        <v>136</v>
      </c>
      <c r="AK604" s="471">
        <v>4</v>
      </c>
      <c r="AL604" s="176" t="s">
        <v>463</v>
      </c>
      <c r="AM604" s="176" t="s">
        <v>460</v>
      </c>
      <c r="AN604" s="110"/>
      <c r="AO604" s="179"/>
      <c r="AP604" s="115"/>
      <c r="AQ604" s="115"/>
      <c r="AR604" s="115"/>
      <c r="AS604" s="115"/>
      <c r="AT604" s="115"/>
    </row>
    <row r="605" spans="1:46" ht="39" customHeight="1" x14ac:dyDescent="0.25">
      <c r="A605" s="1468">
        <v>604</v>
      </c>
      <c r="B605" s="987"/>
      <c r="C605" s="989"/>
      <c r="D605" s="664"/>
      <c r="E605" s="664"/>
      <c r="F605" s="664"/>
      <c r="G605" s="227"/>
      <c r="H605" s="228"/>
      <c r="I605" s="228"/>
      <c r="J605" s="229"/>
      <c r="K605" s="227"/>
      <c r="L605" s="229"/>
      <c r="M605" s="229"/>
      <c r="N605" s="229"/>
      <c r="O605" s="229"/>
      <c r="P605" s="230" t="s">
        <v>327</v>
      </c>
      <c r="Q605" s="664"/>
      <c r="R605" s="324"/>
      <c r="S605" s="279"/>
      <c r="T605" s="232"/>
      <c r="U605" s="250"/>
      <c r="V605" s="232"/>
      <c r="W605" s="232"/>
      <c r="X605" s="232"/>
      <c r="Y605" s="232"/>
      <c r="Z605" s="233"/>
      <c r="AA605" s="234"/>
      <c r="AB605" s="235"/>
      <c r="AC605" s="236"/>
      <c r="AD605" s="235"/>
      <c r="AE605" s="494"/>
      <c r="AF605" s="494"/>
      <c r="AG605" s="664"/>
      <c r="AH605" s="238"/>
      <c r="AI605" s="239"/>
      <c r="AJ605" s="576"/>
      <c r="AK605" s="664"/>
      <c r="AL605" s="113"/>
      <c r="AM605" s="113"/>
      <c r="AN605" s="113"/>
      <c r="AO605" s="114"/>
      <c r="AP605" s="115"/>
      <c r="AQ605" s="115"/>
      <c r="AR605" s="115"/>
      <c r="AS605" s="115"/>
      <c r="AT605" s="116"/>
    </row>
    <row r="606" spans="1:46" ht="39" customHeight="1" x14ac:dyDescent="0.25">
      <c r="A606" s="1468">
        <v>605</v>
      </c>
      <c r="B606" s="141">
        <v>5</v>
      </c>
      <c r="C606" s="497" t="s">
        <v>288</v>
      </c>
      <c r="D606" s="498"/>
      <c r="E606" s="498" t="s">
        <v>47</v>
      </c>
      <c r="F606" s="498"/>
      <c r="G606" s="499" t="s">
        <v>289</v>
      </c>
      <c r="H606" s="896" t="s">
        <v>132</v>
      </c>
      <c r="I606" s="344">
        <v>144</v>
      </c>
      <c r="J606" s="734">
        <v>403</v>
      </c>
      <c r="K606" s="277" t="s">
        <v>313</v>
      </c>
      <c r="L606" s="397" t="s">
        <v>3678</v>
      </c>
      <c r="M606" s="397" t="s">
        <v>3678</v>
      </c>
      <c r="N606" s="441" t="s">
        <v>4217</v>
      </c>
      <c r="O606" s="277" t="s">
        <v>3886</v>
      </c>
      <c r="P606" s="889"/>
      <c r="Q606" s="1110" t="s">
        <v>87</v>
      </c>
      <c r="R606" s="1306" t="s">
        <v>3885</v>
      </c>
      <c r="S606" s="279">
        <v>38325</v>
      </c>
      <c r="T606" s="443"/>
      <c r="U606" s="251" t="s">
        <v>54</v>
      </c>
      <c r="V606" s="245" t="s">
        <v>5948</v>
      </c>
      <c r="W606" s="250" t="s">
        <v>295</v>
      </c>
      <c r="X606" s="197" t="s">
        <v>475</v>
      </c>
      <c r="Y606" s="981" t="s">
        <v>5950</v>
      </c>
      <c r="Z606" s="246">
        <v>45309</v>
      </c>
      <c r="AA606" s="486"/>
      <c r="AB606" s="1308" t="s">
        <v>4336</v>
      </c>
      <c r="AC606" s="488" t="s">
        <v>4219</v>
      </c>
      <c r="AD606" s="412" t="s">
        <v>467</v>
      </c>
      <c r="AE606" s="494">
        <v>45064</v>
      </c>
      <c r="AF606" s="494">
        <v>45429</v>
      </c>
      <c r="AG606" s="476"/>
      <c r="AH606" s="489"/>
      <c r="AI606" s="721" t="s">
        <v>1351</v>
      </c>
      <c r="AJ606" s="507" t="s">
        <v>136</v>
      </c>
      <c r="AK606" s="491">
        <v>3</v>
      </c>
      <c r="AL606" s="175" t="s">
        <v>463</v>
      </c>
      <c r="AM606" s="175" t="s">
        <v>460</v>
      </c>
      <c r="AN606" s="130"/>
      <c r="AO606" s="177"/>
      <c r="AP606" s="115"/>
      <c r="AQ606" s="115"/>
      <c r="AR606" s="115"/>
      <c r="AS606" s="115"/>
      <c r="AT606" s="115"/>
    </row>
    <row r="607" spans="1:46" ht="39" customHeight="1" x14ac:dyDescent="0.25">
      <c r="A607" s="1468">
        <v>606</v>
      </c>
      <c r="B607" s="141">
        <v>3</v>
      </c>
      <c r="C607" s="356" t="s">
        <v>290</v>
      </c>
      <c r="D607" s="241" t="s">
        <v>134</v>
      </c>
      <c r="E607" s="241"/>
      <c r="F607" s="241"/>
      <c r="G607" s="261" t="s">
        <v>291</v>
      </c>
      <c r="H607" s="262" t="s">
        <v>85</v>
      </c>
      <c r="I607" s="371"/>
      <c r="J607" s="245" t="s">
        <v>556</v>
      </c>
      <c r="K607" s="288" t="s">
        <v>158</v>
      </c>
      <c r="L607" s="288" t="s">
        <v>3678</v>
      </c>
      <c r="M607" s="288" t="s">
        <v>3678</v>
      </c>
      <c r="N607" s="281" t="s">
        <v>4217</v>
      </c>
      <c r="O607" s="392" t="s">
        <v>3714</v>
      </c>
      <c r="P607" s="374"/>
      <c r="Q607" s="380" t="s">
        <v>85</v>
      </c>
      <c r="R607" s="1188" t="s">
        <v>3713</v>
      </c>
      <c r="S607" s="279">
        <v>37279</v>
      </c>
      <c r="T607" s="197"/>
      <c r="U607" s="251" t="s">
        <v>54</v>
      </c>
      <c r="V607" s="245" t="s">
        <v>3904</v>
      </c>
      <c r="W607" s="250" t="s">
        <v>295</v>
      </c>
      <c r="X607" s="197" t="s">
        <v>475</v>
      </c>
      <c r="Y607" s="245" t="s">
        <v>3975</v>
      </c>
      <c r="Z607" s="246">
        <v>45224</v>
      </c>
      <c r="AA607" s="246"/>
      <c r="AB607" s="288" t="s">
        <v>4261</v>
      </c>
      <c r="AC607" s="223" t="s">
        <v>946</v>
      </c>
      <c r="AD607" s="299" t="s">
        <v>467</v>
      </c>
      <c r="AE607" s="494">
        <v>45105</v>
      </c>
      <c r="AF607" s="494">
        <v>45470</v>
      </c>
      <c r="AG607" s="392"/>
      <c r="AH607" s="283"/>
      <c r="AI607" s="296" t="s">
        <v>1351</v>
      </c>
      <c r="AJ607" s="303" t="s">
        <v>136</v>
      </c>
      <c r="AK607" s="241">
        <v>4</v>
      </c>
      <c r="AL607" s="123" t="s">
        <v>463</v>
      </c>
      <c r="AM607" s="123" t="s">
        <v>460</v>
      </c>
      <c r="AN607" s="110" t="s">
        <v>4184</v>
      </c>
      <c r="AO607" s="130"/>
      <c r="AP607" s="115"/>
      <c r="AQ607" s="115"/>
      <c r="AR607" s="115"/>
      <c r="AS607" s="115"/>
      <c r="AT607" s="115"/>
    </row>
    <row r="608" spans="1:46" ht="39" customHeight="1" x14ac:dyDescent="0.25">
      <c r="A608" s="1468">
        <v>607</v>
      </c>
      <c r="B608" s="141">
        <v>3</v>
      </c>
      <c r="C608" s="358" t="s">
        <v>297</v>
      </c>
      <c r="D608" s="241" t="s">
        <v>134</v>
      </c>
      <c r="E608" s="241"/>
      <c r="F608" s="241"/>
      <c r="G608" s="261" t="s">
        <v>298</v>
      </c>
      <c r="H608" s="262" t="s">
        <v>85</v>
      </c>
      <c r="I608" s="371"/>
      <c r="J608" s="245" t="s">
        <v>556</v>
      </c>
      <c r="K608" s="288" t="s">
        <v>158</v>
      </c>
      <c r="L608" s="288" t="s">
        <v>3678</v>
      </c>
      <c r="M608" s="288" t="s">
        <v>3678</v>
      </c>
      <c r="N608" s="281" t="s">
        <v>4217</v>
      </c>
      <c r="O608" s="392" t="s">
        <v>3716</v>
      </c>
      <c r="P608" s="374"/>
      <c r="Q608" s="380" t="s">
        <v>87</v>
      </c>
      <c r="R608" s="1188" t="s">
        <v>3715</v>
      </c>
      <c r="S608" s="279">
        <v>38037</v>
      </c>
      <c r="T608" s="223"/>
      <c r="U608" s="251" t="s">
        <v>54</v>
      </c>
      <c r="V608" s="245" t="s">
        <v>3904</v>
      </c>
      <c r="W608" s="250" t="s">
        <v>295</v>
      </c>
      <c r="X608" s="197" t="s">
        <v>475</v>
      </c>
      <c r="Y608" s="245" t="s">
        <v>3975</v>
      </c>
      <c r="Z608" s="246">
        <v>45224</v>
      </c>
      <c r="AA608" s="246"/>
      <c r="AB608" s="288" t="s">
        <v>4282</v>
      </c>
      <c r="AC608" s="223" t="s">
        <v>946</v>
      </c>
      <c r="AD608" s="299" t="s">
        <v>467</v>
      </c>
      <c r="AE608" s="494">
        <v>45103</v>
      </c>
      <c r="AF608" s="494">
        <v>45468</v>
      </c>
      <c r="AG608" s="392"/>
      <c r="AH608" s="283"/>
      <c r="AI608" s="296" t="s">
        <v>1351</v>
      </c>
      <c r="AJ608" s="303" t="s">
        <v>136</v>
      </c>
      <c r="AK608" s="241">
        <v>4</v>
      </c>
      <c r="AL608" s="123" t="s">
        <v>463</v>
      </c>
      <c r="AM608" s="123" t="s">
        <v>460</v>
      </c>
      <c r="AN608" s="130"/>
      <c r="AO608" s="130"/>
      <c r="AP608" s="115"/>
      <c r="AQ608" s="115"/>
      <c r="AR608" s="115"/>
      <c r="AS608" s="115"/>
      <c r="AT608" s="116"/>
    </row>
    <row r="609" spans="1:46" ht="39" customHeight="1" x14ac:dyDescent="0.25">
      <c r="A609" s="1468">
        <v>608</v>
      </c>
      <c r="B609" s="141">
        <v>2</v>
      </c>
      <c r="C609" s="260" t="s">
        <v>311</v>
      </c>
      <c r="D609" s="241"/>
      <c r="E609" s="241"/>
      <c r="F609" s="241"/>
      <c r="G609" s="261" t="s">
        <v>312</v>
      </c>
      <c r="H609" s="262" t="s">
        <v>85</v>
      </c>
      <c r="I609" s="371"/>
      <c r="J609" s="245" t="s">
        <v>556</v>
      </c>
      <c r="K609" s="288" t="s">
        <v>158</v>
      </c>
      <c r="L609" s="299" t="s">
        <v>5027</v>
      </c>
      <c r="M609" s="299" t="s">
        <v>5027</v>
      </c>
      <c r="N609" s="245"/>
      <c r="O609" s="1360" t="s">
        <v>5046</v>
      </c>
      <c r="P609" s="627"/>
      <c r="Q609" s="197" t="s">
        <v>87</v>
      </c>
      <c r="R609" s="1188" t="s">
        <v>5045</v>
      </c>
      <c r="S609" s="279">
        <v>38041</v>
      </c>
      <c r="T609" s="289"/>
      <c r="U609" s="251" t="s">
        <v>54</v>
      </c>
      <c r="V609" s="197" t="s">
        <v>5027</v>
      </c>
      <c r="W609" s="197" t="s">
        <v>3478</v>
      </c>
      <c r="X609" s="197"/>
      <c r="Y609" s="197" t="s">
        <v>5057</v>
      </c>
      <c r="Z609" s="246">
        <v>45252</v>
      </c>
      <c r="AA609" s="245"/>
      <c r="AB609" s="296" t="s">
        <v>5039</v>
      </c>
      <c r="AC609" s="223" t="s">
        <v>946</v>
      </c>
      <c r="AD609" s="299" t="s">
        <v>467</v>
      </c>
      <c r="AE609" s="494">
        <v>45251</v>
      </c>
      <c r="AF609" s="494">
        <v>45616</v>
      </c>
      <c r="AG609" s="241"/>
      <c r="AH609" s="253"/>
      <c r="AI609" s="307" t="s">
        <v>4208</v>
      </c>
      <c r="AJ609" s="303" t="s">
        <v>136</v>
      </c>
      <c r="AK609" s="241">
        <v>4</v>
      </c>
      <c r="AL609" s="123" t="s">
        <v>463</v>
      </c>
      <c r="AM609" s="123" t="s">
        <v>460</v>
      </c>
      <c r="AN609" s="130"/>
      <c r="AO609" s="130"/>
      <c r="AP609" s="115"/>
      <c r="AQ609" s="115"/>
      <c r="AR609" s="115"/>
      <c r="AS609" s="115"/>
      <c r="AT609" s="115"/>
    </row>
    <row r="610" spans="1:46" ht="39" customHeight="1" x14ac:dyDescent="0.25">
      <c r="A610" s="1468">
        <v>609</v>
      </c>
      <c r="B610" s="141">
        <v>2</v>
      </c>
      <c r="C610" s="260" t="s">
        <v>317</v>
      </c>
      <c r="D610" s="241"/>
      <c r="E610" s="241"/>
      <c r="F610" s="241"/>
      <c r="G610" s="261" t="s">
        <v>318</v>
      </c>
      <c r="H610" s="262" t="s">
        <v>87</v>
      </c>
      <c r="I610" s="371"/>
      <c r="J610" s="245" t="s">
        <v>561</v>
      </c>
      <c r="K610" s="250" t="s">
        <v>5056</v>
      </c>
      <c r="L610" s="299" t="s">
        <v>5027</v>
      </c>
      <c r="M610" s="299" t="s">
        <v>5027</v>
      </c>
      <c r="N610" s="245"/>
      <c r="O610" s="1360" t="s">
        <v>5048</v>
      </c>
      <c r="P610" s="627"/>
      <c r="Q610" s="197" t="s">
        <v>87</v>
      </c>
      <c r="R610" s="1188" t="s">
        <v>5047</v>
      </c>
      <c r="S610" s="279">
        <v>37726</v>
      </c>
      <c r="T610" s="289"/>
      <c r="U610" s="251" t="s">
        <v>54</v>
      </c>
      <c r="V610" s="197" t="s">
        <v>5027</v>
      </c>
      <c r="W610" s="197" t="s">
        <v>3478</v>
      </c>
      <c r="X610" s="197"/>
      <c r="Y610" s="197" t="s">
        <v>5057</v>
      </c>
      <c r="Z610" s="246">
        <v>45252</v>
      </c>
      <c r="AA610" s="245"/>
      <c r="AB610" s="296" t="s">
        <v>5039</v>
      </c>
      <c r="AC610" s="223" t="s">
        <v>946</v>
      </c>
      <c r="AD610" s="299" t="s">
        <v>467</v>
      </c>
      <c r="AE610" s="494">
        <v>45251</v>
      </c>
      <c r="AF610" s="494">
        <v>45616</v>
      </c>
      <c r="AG610" s="241"/>
      <c r="AH610" s="253"/>
      <c r="AI610" s="307" t="s">
        <v>4208</v>
      </c>
      <c r="AJ610" s="303" t="s">
        <v>136</v>
      </c>
      <c r="AK610" s="241">
        <v>4</v>
      </c>
      <c r="AL610" s="123" t="s">
        <v>463</v>
      </c>
      <c r="AM610" s="123" t="s">
        <v>460</v>
      </c>
      <c r="AN610" s="130"/>
      <c r="AO610" s="130"/>
      <c r="AP610" s="115"/>
      <c r="AQ610" s="115"/>
      <c r="AR610" s="115"/>
      <c r="AS610" s="115"/>
      <c r="AT610" s="115"/>
    </row>
    <row r="611" spans="1:46" ht="39" customHeight="1" x14ac:dyDescent="0.25">
      <c r="A611" s="1468">
        <v>610</v>
      </c>
      <c r="B611" s="146">
        <v>2</v>
      </c>
      <c r="C611" s="260" t="s">
        <v>319</v>
      </c>
      <c r="D611" s="241"/>
      <c r="E611" s="241"/>
      <c r="F611" s="241"/>
      <c r="G611" s="261" t="s">
        <v>320</v>
      </c>
      <c r="H611" s="262" t="s">
        <v>87</v>
      </c>
      <c r="I611" s="357"/>
      <c r="J611" s="245" t="s">
        <v>561</v>
      </c>
      <c r="K611" s="250"/>
      <c r="L611" s="299" t="s">
        <v>5415</v>
      </c>
      <c r="M611" s="288" t="s">
        <v>5415</v>
      </c>
      <c r="N611" s="245"/>
      <c r="O611" s="1360" t="s">
        <v>5453</v>
      </c>
      <c r="P611" s="627"/>
      <c r="Q611" s="197" t="s">
        <v>87</v>
      </c>
      <c r="R611" s="682" t="s">
        <v>5452</v>
      </c>
      <c r="S611" s="279">
        <v>37688</v>
      </c>
      <c r="T611" s="289"/>
      <c r="U611" s="251" t="s">
        <v>54</v>
      </c>
      <c r="V611" s="299" t="s">
        <v>5415</v>
      </c>
      <c r="W611" s="197" t="s">
        <v>295</v>
      </c>
      <c r="X611" s="197"/>
      <c r="Y611" s="197" t="s">
        <v>5500</v>
      </c>
      <c r="Z611" s="246">
        <v>45266</v>
      </c>
      <c r="AA611" s="245"/>
      <c r="AB611" s="296" t="s">
        <v>5456</v>
      </c>
      <c r="AC611" s="223" t="s">
        <v>482</v>
      </c>
      <c r="AD611" s="299"/>
      <c r="AE611" s="494">
        <v>45261</v>
      </c>
      <c r="AF611" s="494">
        <v>45626</v>
      </c>
      <c r="AG611" s="241"/>
      <c r="AH611" s="253"/>
      <c r="AI611" s="307" t="s">
        <v>4208</v>
      </c>
      <c r="AJ611" s="303" t="s">
        <v>136</v>
      </c>
      <c r="AK611" s="241">
        <v>4</v>
      </c>
      <c r="AL611" s="123" t="s">
        <v>463</v>
      </c>
      <c r="AM611" s="123" t="s">
        <v>460</v>
      </c>
      <c r="AN611" s="110"/>
      <c r="AO611" s="110"/>
      <c r="AP611" s="115"/>
      <c r="AQ611" s="115"/>
      <c r="AR611" s="115"/>
      <c r="AS611" s="115"/>
      <c r="AT611" s="115"/>
    </row>
    <row r="612" spans="1:46" ht="39" customHeight="1" x14ac:dyDescent="0.25">
      <c r="A612" s="1468">
        <v>611</v>
      </c>
      <c r="B612" s="141">
        <v>2</v>
      </c>
      <c r="C612" s="378" t="s">
        <v>321</v>
      </c>
      <c r="D612" s="303"/>
      <c r="E612" s="241"/>
      <c r="F612" s="241"/>
      <c r="G612" s="261" t="s">
        <v>322</v>
      </c>
      <c r="H612" s="262" t="s">
        <v>87</v>
      </c>
      <c r="I612" s="364"/>
      <c r="J612" s="245" t="s">
        <v>561</v>
      </c>
      <c r="K612" s="288" t="s">
        <v>50</v>
      </c>
      <c r="L612" s="299" t="s">
        <v>5027</v>
      </c>
      <c r="M612" s="299" t="s">
        <v>5027</v>
      </c>
      <c r="N612" s="245"/>
      <c r="O612" s="1360" t="s">
        <v>5052</v>
      </c>
      <c r="P612" s="627"/>
      <c r="Q612" s="197" t="s">
        <v>87</v>
      </c>
      <c r="R612" s="1188" t="s">
        <v>5051</v>
      </c>
      <c r="S612" s="279">
        <v>36283</v>
      </c>
      <c r="T612" s="289"/>
      <c r="U612" s="251" t="s">
        <v>54</v>
      </c>
      <c r="V612" s="197" t="s">
        <v>5027</v>
      </c>
      <c r="W612" s="197" t="s">
        <v>3478</v>
      </c>
      <c r="X612" s="197"/>
      <c r="Y612" s="197" t="s">
        <v>5057</v>
      </c>
      <c r="Z612" s="246">
        <v>45252</v>
      </c>
      <c r="AA612" s="245"/>
      <c r="AB612" s="296" t="s">
        <v>5039</v>
      </c>
      <c r="AC612" s="223" t="s">
        <v>946</v>
      </c>
      <c r="AD612" s="299" t="s">
        <v>467</v>
      </c>
      <c r="AE612" s="494">
        <v>45251</v>
      </c>
      <c r="AF612" s="494">
        <v>45616</v>
      </c>
      <c r="AG612" s="241"/>
      <c r="AH612" s="253"/>
      <c r="AI612" s="307" t="s">
        <v>4208</v>
      </c>
      <c r="AJ612" s="303" t="s">
        <v>136</v>
      </c>
      <c r="AK612" s="241">
        <v>4</v>
      </c>
      <c r="AL612" s="123" t="s">
        <v>463</v>
      </c>
      <c r="AM612" s="123" t="s">
        <v>460</v>
      </c>
      <c r="AN612" s="110"/>
      <c r="AO612" s="110"/>
      <c r="AP612" s="115"/>
      <c r="AQ612" s="115"/>
      <c r="AR612" s="115"/>
      <c r="AS612" s="115"/>
      <c r="AT612" s="116"/>
    </row>
    <row r="613" spans="1:46" ht="39" customHeight="1" x14ac:dyDescent="0.25">
      <c r="A613" s="1468">
        <v>612</v>
      </c>
      <c r="B613" s="141">
        <v>1</v>
      </c>
      <c r="C613" s="378" t="s">
        <v>323</v>
      </c>
      <c r="D613" s="303"/>
      <c r="E613" s="241"/>
      <c r="F613" s="241"/>
      <c r="G613" s="261" t="s">
        <v>324</v>
      </c>
      <c r="H613" s="262" t="s">
        <v>87</v>
      </c>
      <c r="I613" s="357"/>
      <c r="J613" s="245" t="s">
        <v>561</v>
      </c>
      <c r="K613" s="216"/>
      <c r="L613" s="281" t="s">
        <v>1676</v>
      </c>
      <c r="M613" s="281" t="s">
        <v>1508</v>
      </c>
      <c r="N613" s="366"/>
      <c r="O613" s="392" t="s">
        <v>2893</v>
      </c>
      <c r="P613" s="402"/>
      <c r="Q613" s="380" t="s">
        <v>87</v>
      </c>
      <c r="R613" s="682" t="s">
        <v>1752</v>
      </c>
      <c r="S613" s="279" t="s">
        <v>4741</v>
      </c>
      <c r="T613" s="197"/>
      <c r="U613" s="251" t="s">
        <v>54</v>
      </c>
      <c r="V613" s="245"/>
      <c r="W613" s="250" t="s">
        <v>295</v>
      </c>
      <c r="X613" s="223"/>
      <c r="Y613" s="245"/>
      <c r="Z613" s="246"/>
      <c r="AA613" s="246"/>
      <c r="AB613" s="296" t="s">
        <v>4360</v>
      </c>
      <c r="AC613" s="223" t="s">
        <v>946</v>
      </c>
      <c r="AD613" s="376"/>
      <c r="AE613" s="494" t="s">
        <v>4345</v>
      </c>
      <c r="AF613" s="494">
        <v>45478</v>
      </c>
      <c r="AG613" s="241"/>
      <c r="AH613" s="283"/>
      <c r="AI613" s="254" t="s">
        <v>1351</v>
      </c>
      <c r="AJ613" s="303" t="s">
        <v>136</v>
      </c>
      <c r="AK613" s="241">
        <v>4</v>
      </c>
      <c r="AL613" s="123" t="s">
        <v>463</v>
      </c>
      <c r="AM613" s="123" t="s">
        <v>460</v>
      </c>
      <c r="AN613" s="110"/>
      <c r="AO613" s="110"/>
      <c r="AP613" s="115"/>
      <c r="AQ613" s="115"/>
      <c r="AR613" s="115"/>
      <c r="AS613" s="115"/>
      <c r="AT613" s="115"/>
    </row>
    <row r="614" spans="1:46" ht="39" customHeight="1" x14ac:dyDescent="0.25">
      <c r="A614" s="1468">
        <v>613</v>
      </c>
      <c r="B614" s="141">
        <v>2</v>
      </c>
      <c r="C614" s="503" t="s">
        <v>325</v>
      </c>
      <c r="D614" s="471"/>
      <c r="E614" s="471"/>
      <c r="F614" s="471"/>
      <c r="G614" s="472" t="s">
        <v>324</v>
      </c>
      <c r="H614" s="1302" t="s">
        <v>87</v>
      </c>
      <c r="I614" s="473"/>
      <c r="J614" s="264" t="s">
        <v>561</v>
      </c>
      <c r="K614" s="288" t="s">
        <v>158</v>
      </c>
      <c r="L614" s="299" t="s">
        <v>5027</v>
      </c>
      <c r="M614" s="299" t="s">
        <v>5027</v>
      </c>
      <c r="N614" s="245"/>
      <c r="O614" s="1360" t="s">
        <v>5054</v>
      </c>
      <c r="P614" s="627"/>
      <c r="Q614" s="197" t="s">
        <v>87</v>
      </c>
      <c r="R614" s="1188" t="s">
        <v>5053</v>
      </c>
      <c r="S614" s="279">
        <v>37863</v>
      </c>
      <c r="T614" s="289"/>
      <c r="U614" s="251" t="s">
        <v>54</v>
      </c>
      <c r="V614" s="197" t="s">
        <v>5027</v>
      </c>
      <c r="W614" s="197" t="s">
        <v>3478</v>
      </c>
      <c r="X614" s="197"/>
      <c r="Y614" s="197" t="s">
        <v>5057</v>
      </c>
      <c r="Z614" s="246">
        <v>45252</v>
      </c>
      <c r="AA614" s="245"/>
      <c r="AB614" s="296" t="s">
        <v>5042</v>
      </c>
      <c r="AC614" s="223" t="s">
        <v>946</v>
      </c>
      <c r="AD614" s="299" t="s">
        <v>467</v>
      </c>
      <c r="AE614" s="494">
        <v>45251</v>
      </c>
      <c r="AF614" s="494">
        <v>45616</v>
      </c>
      <c r="AG614" s="241"/>
      <c r="AH614" s="253"/>
      <c r="AI614" s="307" t="s">
        <v>4208</v>
      </c>
      <c r="AJ614" s="303" t="s">
        <v>136</v>
      </c>
      <c r="AK614" s="471">
        <v>4</v>
      </c>
      <c r="AL614" s="176" t="s">
        <v>463</v>
      </c>
      <c r="AM614" s="176" t="s">
        <v>460</v>
      </c>
      <c r="AN614" s="110"/>
      <c r="AO614" s="179"/>
      <c r="AP614" s="115"/>
      <c r="AQ614" s="115"/>
      <c r="AR614" s="115"/>
      <c r="AS614" s="115"/>
      <c r="AT614" s="115"/>
    </row>
    <row r="615" spans="1:46" ht="39" customHeight="1" x14ac:dyDescent="0.25">
      <c r="A615" s="1468">
        <v>614</v>
      </c>
      <c r="B615" s="987"/>
      <c r="C615" s="989"/>
      <c r="D615" s="664"/>
      <c r="E615" s="664"/>
      <c r="F615" s="664"/>
      <c r="G615" s="227"/>
      <c r="H615" s="228"/>
      <c r="I615" s="228"/>
      <c r="J615" s="229"/>
      <c r="K615" s="227"/>
      <c r="L615" s="229"/>
      <c r="M615" s="229"/>
      <c r="N615" s="229"/>
      <c r="O615" s="309"/>
      <c r="P615" s="230" t="s">
        <v>328</v>
      </c>
      <c r="Q615" s="664"/>
      <c r="R615" s="324"/>
      <c r="S615" s="279"/>
      <c r="T615" s="232"/>
      <c r="U615" s="250"/>
      <c r="V615" s="232"/>
      <c r="W615" s="232"/>
      <c r="X615" s="232"/>
      <c r="Y615" s="232"/>
      <c r="Z615" s="233"/>
      <c r="AA615" s="234"/>
      <c r="AB615" s="235"/>
      <c r="AC615" s="236"/>
      <c r="AD615" s="235"/>
      <c r="AE615" s="494"/>
      <c r="AF615" s="494"/>
      <c r="AG615" s="664"/>
      <c r="AH615" s="238"/>
      <c r="AI615" s="239"/>
      <c r="AJ615" s="576"/>
      <c r="AK615" s="664"/>
      <c r="AL615" s="113"/>
      <c r="AM615" s="113"/>
      <c r="AN615" s="113"/>
      <c r="AO615" s="114"/>
      <c r="AP615" s="115"/>
      <c r="AQ615" s="115"/>
      <c r="AR615" s="115"/>
      <c r="AS615" s="115"/>
      <c r="AT615" s="116"/>
    </row>
    <row r="616" spans="1:46" ht="39" customHeight="1" x14ac:dyDescent="0.25">
      <c r="A616" s="1468">
        <v>615</v>
      </c>
      <c r="B616" s="146">
        <v>10</v>
      </c>
      <c r="C616" s="804" t="s">
        <v>305</v>
      </c>
      <c r="D616" s="806"/>
      <c r="E616" s="806" t="s">
        <v>47</v>
      </c>
      <c r="F616" s="806"/>
      <c r="G616" s="807" t="s">
        <v>91</v>
      </c>
      <c r="H616" s="808" t="s">
        <v>83</v>
      </c>
      <c r="I616" s="1103"/>
      <c r="J616" s="809">
        <v>302</v>
      </c>
      <c r="K616" s="197" t="s">
        <v>50</v>
      </c>
      <c r="L616" s="301"/>
      <c r="M616" s="229"/>
      <c r="N616" s="366"/>
      <c r="O616" s="1476" t="s">
        <v>3205</v>
      </c>
      <c r="P616" s="367"/>
      <c r="Q616" s="338" t="s">
        <v>119</v>
      </c>
      <c r="R616" s="1163" t="s">
        <v>1412</v>
      </c>
      <c r="S616" s="279">
        <v>35332</v>
      </c>
      <c r="T616" s="250"/>
      <c r="U616" s="251" t="s">
        <v>54</v>
      </c>
      <c r="V616" s="306" t="s">
        <v>6136</v>
      </c>
      <c r="W616" s="197" t="s">
        <v>128</v>
      </c>
      <c r="X616" s="197" t="s">
        <v>475</v>
      </c>
      <c r="Y616" s="981" t="s">
        <v>6152</v>
      </c>
      <c r="Z616" s="246">
        <v>45323</v>
      </c>
      <c r="AA616" s="252">
        <v>45351</v>
      </c>
      <c r="AB616" s="282"/>
      <c r="AC616" s="223"/>
      <c r="AD616" s="301"/>
      <c r="AE616" s="494"/>
      <c r="AF616" s="494"/>
      <c r="AG616" s="385"/>
      <c r="AH616" s="386"/>
      <c r="AI616" s="386"/>
      <c r="AJ616" s="806" t="s">
        <v>62</v>
      </c>
      <c r="AK616" s="806">
        <v>1</v>
      </c>
      <c r="AL616" s="810" t="s">
        <v>463</v>
      </c>
      <c r="AM616" s="810" t="s">
        <v>460</v>
      </c>
      <c r="AN616" s="124"/>
      <c r="AO616" s="1304"/>
      <c r="AP616" s="115"/>
      <c r="AQ616" s="115"/>
      <c r="AR616" s="115"/>
      <c r="AS616" s="115"/>
      <c r="AT616" s="115"/>
    </row>
    <row r="617" spans="1:46" ht="39" customHeight="1" x14ac:dyDescent="0.25">
      <c r="A617" s="1468">
        <v>616</v>
      </c>
      <c r="B617" s="987"/>
      <c r="C617" s="989"/>
      <c r="D617" s="664"/>
      <c r="E617" s="664"/>
      <c r="F617" s="664"/>
      <c r="G617" s="227"/>
      <c r="H617" s="228"/>
      <c r="I617" s="228"/>
      <c r="J617" s="229"/>
      <c r="K617" s="227"/>
      <c r="L617" s="229"/>
      <c r="M617" s="229"/>
      <c r="N617" s="229"/>
      <c r="O617" s="309"/>
      <c r="P617" s="230" t="s">
        <v>306</v>
      </c>
      <c r="Q617" s="664"/>
      <c r="R617" s="324"/>
      <c r="S617" s="279"/>
      <c r="T617" s="232"/>
      <c r="U617" s="250"/>
      <c r="V617" s="232"/>
      <c r="W617" s="232"/>
      <c r="X617" s="232"/>
      <c r="Y617" s="232"/>
      <c r="Z617" s="233"/>
      <c r="AA617" s="234"/>
      <c r="AB617" s="235"/>
      <c r="AC617" s="236"/>
      <c r="AD617" s="235"/>
      <c r="AE617" s="494"/>
      <c r="AF617" s="494"/>
      <c r="AG617" s="664"/>
      <c r="AH617" s="238"/>
      <c r="AI617" s="239"/>
      <c r="AJ617" s="576"/>
      <c r="AK617" s="664"/>
      <c r="AL617" s="113"/>
      <c r="AM617" s="113"/>
      <c r="AN617" s="113"/>
      <c r="AO617" s="114"/>
      <c r="AP617" s="115"/>
      <c r="AQ617" s="115"/>
      <c r="AR617" s="115"/>
      <c r="AS617" s="115"/>
      <c r="AT617" s="116"/>
    </row>
    <row r="618" spans="1:46" ht="39" customHeight="1" x14ac:dyDescent="0.25">
      <c r="A618" s="1468">
        <v>617</v>
      </c>
      <c r="B618" s="141">
        <v>7</v>
      </c>
      <c r="C618" s="497" t="s">
        <v>307</v>
      </c>
      <c r="D618" s="498"/>
      <c r="E618" s="498" t="s">
        <v>47</v>
      </c>
      <c r="F618" s="498"/>
      <c r="G618" s="499" t="s">
        <v>308</v>
      </c>
      <c r="H618" s="896" t="s">
        <v>132</v>
      </c>
      <c r="I618" s="371" t="s">
        <v>309</v>
      </c>
      <c r="J618" s="734">
        <v>403</v>
      </c>
      <c r="K618" s="288" t="s">
        <v>158</v>
      </c>
      <c r="L618" s="301" t="s">
        <v>3678</v>
      </c>
      <c r="M618" s="301" t="s">
        <v>3678</v>
      </c>
      <c r="N618" s="281" t="s">
        <v>4217</v>
      </c>
      <c r="O618" s="216" t="s">
        <v>3880</v>
      </c>
      <c r="P618" s="301"/>
      <c r="Q618" s="301" t="s">
        <v>87</v>
      </c>
      <c r="R618" s="1201" t="s">
        <v>3879</v>
      </c>
      <c r="S618" s="279">
        <v>37824</v>
      </c>
      <c r="T618" s="306"/>
      <c r="U618" s="251" t="s">
        <v>54</v>
      </c>
      <c r="V618" s="245" t="s">
        <v>5948</v>
      </c>
      <c r="W618" s="250" t="s">
        <v>295</v>
      </c>
      <c r="X618" s="197" t="s">
        <v>475</v>
      </c>
      <c r="Y618" s="981" t="s">
        <v>5950</v>
      </c>
      <c r="Z618" s="246">
        <v>45309</v>
      </c>
      <c r="AA618" s="301"/>
      <c r="AB618" s="288" t="s">
        <v>4293</v>
      </c>
      <c r="AC618" s="223" t="s">
        <v>946</v>
      </c>
      <c r="AD618" s="299" t="s">
        <v>467</v>
      </c>
      <c r="AE618" s="494">
        <v>45103</v>
      </c>
      <c r="AF618" s="494">
        <v>45468</v>
      </c>
      <c r="AG618" s="305"/>
      <c r="AH618" s="283"/>
      <c r="AI618" s="296" t="s">
        <v>1351</v>
      </c>
      <c r="AJ618" s="303" t="s">
        <v>136</v>
      </c>
      <c r="AK618" s="491">
        <v>3</v>
      </c>
      <c r="AL618" s="175" t="s">
        <v>463</v>
      </c>
      <c r="AM618" s="175" t="s">
        <v>460</v>
      </c>
      <c r="AN618" s="130"/>
      <c r="AO618" s="177"/>
      <c r="AP618" s="115"/>
      <c r="AQ618" s="115"/>
      <c r="AR618" s="115"/>
      <c r="AS618" s="115"/>
      <c r="AT618" s="115"/>
    </row>
    <row r="619" spans="1:46" ht="39" customHeight="1" x14ac:dyDescent="0.25">
      <c r="A619" s="1468">
        <v>618</v>
      </c>
      <c r="B619" s="141">
        <v>3</v>
      </c>
      <c r="C619" s="356" t="s">
        <v>290</v>
      </c>
      <c r="D619" s="241" t="s">
        <v>134</v>
      </c>
      <c r="E619" s="241"/>
      <c r="F619" s="241"/>
      <c r="G619" s="261" t="s">
        <v>291</v>
      </c>
      <c r="H619" s="262" t="s">
        <v>85</v>
      </c>
      <c r="I619" s="371"/>
      <c r="J619" s="245" t="s">
        <v>556</v>
      </c>
      <c r="K619" s="288" t="s">
        <v>158</v>
      </c>
      <c r="L619" s="288" t="s">
        <v>3678</v>
      </c>
      <c r="M619" s="288" t="s">
        <v>3678</v>
      </c>
      <c r="N619" s="281" t="s">
        <v>4217</v>
      </c>
      <c r="O619" s="392" t="s">
        <v>3718</v>
      </c>
      <c r="P619" s="374"/>
      <c r="Q619" s="380" t="s">
        <v>87</v>
      </c>
      <c r="R619" s="1188" t="s">
        <v>3717</v>
      </c>
      <c r="S619" s="279">
        <v>38037</v>
      </c>
      <c r="T619" s="197"/>
      <c r="U619" s="251" t="s">
        <v>54</v>
      </c>
      <c r="V619" s="245" t="s">
        <v>3904</v>
      </c>
      <c r="W619" s="250" t="s">
        <v>295</v>
      </c>
      <c r="X619" s="197" t="s">
        <v>475</v>
      </c>
      <c r="Y619" s="245" t="s">
        <v>3975</v>
      </c>
      <c r="Z619" s="246">
        <v>45224</v>
      </c>
      <c r="AA619" s="246"/>
      <c r="AB619" s="288" t="s">
        <v>4279</v>
      </c>
      <c r="AC619" s="223" t="s">
        <v>946</v>
      </c>
      <c r="AD619" s="299" t="s">
        <v>467</v>
      </c>
      <c r="AE619" s="494">
        <v>45114</v>
      </c>
      <c r="AF619" s="494">
        <v>45479</v>
      </c>
      <c r="AG619" s="392"/>
      <c r="AH619" s="283"/>
      <c r="AI619" s="296" t="s">
        <v>1351</v>
      </c>
      <c r="AJ619" s="303" t="s">
        <v>136</v>
      </c>
      <c r="AK619" s="241">
        <v>4</v>
      </c>
      <c r="AL619" s="123" t="s">
        <v>463</v>
      </c>
      <c r="AM619" s="123" t="s">
        <v>460</v>
      </c>
      <c r="AN619" s="110" t="s">
        <v>4184</v>
      </c>
      <c r="AO619" s="130"/>
      <c r="AP619" s="115"/>
      <c r="AQ619" s="149"/>
      <c r="AR619" s="115"/>
      <c r="AS619" s="115"/>
      <c r="AT619" s="115"/>
    </row>
    <row r="620" spans="1:46" ht="39" customHeight="1" x14ac:dyDescent="0.25">
      <c r="A620" s="1468">
        <v>619</v>
      </c>
      <c r="B620" s="141">
        <v>3</v>
      </c>
      <c r="C620" s="358" t="s">
        <v>297</v>
      </c>
      <c r="D620" s="241" t="s">
        <v>134</v>
      </c>
      <c r="E620" s="241"/>
      <c r="F620" s="241"/>
      <c r="G620" s="261" t="s">
        <v>298</v>
      </c>
      <c r="H620" s="262" t="s">
        <v>85</v>
      </c>
      <c r="I620" s="371"/>
      <c r="J620" s="245" t="s">
        <v>556</v>
      </c>
      <c r="K620" s="288"/>
      <c r="L620" s="288" t="s">
        <v>5144</v>
      </c>
      <c r="M620" s="288" t="s">
        <v>5144</v>
      </c>
      <c r="N620" s="281"/>
      <c r="O620" s="1397" t="s">
        <v>5217</v>
      </c>
      <c r="P620" s="388"/>
      <c r="Q620" s="380" t="s">
        <v>87</v>
      </c>
      <c r="R620" s="1201" t="s">
        <v>5172</v>
      </c>
      <c r="S620" s="279">
        <v>35893</v>
      </c>
      <c r="T620" s="299"/>
      <c r="U620" s="251" t="s">
        <v>54</v>
      </c>
      <c r="V620" s="245" t="s">
        <v>5171</v>
      </c>
      <c r="W620" s="250" t="s">
        <v>295</v>
      </c>
      <c r="X620" s="197"/>
      <c r="Y620" s="981" t="s">
        <v>5829</v>
      </c>
      <c r="Z620" s="246">
        <v>45260</v>
      </c>
      <c r="AA620" s="246"/>
      <c r="AB620" s="250" t="s">
        <v>5265</v>
      </c>
      <c r="AC620" s="223" t="s">
        <v>946</v>
      </c>
      <c r="AD620" s="245" t="s">
        <v>467</v>
      </c>
      <c r="AE620" s="494">
        <v>45256</v>
      </c>
      <c r="AF620" s="494">
        <v>45621</v>
      </c>
      <c r="AG620" s="392"/>
      <c r="AH620" s="283"/>
      <c r="AI620" s="296" t="s">
        <v>4208</v>
      </c>
      <c r="AJ620" s="303" t="s">
        <v>136</v>
      </c>
      <c r="AK620" s="241">
        <v>4</v>
      </c>
      <c r="AL620" s="123" t="s">
        <v>463</v>
      </c>
      <c r="AM620" s="123" t="s">
        <v>460</v>
      </c>
      <c r="AN620" s="130"/>
      <c r="AO620" s="130"/>
      <c r="AP620" s="115"/>
      <c r="AQ620" s="149"/>
      <c r="AR620" s="115"/>
      <c r="AS620" s="115"/>
      <c r="AT620" s="116"/>
    </row>
    <row r="621" spans="1:46" ht="39" customHeight="1" x14ac:dyDescent="0.25">
      <c r="A621" s="1468">
        <v>620</v>
      </c>
      <c r="B621" s="141">
        <v>2</v>
      </c>
      <c r="C621" s="260" t="s">
        <v>311</v>
      </c>
      <c r="D621" s="241"/>
      <c r="E621" s="241"/>
      <c r="F621" s="241"/>
      <c r="G621" s="261" t="s">
        <v>312</v>
      </c>
      <c r="H621" s="262" t="s">
        <v>85</v>
      </c>
      <c r="I621" s="371"/>
      <c r="J621" s="245" t="s">
        <v>556</v>
      </c>
      <c r="K621" s="216"/>
      <c r="L621" s="288" t="s">
        <v>5144</v>
      </c>
      <c r="M621" s="288" t="s">
        <v>5144</v>
      </c>
      <c r="N621" s="366"/>
      <c r="O621" s="1392" t="s">
        <v>5218</v>
      </c>
      <c r="P621" s="367"/>
      <c r="Q621" s="380" t="s">
        <v>87</v>
      </c>
      <c r="R621" s="1003" t="s">
        <v>5387</v>
      </c>
      <c r="S621" s="279">
        <v>38525</v>
      </c>
      <c r="T621" s="197"/>
      <c r="U621" s="251" t="s">
        <v>54</v>
      </c>
      <c r="V621" s="250" t="s">
        <v>5800</v>
      </c>
      <c r="W621" s="197" t="s">
        <v>5802</v>
      </c>
      <c r="X621" s="289" t="s">
        <v>475</v>
      </c>
      <c r="Y621" s="981" t="s">
        <v>5801</v>
      </c>
      <c r="Z621" s="246">
        <v>45286</v>
      </c>
      <c r="AA621" s="246"/>
      <c r="AB621" s="288" t="s">
        <v>5266</v>
      </c>
      <c r="AC621" s="223" t="s">
        <v>946</v>
      </c>
      <c r="AD621" s="245" t="s">
        <v>467</v>
      </c>
      <c r="AE621" s="494">
        <v>45257</v>
      </c>
      <c r="AF621" s="494">
        <v>45622</v>
      </c>
      <c r="AG621" s="241"/>
      <c r="AH621" s="283"/>
      <c r="AI621" s="296" t="s">
        <v>4208</v>
      </c>
      <c r="AJ621" s="303" t="s">
        <v>136</v>
      </c>
      <c r="AK621" s="241">
        <v>4</v>
      </c>
      <c r="AL621" s="123" t="s">
        <v>463</v>
      </c>
      <c r="AM621" s="123" t="s">
        <v>460</v>
      </c>
      <c r="AN621" s="130"/>
      <c r="AO621" s="130"/>
      <c r="AP621" s="115"/>
      <c r="AQ621" s="149"/>
      <c r="AR621" s="115"/>
      <c r="AS621" s="115"/>
      <c r="AT621" s="115"/>
    </row>
    <row r="622" spans="1:46" ht="39" customHeight="1" x14ac:dyDescent="0.25">
      <c r="A622" s="1468">
        <v>621</v>
      </c>
      <c r="B622" s="141">
        <v>2</v>
      </c>
      <c r="C622" s="260" t="s">
        <v>317</v>
      </c>
      <c r="D622" s="241"/>
      <c r="E622" s="241"/>
      <c r="F622" s="241"/>
      <c r="G622" s="261" t="s">
        <v>318</v>
      </c>
      <c r="H622" s="262" t="s">
        <v>87</v>
      </c>
      <c r="I622" s="371"/>
      <c r="J622" s="245" t="s">
        <v>561</v>
      </c>
      <c r="K622" s="216" t="s">
        <v>313</v>
      </c>
      <c r="L622" s="299" t="s">
        <v>5058</v>
      </c>
      <c r="M622" s="299" t="s">
        <v>5058</v>
      </c>
      <c r="N622" s="366"/>
      <c r="O622" s="1372" t="s">
        <v>5084</v>
      </c>
      <c r="P622" s="367"/>
      <c r="Q622" s="1372" t="s">
        <v>87</v>
      </c>
      <c r="R622" s="1003" t="s">
        <v>5082</v>
      </c>
      <c r="S622" s="279">
        <v>37882</v>
      </c>
      <c r="T622" s="197"/>
      <c r="U622" s="251" t="s">
        <v>54</v>
      </c>
      <c r="V622" s="299" t="s">
        <v>5058</v>
      </c>
      <c r="W622" s="250" t="s">
        <v>295</v>
      </c>
      <c r="X622" s="197"/>
      <c r="Y622" s="245"/>
      <c r="Z622" s="246">
        <v>45253</v>
      </c>
      <c r="AA622" s="246"/>
      <c r="AB622" s="288" t="s">
        <v>5083</v>
      </c>
      <c r="AC622" s="223"/>
      <c r="AD622" s="245" t="s">
        <v>467</v>
      </c>
      <c r="AE622" s="494">
        <v>45251</v>
      </c>
      <c r="AF622" s="494">
        <v>45616</v>
      </c>
      <c r="AG622" s="241"/>
      <c r="AH622" s="283"/>
      <c r="AI622" s="254" t="s">
        <v>4208</v>
      </c>
      <c r="AJ622" s="303" t="s">
        <v>136</v>
      </c>
      <c r="AK622" s="241">
        <v>4</v>
      </c>
      <c r="AL622" s="123" t="s">
        <v>463</v>
      </c>
      <c r="AM622" s="123" t="s">
        <v>460</v>
      </c>
      <c r="AN622" s="130"/>
      <c r="AO622" s="130"/>
      <c r="AP622" s="115"/>
      <c r="AQ622" s="149"/>
      <c r="AR622" s="115"/>
      <c r="AS622" s="115"/>
      <c r="AT622" s="115"/>
    </row>
    <row r="623" spans="1:46" ht="39" customHeight="1" x14ac:dyDescent="0.25">
      <c r="A623" s="1468">
        <v>622</v>
      </c>
      <c r="B623" s="146">
        <v>2</v>
      </c>
      <c r="C623" s="260" t="s">
        <v>319</v>
      </c>
      <c r="D623" s="241"/>
      <c r="E623" s="241"/>
      <c r="F623" s="241"/>
      <c r="G623" s="261" t="s">
        <v>320</v>
      </c>
      <c r="H623" s="262" t="s">
        <v>87</v>
      </c>
      <c r="I623" s="357"/>
      <c r="J623" s="245" t="s">
        <v>561</v>
      </c>
      <c r="K623" s="595"/>
      <c r="L623" s="281" t="s">
        <v>1676</v>
      </c>
      <c r="M623" s="281" t="s">
        <v>1508</v>
      </c>
      <c r="N623" s="366"/>
      <c r="O623" s="392" t="s">
        <v>3122</v>
      </c>
      <c r="P623" s="402"/>
      <c r="Q623" s="301" t="s">
        <v>87</v>
      </c>
      <c r="R623" s="682" t="s">
        <v>1798</v>
      </c>
      <c r="S623" s="279" t="s">
        <v>4743</v>
      </c>
      <c r="T623" s="197"/>
      <c r="U623" s="251" t="s">
        <v>54</v>
      </c>
      <c r="V623" s="245"/>
      <c r="W623" s="250" t="s">
        <v>295</v>
      </c>
      <c r="X623" s="197"/>
      <c r="Y623" s="245"/>
      <c r="Z623" s="246"/>
      <c r="AA623" s="246"/>
      <c r="AB623" s="296" t="s">
        <v>4364</v>
      </c>
      <c r="AC623" s="223" t="s">
        <v>946</v>
      </c>
      <c r="AD623" s="376"/>
      <c r="AE623" s="494" t="s">
        <v>4345</v>
      </c>
      <c r="AF623" s="494">
        <v>45478</v>
      </c>
      <c r="AG623" s="241"/>
      <c r="AH623" s="283"/>
      <c r="AI623" s="254" t="s">
        <v>1351</v>
      </c>
      <c r="AJ623" s="303" t="s">
        <v>136</v>
      </c>
      <c r="AK623" s="241">
        <v>4</v>
      </c>
      <c r="AL623" s="123" t="s">
        <v>463</v>
      </c>
      <c r="AM623" s="123" t="s">
        <v>460</v>
      </c>
      <c r="AN623" s="110"/>
      <c r="AO623" s="110"/>
      <c r="AP623" s="115"/>
      <c r="AQ623" s="149"/>
      <c r="AR623" s="115"/>
      <c r="AS623" s="115"/>
      <c r="AT623" s="115"/>
    </row>
    <row r="624" spans="1:46" ht="39" customHeight="1" x14ac:dyDescent="0.25">
      <c r="A624" s="1468">
        <v>623</v>
      </c>
      <c r="B624" s="141">
        <v>2</v>
      </c>
      <c r="C624" s="378" t="s">
        <v>321</v>
      </c>
      <c r="D624" s="303"/>
      <c r="E624" s="241"/>
      <c r="F624" s="241"/>
      <c r="G624" s="261" t="s">
        <v>322</v>
      </c>
      <c r="H624" s="262" t="s">
        <v>87</v>
      </c>
      <c r="I624" s="364"/>
      <c r="J624" s="245" t="s">
        <v>561</v>
      </c>
      <c r="K624" s="197"/>
      <c r="L624" s="281" t="s">
        <v>1676</v>
      </c>
      <c r="M624" s="281" t="s">
        <v>1508</v>
      </c>
      <c r="N624" s="366"/>
      <c r="O624" s="392" t="s">
        <v>3063</v>
      </c>
      <c r="P624" s="402"/>
      <c r="Q624" s="380" t="s">
        <v>87</v>
      </c>
      <c r="R624" s="682" t="s">
        <v>1785</v>
      </c>
      <c r="S624" s="279" t="s">
        <v>4744</v>
      </c>
      <c r="T624" s="197"/>
      <c r="U624" s="251" t="s">
        <v>54</v>
      </c>
      <c r="V624" s="245"/>
      <c r="W624" s="250" t="s">
        <v>295</v>
      </c>
      <c r="X624" s="197"/>
      <c r="Y624" s="245"/>
      <c r="Z624" s="246"/>
      <c r="AA624" s="246"/>
      <c r="AB624" s="296" t="s">
        <v>4365</v>
      </c>
      <c r="AC624" s="223" t="s">
        <v>209</v>
      </c>
      <c r="AD624" s="376"/>
      <c r="AE624" s="494" t="s">
        <v>4354</v>
      </c>
      <c r="AF624" s="494">
        <v>45477</v>
      </c>
      <c r="AG624" s="241"/>
      <c r="AH624" s="283"/>
      <c r="AI624" s="254" t="s">
        <v>1351</v>
      </c>
      <c r="AJ624" s="303" t="s">
        <v>136</v>
      </c>
      <c r="AK624" s="241">
        <v>4</v>
      </c>
      <c r="AL624" s="123" t="s">
        <v>463</v>
      </c>
      <c r="AM624" s="123" t="s">
        <v>460</v>
      </c>
      <c r="AN624" s="110"/>
      <c r="AO624" s="110"/>
      <c r="AP624" s="115"/>
      <c r="AQ624" s="149"/>
      <c r="AR624" s="115"/>
      <c r="AS624" s="115"/>
      <c r="AT624" s="115"/>
    </row>
    <row r="625" spans="1:46" ht="39" customHeight="1" x14ac:dyDescent="0.25">
      <c r="A625" s="1468">
        <v>624</v>
      </c>
      <c r="B625" s="141">
        <v>1</v>
      </c>
      <c r="C625" s="378" t="s">
        <v>323</v>
      </c>
      <c r="D625" s="303"/>
      <c r="E625" s="241"/>
      <c r="F625" s="241"/>
      <c r="G625" s="261" t="s">
        <v>324</v>
      </c>
      <c r="H625" s="262" t="s">
        <v>87</v>
      </c>
      <c r="I625" s="357"/>
      <c r="J625" s="245" t="s">
        <v>561</v>
      </c>
      <c r="K625" s="216" t="s">
        <v>313</v>
      </c>
      <c r="L625" s="299" t="s">
        <v>5058</v>
      </c>
      <c r="M625" s="299" t="s">
        <v>5058</v>
      </c>
      <c r="N625" s="245"/>
      <c r="O625" s="1372" t="s">
        <v>5087</v>
      </c>
      <c r="P625" s="627"/>
      <c r="Q625" s="1372" t="s">
        <v>87</v>
      </c>
      <c r="R625" s="1003" t="s">
        <v>5085</v>
      </c>
      <c r="S625" s="279">
        <v>38643</v>
      </c>
      <c r="T625" s="289"/>
      <c r="U625" s="251" t="s">
        <v>54</v>
      </c>
      <c r="V625" s="299" t="s">
        <v>5058</v>
      </c>
      <c r="W625" s="250" t="s">
        <v>295</v>
      </c>
      <c r="X625" s="197"/>
      <c r="Y625" s="245"/>
      <c r="Z625" s="246">
        <v>45253</v>
      </c>
      <c r="AA625" s="245"/>
      <c r="AB625" s="288" t="s">
        <v>5086</v>
      </c>
      <c r="AC625" s="223" t="s">
        <v>946</v>
      </c>
      <c r="AD625" s="245" t="s">
        <v>467</v>
      </c>
      <c r="AE625" s="494">
        <v>45252</v>
      </c>
      <c r="AF625" s="494">
        <v>45617</v>
      </c>
      <c r="AG625" s="241"/>
      <c r="AH625" s="253"/>
      <c r="AI625" s="254" t="s">
        <v>4208</v>
      </c>
      <c r="AJ625" s="303" t="s">
        <v>136</v>
      </c>
      <c r="AK625" s="241">
        <v>4</v>
      </c>
      <c r="AL625" s="123" t="s">
        <v>463</v>
      </c>
      <c r="AM625" s="123" t="s">
        <v>460</v>
      </c>
      <c r="AN625" s="110"/>
      <c r="AO625" s="110"/>
      <c r="AP625" s="115"/>
      <c r="AQ625" s="149"/>
      <c r="AR625" s="115"/>
      <c r="AS625" s="115"/>
      <c r="AT625" s="116"/>
    </row>
    <row r="626" spans="1:46" ht="39" customHeight="1" x14ac:dyDescent="0.25">
      <c r="A626" s="1468">
        <v>625</v>
      </c>
      <c r="B626" s="141">
        <v>2</v>
      </c>
      <c r="C626" s="503" t="s">
        <v>325</v>
      </c>
      <c r="D626" s="471"/>
      <c r="E626" s="471"/>
      <c r="F626" s="471"/>
      <c r="G626" s="472" t="s">
        <v>324</v>
      </c>
      <c r="H626" s="1302" t="s">
        <v>87</v>
      </c>
      <c r="I626" s="473"/>
      <c r="J626" s="264" t="s">
        <v>561</v>
      </c>
      <c r="K626" s="216" t="s">
        <v>313</v>
      </c>
      <c r="L626" s="299" t="s">
        <v>5058</v>
      </c>
      <c r="M626" s="299" t="s">
        <v>5058</v>
      </c>
      <c r="N626" s="404"/>
      <c r="O626" s="1372" t="s">
        <v>5090</v>
      </c>
      <c r="P626" s="519"/>
      <c r="Q626" s="1372" t="s">
        <v>87</v>
      </c>
      <c r="R626" s="1003" t="s">
        <v>5088</v>
      </c>
      <c r="S626" s="279">
        <v>38575</v>
      </c>
      <c r="T626" s="268"/>
      <c r="U626" s="251" t="s">
        <v>54</v>
      </c>
      <c r="V626" s="299" t="s">
        <v>5058</v>
      </c>
      <c r="W626" s="250" t="s">
        <v>295</v>
      </c>
      <c r="X626" s="197"/>
      <c r="Y626" s="245"/>
      <c r="Z626" s="246">
        <v>45253</v>
      </c>
      <c r="AA626" s="405"/>
      <c r="AB626" s="288" t="s">
        <v>5089</v>
      </c>
      <c r="AC626" s="223" t="s">
        <v>946</v>
      </c>
      <c r="AD626" s="245" t="s">
        <v>467</v>
      </c>
      <c r="AE626" s="494">
        <v>45245</v>
      </c>
      <c r="AF626" s="494">
        <v>45610</v>
      </c>
      <c r="AG626" s="471"/>
      <c r="AH626" s="585"/>
      <c r="AI626" s="254" t="s">
        <v>4208</v>
      </c>
      <c r="AJ626" s="303" t="s">
        <v>136</v>
      </c>
      <c r="AK626" s="471">
        <v>4</v>
      </c>
      <c r="AL626" s="176" t="s">
        <v>463</v>
      </c>
      <c r="AM626" s="176" t="s">
        <v>460</v>
      </c>
      <c r="AN626" s="110"/>
      <c r="AO626" s="179"/>
      <c r="AP626" s="115"/>
      <c r="AQ626" s="149"/>
      <c r="AR626" s="115"/>
      <c r="AS626" s="115"/>
      <c r="AT626" s="115"/>
    </row>
    <row r="627" spans="1:46" ht="39" customHeight="1" x14ac:dyDescent="0.25">
      <c r="A627" s="1468">
        <v>626</v>
      </c>
      <c r="B627" s="987"/>
      <c r="C627" s="989"/>
      <c r="D627" s="664"/>
      <c r="E627" s="664"/>
      <c r="F627" s="664"/>
      <c r="G627" s="227"/>
      <c r="H627" s="228"/>
      <c r="I627" s="228"/>
      <c r="J627" s="229"/>
      <c r="K627" s="227"/>
      <c r="L627" s="229"/>
      <c r="M627" s="229"/>
      <c r="N627" s="229"/>
      <c r="O627" s="309"/>
      <c r="P627" s="230" t="s">
        <v>326</v>
      </c>
      <c r="Q627" s="664"/>
      <c r="R627" s="324"/>
      <c r="S627" s="279"/>
      <c r="T627" s="232"/>
      <c r="U627" s="250"/>
      <c r="V627" s="232"/>
      <c r="W627" s="232"/>
      <c r="X627" s="232"/>
      <c r="Y627" s="232"/>
      <c r="Z627" s="233"/>
      <c r="AA627" s="234"/>
      <c r="AB627" s="235"/>
      <c r="AC627" s="236"/>
      <c r="AD627" s="235"/>
      <c r="AE627" s="494"/>
      <c r="AF627" s="494"/>
      <c r="AG627" s="664"/>
      <c r="AH627" s="238"/>
      <c r="AI627" s="239"/>
      <c r="AJ627" s="576"/>
      <c r="AK627" s="664"/>
      <c r="AL627" s="113"/>
      <c r="AM627" s="113"/>
      <c r="AN627" s="113"/>
      <c r="AO627" s="114"/>
      <c r="AP627" s="115"/>
      <c r="AQ627" s="115"/>
      <c r="AR627" s="115"/>
      <c r="AS627" s="115"/>
      <c r="AT627" s="116"/>
    </row>
    <row r="628" spans="1:46" ht="39" customHeight="1" x14ac:dyDescent="0.25">
      <c r="A628" s="1468">
        <v>627</v>
      </c>
      <c r="B628" s="141">
        <v>5</v>
      </c>
      <c r="C628" s="497" t="s">
        <v>288</v>
      </c>
      <c r="D628" s="498"/>
      <c r="E628" s="498" t="s">
        <v>47</v>
      </c>
      <c r="F628" s="498"/>
      <c r="G628" s="499" t="s">
        <v>289</v>
      </c>
      <c r="H628" s="500" t="s">
        <v>132</v>
      </c>
      <c r="I628" s="344">
        <v>144</v>
      </c>
      <c r="J628" s="734">
        <v>403</v>
      </c>
      <c r="K628" s="756" t="s">
        <v>158</v>
      </c>
      <c r="L628" s="397" t="s">
        <v>3678</v>
      </c>
      <c r="M628" s="397" t="s">
        <v>3678</v>
      </c>
      <c r="N628" s="441" t="s">
        <v>4217</v>
      </c>
      <c r="O628" s="277" t="s">
        <v>3875</v>
      </c>
      <c r="P628" s="1310"/>
      <c r="Q628" s="487" t="s">
        <v>87</v>
      </c>
      <c r="R628" s="1306" t="s">
        <v>4577</v>
      </c>
      <c r="S628" s="279">
        <v>38106</v>
      </c>
      <c r="T628" s="443"/>
      <c r="U628" s="251" t="s">
        <v>54</v>
      </c>
      <c r="V628" s="276" t="s">
        <v>3904</v>
      </c>
      <c r="W628" s="443" t="s">
        <v>295</v>
      </c>
      <c r="X628" s="280" t="s">
        <v>475</v>
      </c>
      <c r="Y628" s="276" t="s">
        <v>3975</v>
      </c>
      <c r="Z628" s="486">
        <v>45224</v>
      </c>
      <c r="AA628" s="486"/>
      <c r="AB628" s="756" t="s">
        <v>4280</v>
      </c>
      <c r="AC628" s="488" t="s">
        <v>946</v>
      </c>
      <c r="AD628" s="412" t="s">
        <v>467</v>
      </c>
      <c r="AE628" s="494">
        <v>45112</v>
      </c>
      <c r="AF628" s="494">
        <v>45477</v>
      </c>
      <c r="AG628" s="476"/>
      <c r="AH628" s="489"/>
      <c r="AI628" s="721" t="s">
        <v>1351</v>
      </c>
      <c r="AJ628" s="507" t="s">
        <v>136</v>
      </c>
      <c r="AK628" s="491">
        <v>3</v>
      </c>
      <c r="AL628" s="175" t="s">
        <v>463</v>
      </c>
      <c r="AM628" s="175" t="s">
        <v>460</v>
      </c>
      <c r="AN628" s="130"/>
      <c r="AO628" s="177"/>
      <c r="AP628" s="115"/>
      <c r="AQ628" s="115"/>
      <c r="AR628" s="115"/>
      <c r="AS628" s="115"/>
      <c r="AT628" s="115"/>
    </row>
    <row r="629" spans="1:46" ht="39" customHeight="1" x14ac:dyDescent="0.25">
      <c r="A629" s="1468">
        <v>628</v>
      </c>
      <c r="B629" s="141">
        <v>3</v>
      </c>
      <c r="C629" s="356" t="s">
        <v>290</v>
      </c>
      <c r="D629" s="241" t="s">
        <v>134</v>
      </c>
      <c r="E629" s="241"/>
      <c r="F629" s="241"/>
      <c r="G629" s="261" t="s">
        <v>291</v>
      </c>
      <c r="H629" s="262" t="s">
        <v>85</v>
      </c>
      <c r="I629" s="371"/>
      <c r="J629" s="245" t="s">
        <v>556</v>
      </c>
      <c r="K629" s="288" t="s">
        <v>158</v>
      </c>
      <c r="L629" s="288" t="s">
        <v>3678</v>
      </c>
      <c r="M629" s="288" t="s">
        <v>3678</v>
      </c>
      <c r="N629" s="281" t="s">
        <v>4217</v>
      </c>
      <c r="O629" s="392" t="s">
        <v>3855</v>
      </c>
      <c r="P629" s="595"/>
      <c r="Q629" s="380" t="s">
        <v>87</v>
      </c>
      <c r="R629" s="1188" t="s">
        <v>3854</v>
      </c>
      <c r="S629" s="279">
        <v>37643</v>
      </c>
      <c r="T629" s="595"/>
      <c r="U629" s="251" t="s">
        <v>54</v>
      </c>
      <c r="V629" s="245" t="s">
        <v>3904</v>
      </c>
      <c r="W629" s="250" t="s">
        <v>295</v>
      </c>
      <c r="X629" s="197" t="s">
        <v>475</v>
      </c>
      <c r="Y629" s="245" t="s">
        <v>3975</v>
      </c>
      <c r="Z629" s="246">
        <v>45224</v>
      </c>
      <c r="AA629" s="246"/>
      <c r="AB629" s="288" t="s">
        <v>4283</v>
      </c>
      <c r="AC629" s="223" t="s">
        <v>946</v>
      </c>
      <c r="AD629" s="299" t="s">
        <v>467</v>
      </c>
      <c r="AE629" s="494">
        <v>45106</v>
      </c>
      <c r="AF629" s="494">
        <v>45471</v>
      </c>
      <c r="AG629" s="392"/>
      <c r="AH629" s="283"/>
      <c r="AI629" s="296" t="s">
        <v>1351</v>
      </c>
      <c r="AJ629" s="303" t="s">
        <v>136</v>
      </c>
      <c r="AK629" s="241">
        <v>4</v>
      </c>
      <c r="AL629" s="123" t="s">
        <v>463</v>
      </c>
      <c r="AM629" s="123" t="s">
        <v>460</v>
      </c>
      <c r="AN629" s="110" t="s">
        <v>4184</v>
      </c>
      <c r="AO629" s="130"/>
      <c r="AP629" s="115"/>
      <c r="AQ629" s="115"/>
      <c r="AR629" s="115"/>
      <c r="AS629" s="115"/>
      <c r="AT629" s="115"/>
    </row>
    <row r="630" spans="1:46" ht="39" customHeight="1" x14ac:dyDescent="0.25">
      <c r="A630" s="1468">
        <v>629</v>
      </c>
      <c r="B630" s="141">
        <v>3</v>
      </c>
      <c r="C630" s="358" t="s">
        <v>297</v>
      </c>
      <c r="D630" s="241" t="s">
        <v>134</v>
      </c>
      <c r="E630" s="241"/>
      <c r="F630" s="241"/>
      <c r="G630" s="261" t="s">
        <v>298</v>
      </c>
      <c r="H630" s="262" t="s">
        <v>85</v>
      </c>
      <c r="I630" s="371"/>
      <c r="J630" s="245" t="s">
        <v>556</v>
      </c>
      <c r="K630" s="288" t="s">
        <v>158</v>
      </c>
      <c r="L630" s="288" t="s">
        <v>3678</v>
      </c>
      <c r="M630" s="288" t="s">
        <v>3678</v>
      </c>
      <c r="N630" s="281" t="s">
        <v>4217</v>
      </c>
      <c r="O630" s="392" t="s">
        <v>3722</v>
      </c>
      <c r="P630" s="595"/>
      <c r="Q630" s="380" t="s">
        <v>87</v>
      </c>
      <c r="R630" s="1188" t="s">
        <v>3721</v>
      </c>
      <c r="S630" s="279">
        <v>37593</v>
      </c>
      <c r="T630" s="684"/>
      <c r="U630" s="251" t="s">
        <v>54</v>
      </c>
      <c r="V630" s="245" t="s">
        <v>3904</v>
      </c>
      <c r="W630" s="250" t="s">
        <v>295</v>
      </c>
      <c r="X630" s="197" t="s">
        <v>475</v>
      </c>
      <c r="Y630" s="245" t="s">
        <v>3975</v>
      </c>
      <c r="Z630" s="246">
        <v>45224</v>
      </c>
      <c r="AA630" s="246"/>
      <c r="AB630" s="288" t="s">
        <v>4236</v>
      </c>
      <c r="AC630" s="223" t="s">
        <v>946</v>
      </c>
      <c r="AD630" s="299" t="s">
        <v>467</v>
      </c>
      <c r="AE630" s="494">
        <v>45104</v>
      </c>
      <c r="AF630" s="494">
        <v>45469</v>
      </c>
      <c r="AG630" s="392"/>
      <c r="AH630" s="283"/>
      <c r="AI630" s="296" t="s">
        <v>1351</v>
      </c>
      <c r="AJ630" s="303" t="s">
        <v>136</v>
      </c>
      <c r="AK630" s="241">
        <v>4</v>
      </c>
      <c r="AL630" s="123" t="s">
        <v>463</v>
      </c>
      <c r="AM630" s="123" t="s">
        <v>460</v>
      </c>
      <c r="AN630" s="130"/>
      <c r="AO630" s="130"/>
      <c r="AP630" s="115"/>
      <c r="AQ630" s="115"/>
      <c r="AR630" s="115"/>
      <c r="AS630" s="115"/>
      <c r="AT630" s="116"/>
    </row>
    <row r="631" spans="1:46" ht="39" customHeight="1" x14ac:dyDescent="0.25">
      <c r="A631" s="1468">
        <v>630</v>
      </c>
      <c r="B631" s="141">
        <v>2</v>
      </c>
      <c r="C631" s="260" t="s">
        <v>311</v>
      </c>
      <c r="D631" s="241"/>
      <c r="E631" s="241"/>
      <c r="F631" s="241"/>
      <c r="G631" s="261" t="s">
        <v>312</v>
      </c>
      <c r="H631" s="262" t="s">
        <v>85</v>
      </c>
      <c r="I631" s="371"/>
      <c r="J631" s="245" t="s">
        <v>556</v>
      </c>
      <c r="K631" s="216"/>
      <c r="L631" s="281" t="s">
        <v>1676</v>
      </c>
      <c r="M631" s="281" t="s">
        <v>1508</v>
      </c>
      <c r="N631" s="366"/>
      <c r="O631" s="392" t="s">
        <v>2942</v>
      </c>
      <c r="P631" s="402"/>
      <c r="Q631" s="380" t="s">
        <v>87</v>
      </c>
      <c r="R631" s="1006" t="s">
        <v>1759</v>
      </c>
      <c r="S631" s="279">
        <v>37990</v>
      </c>
      <c r="T631" s="197"/>
      <c r="U631" s="251" t="s">
        <v>54</v>
      </c>
      <c r="V631" s="245"/>
      <c r="W631" s="250" t="s">
        <v>295</v>
      </c>
      <c r="X631" s="685"/>
      <c r="Y631" s="245"/>
      <c r="Z631" s="246"/>
      <c r="AA631" s="246"/>
      <c r="AB631" s="288" t="s">
        <v>4367</v>
      </c>
      <c r="AC631" s="223" t="s">
        <v>946</v>
      </c>
      <c r="AD631" s="376"/>
      <c r="AE631" s="494">
        <v>45113</v>
      </c>
      <c r="AF631" s="494">
        <v>45478</v>
      </c>
      <c r="AG631" s="241"/>
      <c r="AH631" s="283"/>
      <c r="AI631" s="254" t="s">
        <v>1351</v>
      </c>
      <c r="AJ631" s="303" t="s">
        <v>136</v>
      </c>
      <c r="AK631" s="241">
        <v>4</v>
      </c>
      <c r="AL631" s="123" t="s">
        <v>463</v>
      </c>
      <c r="AM631" s="123" t="s">
        <v>460</v>
      </c>
      <c r="AN631" s="130"/>
      <c r="AO631" s="130"/>
      <c r="AP631" s="115"/>
      <c r="AQ631" s="115"/>
      <c r="AR631" s="115"/>
      <c r="AS631" s="115"/>
      <c r="AT631" s="115"/>
    </row>
    <row r="632" spans="1:46" ht="39" customHeight="1" x14ac:dyDescent="0.25">
      <c r="A632" s="1468">
        <v>631</v>
      </c>
      <c r="B632" s="141">
        <v>2</v>
      </c>
      <c r="C632" s="260" t="s">
        <v>317</v>
      </c>
      <c r="D632" s="241"/>
      <c r="E632" s="241"/>
      <c r="F632" s="241"/>
      <c r="G632" s="261" t="s">
        <v>318</v>
      </c>
      <c r="H632" s="262" t="s">
        <v>87</v>
      </c>
      <c r="I632" s="371"/>
      <c r="J632" s="245" t="s">
        <v>561</v>
      </c>
      <c r="K632" s="257"/>
      <c r="L632" s="299" t="s">
        <v>1508</v>
      </c>
      <c r="M632" s="299" t="s">
        <v>1708</v>
      </c>
      <c r="N632" s="245"/>
      <c r="O632" s="1273" t="s">
        <v>3082</v>
      </c>
      <c r="P632" s="627"/>
      <c r="Q632" s="594" t="s">
        <v>293</v>
      </c>
      <c r="R632" s="1003" t="s">
        <v>3083</v>
      </c>
      <c r="S632" s="279">
        <v>37545</v>
      </c>
      <c r="T632" s="289"/>
      <c r="U632" s="251" t="s">
        <v>54</v>
      </c>
      <c r="V632" s="289" t="s">
        <v>3476</v>
      </c>
      <c r="W632" s="197" t="s">
        <v>295</v>
      </c>
      <c r="X632" s="197" t="s">
        <v>475</v>
      </c>
      <c r="Y632" s="288" t="s">
        <v>3479</v>
      </c>
      <c r="Z632" s="246">
        <v>45201</v>
      </c>
      <c r="AA632" s="281"/>
      <c r="AB632" s="197" t="s">
        <v>4480</v>
      </c>
      <c r="AC632" s="223" t="s">
        <v>946</v>
      </c>
      <c r="AD632" s="245"/>
      <c r="AE632" s="494">
        <v>45112</v>
      </c>
      <c r="AF632" s="494">
        <v>45477</v>
      </c>
      <c r="AG632" s="241"/>
      <c r="AH632" s="253"/>
      <c r="AI632" s="284" t="s">
        <v>1351</v>
      </c>
      <c r="AJ632" s="303" t="s">
        <v>136</v>
      </c>
      <c r="AK632" s="241">
        <v>4</v>
      </c>
      <c r="AL632" s="123" t="s">
        <v>463</v>
      </c>
      <c r="AM632" s="123" t="s">
        <v>460</v>
      </c>
      <c r="AN632" s="130"/>
      <c r="AO632" s="130"/>
      <c r="AP632" s="115"/>
      <c r="AQ632" s="115"/>
      <c r="AR632" s="115"/>
      <c r="AS632" s="115"/>
      <c r="AT632" s="115"/>
    </row>
    <row r="633" spans="1:46" ht="39" customHeight="1" x14ac:dyDescent="0.25">
      <c r="A633" s="1468">
        <v>632</v>
      </c>
      <c r="B633" s="146">
        <v>2</v>
      </c>
      <c r="C633" s="260" t="s">
        <v>319</v>
      </c>
      <c r="D633" s="241"/>
      <c r="E633" s="241"/>
      <c r="F633" s="241"/>
      <c r="G633" s="261" t="s">
        <v>320</v>
      </c>
      <c r="H633" s="262" t="s">
        <v>87</v>
      </c>
      <c r="I633" s="357"/>
      <c r="J633" s="245" t="s">
        <v>561</v>
      </c>
      <c r="K633" s="595"/>
      <c r="L633" s="281" t="s">
        <v>1676</v>
      </c>
      <c r="M633" s="281" t="s">
        <v>1508</v>
      </c>
      <c r="N633" s="366"/>
      <c r="O633" s="392" t="s">
        <v>3127</v>
      </c>
      <c r="P633" s="402"/>
      <c r="Q633" s="301" t="s">
        <v>87</v>
      </c>
      <c r="R633" s="682" t="s">
        <v>1801</v>
      </c>
      <c r="S633" s="279">
        <v>38013</v>
      </c>
      <c r="T633" s="197"/>
      <c r="U633" s="251" t="s">
        <v>54</v>
      </c>
      <c r="V633" s="245"/>
      <c r="W633" s="250" t="s">
        <v>295</v>
      </c>
      <c r="X633" s="685"/>
      <c r="Y633" s="245"/>
      <c r="Z633" s="246"/>
      <c r="AA633" s="246"/>
      <c r="AB633" s="288" t="s">
        <v>4368</v>
      </c>
      <c r="AC633" s="223" t="s">
        <v>946</v>
      </c>
      <c r="AD633" s="376"/>
      <c r="AE633" s="494">
        <v>45112</v>
      </c>
      <c r="AF633" s="494">
        <v>45477</v>
      </c>
      <c r="AG633" s="241"/>
      <c r="AH633" s="283"/>
      <c r="AI633" s="254" t="s">
        <v>1351</v>
      </c>
      <c r="AJ633" s="303" t="s">
        <v>136</v>
      </c>
      <c r="AK633" s="241">
        <v>4</v>
      </c>
      <c r="AL633" s="123" t="s">
        <v>463</v>
      </c>
      <c r="AM633" s="123" t="s">
        <v>460</v>
      </c>
      <c r="AN633" s="110"/>
      <c r="AO633" s="110"/>
      <c r="AP633" s="115"/>
      <c r="AQ633" s="115"/>
      <c r="AR633" s="115"/>
      <c r="AS633" s="115"/>
      <c r="AT633" s="115"/>
    </row>
    <row r="634" spans="1:46" ht="39" customHeight="1" x14ac:dyDescent="0.3">
      <c r="A634" s="1468">
        <v>633</v>
      </c>
      <c r="B634" s="141">
        <v>2</v>
      </c>
      <c r="C634" s="378" t="s">
        <v>321</v>
      </c>
      <c r="D634" s="303"/>
      <c r="E634" s="241"/>
      <c r="F634" s="241"/>
      <c r="G634" s="261" t="s">
        <v>322</v>
      </c>
      <c r="H634" s="262" t="s">
        <v>87</v>
      </c>
      <c r="I634" s="364"/>
      <c r="J634" s="245" t="s">
        <v>561</v>
      </c>
      <c r="K634" s="216"/>
      <c r="L634" s="281" t="s">
        <v>1676</v>
      </c>
      <c r="M634" s="281" t="s">
        <v>1508</v>
      </c>
      <c r="N634" s="366"/>
      <c r="O634" s="392" t="s">
        <v>2952</v>
      </c>
      <c r="P634" s="402"/>
      <c r="Q634" s="380" t="s">
        <v>87</v>
      </c>
      <c r="R634" s="682" t="s">
        <v>1761</v>
      </c>
      <c r="S634" s="279">
        <v>37780</v>
      </c>
      <c r="T634" s="197"/>
      <c r="U634" s="251" t="s">
        <v>391</v>
      </c>
      <c r="V634" s="197" t="s">
        <v>3578</v>
      </c>
      <c r="W634" s="250" t="s">
        <v>3670</v>
      </c>
      <c r="X634" s="250" t="s">
        <v>2002</v>
      </c>
      <c r="Y634" s="1126" t="s">
        <v>3671</v>
      </c>
      <c r="Z634" s="252">
        <v>45216</v>
      </c>
      <c r="AA634" s="246"/>
      <c r="AB634" s="288" t="s">
        <v>4357</v>
      </c>
      <c r="AC634" s="223" t="s">
        <v>946</v>
      </c>
      <c r="AD634" s="376"/>
      <c r="AE634" s="494">
        <v>45113</v>
      </c>
      <c r="AF634" s="494">
        <v>45478</v>
      </c>
      <c r="AG634" s="241"/>
      <c r="AH634" s="283"/>
      <c r="AI634" s="254" t="s">
        <v>1351</v>
      </c>
      <c r="AJ634" s="303" t="s">
        <v>136</v>
      </c>
      <c r="AK634" s="241">
        <v>4</v>
      </c>
      <c r="AL634" s="123" t="s">
        <v>463</v>
      </c>
      <c r="AM634" s="123" t="s">
        <v>460</v>
      </c>
      <c r="AN634" s="110"/>
      <c r="AO634" s="110"/>
      <c r="AP634" s="115"/>
      <c r="AQ634" s="115"/>
      <c r="AR634" s="115"/>
      <c r="AS634" s="115"/>
      <c r="AT634" s="116"/>
    </row>
    <row r="635" spans="1:46" ht="39" customHeight="1" x14ac:dyDescent="0.25">
      <c r="A635" s="1468">
        <v>634</v>
      </c>
      <c r="B635" s="141">
        <v>1</v>
      </c>
      <c r="C635" s="378" t="s">
        <v>323</v>
      </c>
      <c r="D635" s="303"/>
      <c r="E635" s="241"/>
      <c r="F635" s="241"/>
      <c r="G635" s="261" t="s">
        <v>324</v>
      </c>
      <c r="H635" s="262" t="s">
        <v>87</v>
      </c>
      <c r="I635" s="357"/>
      <c r="J635" s="245" t="s">
        <v>561</v>
      </c>
      <c r="K635" s="216"/>
      <c r="L635" s="281" t="s">
        <v>1676</v>
      </c>
      <c r="M635" s="281" t="s">
        <v>1508</v>
      </c>
      <c r="N635" s="366"/>
      <c r="O635" s="392" t="s">
        <v>2988</v>
      </c>
      <c r="P635" s="402"/>
      <c r="Q635" s="380" t="s">
        <v>87</v>
      </c>
      <c r="R635" s="682" t="s">
        <v>1767</v>
      </c>
      <c r="S635" s="279">
        <v>38184</v>
      </c>
      <c r="T635" s="197"/>
      <c r="U635" s="251" t="s">
        <v>54</v>
      </c>
      <c r="V635" s="245"/>
      <c r="W635" s="250" t="s">
        <v>295</v>
      </c>
      <c r="X635" s="685"/>
      <c r="Y635" s="245"/>
      <c r="Z635" s="246"/>
      <c r="AA635" s="246"/>
      <c r="AB635" s="288" t="s">
        <v>4369</v>
      </c>
      <c r="AC635" s="223" t="s">
        <v>946</v>
      </c>
      <c r="AD635" s="376"/>
      <c r="AE635" s="494">
        <v>45112</v>
      </c>
      <c r="AF635" s="494">
        <v>45477</v>
      </c>
      <c r="AG635" s="241"/>
      <c r="AH635" s="283"/>
      <c r="AI635" s="254" t="s">
        <v>1351</v>
      </c>
      <c r="AJ635" s="303" t="s">
        <v>136</v>
      </c>
      <c r="AK635" s="241">
        <v>4</v>
      </c>
      <c r="AL635" s="123" t="s">
        <v>463</v>
      </c>
      <c r="AM635" s="123" t="s">
        <v>460</v>
      </c>
      <c r="AN635" s="110"/>
      <c r="AO635" s="110"/>
      <c r="AP635" s="115"/>
      <c r="AQ635" s="115"/>
      <c r="AR635" s="115"/>
      <c r="AS635" s="115"/>
      <c r="AT635" s="115"/>
    </row>
    <row r="636" spans="1:46" ht="39" customHeight="1" x14ac:dyDescent="0.25">
      <c r="A636" s="1468">
        <v>635</v>
      </c>
      <c r="B636" s="141">
        <v>2</v>
      </c>
      <c r="C636" s="503" t="s">
        <v>325</v>
      </c>
      <c r="D636" s="471"/>
      <c r="E636" s="471"/>
      <c r="F636" s="471"/>
      <c r="G636" s="472" t="s">
        <v>324</v>
      </c>
      <c r="H636" s="1302" t="s">
        <v>87</v>
      </c>
      <c r="I636" s="473"/>
      <c r="J636" s="264" t="s">
        <v>561</v>
      </c>
      <c r="K636" s="288" t="s">
        <v>144</v>
      </c>
      <c r="L636" s="299" t="s">
        <v>5058</v>
      </c>
      <c r="M636" s="299" t="s">
        <v>5058</v>
      </c>
      <c r="N636" s="404"/>
      <c r="O636" s="1372" t="s">
        <v>5093</v>
      </c>
      <c r="P636" s="519"/>
      <c r="Q636" s="1372" t="s">
        <v>87</v>
      </c>
      <c r="R636" s="1003" t="s">
        <v>5091</v>
      </c>
      <c r="S636" s="279">
        <v>38108</v>
      </c>
      <c r="T636" s="268"/>
      <c r="U636" s="251" t="s">
        <v>54</v>
      </c>
      <c r="V636" s="299" t="s">
        <v>5058</v>
      </c>
      <c r="W636" s="250" t="s">
        <v>295</v>
      </c>
      <c r="X636" s="197"/>
      <c r="Y636" s="245"/>
      <c r="Z636" s="246">
        <v>45253</v>
      </c>
      <c r="AA636" s="405"/>
      <c r="AB636" s="288" t="s">
        <v>5092</v>
      </c>
      <c r="AC636" s="223" t="s">
        <v>946</v>
      </c>
      <c r="AD636" s="245" t="s">
        <v>467</v>
      </c>
      <c r="AE636" s="494">
        <v>45251</v>
      </c>
      <c r="AF636" s="494">
        <v>45616</v>
      </c>
      <c r="AG636" s="471"/>
      <c r="AH636" s="585"/>
      <c r="AI636" s="254" t="s">
        <v>4208</v>
      </c>
      <c r="AJ636" s="303" t="s">
        <v>136</v>
      </c>
      <c r="AK636" s="471">
        <v>4</v>
      </c>
      <c r="AL636" s="176" t="s">
        <v>463</v>
      </c>
      <c r="AM636" s="176" t="s">
        <v>460</v>
      </c>
      <c r="AN636" s="110"/>
      <c r="AO636" s="179"/>
      <c r="AP636" s="115"/>
      <c r="AQ636" s="149"/>
      <c r="AR636" s="115"/>
      <c r="AS636" s="115"/>
      <c r="AT636" s="115"/>
    </row>
    <row r="637" spans="1:46" ht="39" customHeight="1" x14ac:dyDescent="0.25">
      <c r="A637" s="1468">
        <v>636</v>
      </c>
      <c r="B637" s="987"/>
      <c r="C637" s="989"/>
      <c r="D637" s="664"/>
      <c r="E637" s="664"/>
      <c r="F637" s="664"/>
      <c r="G637" s="227"/>
      <c r="H637" s="228"/>
      <c r="I637" s="228"/>
      <c r="J637" s="229"/>
      <c r="K637" s="227"/>
      <c r="L637" s="229"/>
      <c r="M637" s="229"/>
      <c r="N637" s="229"/>
      <c r="O637" s="309"/>
      <c r="P637" s="230" t="s">
        <v>327</v>
      </c>
      <c r="Q637" s="664"/>
      <c r="R637" s="324"/>
      <c r="S637" s="279"/>
      <c r="T637" s="232"/>
      <c r="U637" s="250"/>
      <c r="V637" s="232"/>
      <c r="W637" s="232"/>
      <c r="X637" s="232"/>
      <c r="Y637" s="232"/>
      <c r="Z637" s="233"/>
      <c r="AA637" s="234"/>
      <c r="AB637" s="235"/>
      <c r="AC637" s="236"/>
      <c r="AD637" s="235"/>
      <c r="AE637" s="494"/>
      <c r="AF637" s="494"/>
      <c r="AG637" s="664"/>
      <c r="AH637" s="238"/>
      <c r="AI637" s="239"/>
      <c r="AJ637" s="576"/>
      <c r="AK637" s="664"/>
      <c r="AL637" s="113"/>
      <c r="AM637" s="113"/>
      <c r="AN637" s="113"/>
      <c r="AO637" s="114"/>
      <c r="AP637" s="115"/>
      <c r="AQ637" s="115"/>
      <c r="AR637" s="115"/>
      <c r="AS637" s="115"/>
      <c r="AT637" s="116"/>
    </row>
    <row r="638" spans="1:46" ht="39" customHeight="1" x14ac:dyDescent="0.25">
      <c r="A638" s="1468">
        <v>637</v>
      </c>
      <c r="B638" s="146">
        <v>5</v>
      </c>
      <c r="C638" s="497" t="s">
        <v>288</v>
      </c>
      <c r="D638" s="498"/>
      <c r="E638" s="498" t="s">
        <v>47</v>
      </c>
      <c r="F638" s="498"/>
      <c r="G638" s="499" t="s">
        <v>289</v>
      </c>
      <c r="H638" s="896" t="s">
        <v>132</v>
      </c>
      <c r="I638" s="344">
        <v>144</v>
      </c>
      <c r="J638" s="734">
        <v>403</v>
      </c>
      <c r="K638" s="756" t="s">
        <v>158</v>
      </c>
      <c r="L638" s="397" t="s">
        <v>3678</v>
      </c>
      <c r="M638" s="397" t="s">
        <v>3678</v>
      </c>
      <c r="N638" s="441" t="s">
        <v>4217</v>
      </c>
      <c r="O638" s="277"/>
      <c r="P638" s="889"/>
      <c r="Q638" s="397" t="s">
        <v>87</v>
      </c>
      <c r="R638" s="1306" t="s">
        <v>3876</v>
      </c>
      <c r="S638" s="279">
        <v>38027</v>
      </c>
      <c r="T638" s="443"/>
      <c r="U638" s="251" t="s">
        <v>54</v>
      </c>
      <c r="V638" s="245" t="s">
        <v>5948</v>
      </c>
      <c r="W638" s="250" t="s">
        <v>295</v>
      </c>
      <c r="X638" s="197" t="s">
        <v>475</v>
      </c>
      <c r="Y638" s="981" t="s">
        <v>5950</v>
      </c>
      <c r="Z638" s="246">
        <v>45309</v>
      </c>
      <c r="AA638" s="486"/>
      <c r="AB638" s="756" t="s">
        <v>4291</v>
      </c>
      <c r="AC638" s="488" t="s">
        <v>946</v>
      </c>
      <c r="AD638" s="412" t="s">
        <v>467</v>
      </c>
      <c r="AE638" s="494">
        <v>45100</v>
      </c>
      <c r="AF638" s="494">
        <v>45465</v>
      </c>
      <c r="AG638" s="476"/>
      <c r="AH638" s="489"/>
      <c r="AI638" s="721" t="s">
        <v>1351</v>
      </c>
      <c r="AJ638" s="507" t="s">
        <v>136</v>
      </c>
      <c r="AK638" s="491">
        <v>3</v>
      </c>
      <c r="AL638" s="175" t="s">
        <v>463</v>
      </c>
      <c r="AM638" s="175" t="s">
        <v>460</v>
      </c>
      <c r="AN638" s="130"/>
      <c r="AO638" s="177"/>
      <c r="AP638" s="115"/>
      <c r="AQ638" s="115"/>
      <c r="AR638" s="115"/>
      <c r="AS638" s="115"/>
      <c r="AT638" s="115"/>
    </row>
    <row r="639" spans="1:46" ht="39" customHeight="1" x14ac:dyDescent="0.25">
      <c r="A639" s="1468">
        <v>638</v>
      </c>
      <c r="B639" s="141">
        <v>3</v>
      </c>
      <c r="C639" s="356" t="s">
        <v>290</v>
      </c>
      <c r="D639" s="241" t="s">
        <v>134</v>
      </c>
      <c r="E639" s="241"/>
      <c r="F639" s="241"/>
      <c r="G639" s="261" t="s">
        <v>291</v>
      </c>
      <c r="H639" s="262" t="s">
        <v>85</v>
      </c>
      <c r="I639" s="371"/>
      <c r="J639" s="245" t="s">
        <v>556</v>
      </c>
      <c r="K639" s="288" t="s">
        <v>158</v>
      </c>
      <c r="L639" s="288" t="s">
        <v>3678</v>
      </c>
      <c r="M639" s="288" t="s">
        <v>3678</v>
      </c>
      <c r="N639" s="281" t="s">
        <v>4217</v>
      </c>
      <c r="O639" s="392" t="s">
        <v>3724</v>
      </c>
      <c r="P639" s="684"/>
      <c r="Q639" s="594" t="s">
        <v>87</v>
      </c>
      <c r="R639" s="1188" t="s">
        <v>3723</v>
      </c>
      <c r="S639" s="279">
        <v>37753</v>
      </c>
      <c r="T639" s="684"/>
      <c r="U639" s="251" t="s">
        <v>54</v>
      </c>
      <c r="V639" s="245" t="s">
        <v>3904</v>
      </c>
      <c r="W639" s="250" t="s">
        <v>295</v>
      </c>
      <c r="X639" s="197" t="s">
        <v>475</v>
      </c>
      <c r="Y639" s="245" t="s">
        <v>3975</v>
      </c>
      <c r="Z639" s="246">
        <v>45224</v>
      </c>
      <c r="AA639" s="246"/>
      <c r="AB639" s="288" t="s">
        <v>4246</v>
      </c>
      <c r="AC639" s="223" t="s">
        <v>946</v>
      </c>
      <c r="AD639" s="299" t="s">
        <v>467</v>
      </c>
      <c r="AE639" s="494">
        <v>45106</v>
      </c>
      <c r="AF639" s="494">
        <v>45471</v>
      </c>
      <c r="AG639" s="392"/>
      <c r="AH639" s="283"/>
      <c r="AI639" s="296" t="s">
        <v>1351</v>
      </c>
      <c r="AJ639" s="303" t="s">
        <v>136</v>
      </c>
      <c r="AK639" s="241">
        <v>4</v>
      </c>
      <c r="AL639" s="123" t="s">
        <v>463</v>
      </c>
      <c r="AM639" s="123" t="s">
        <v>460</v>
      </c>
      <c r="AN639" s="110" t="s">
        <v>4184</v>
      </c>
      <c r="AO639" s="130"/>
      <c r="AP639" s="115"/>
      <c r="AQ639" s="115"/>
      <c r="AR639" s="115"/>
      <c r="AS639" s="115"/>
      <c r="AT639" s="115"/>
    </row>
    <row r="640" spans="1:46" ht="39" customHeight="1" x14ac:dyDescent="0.25">
      <c r="A640" s="1468">
        <v>639</v>
      </c>
      <c r="B640" s="141">
        <v>3</v>
      </c>
      <c r="C640" s="358" t="s">
        <v>297</v>
      </c>
      <c r="D640" s="241" t="s">
        <v>134</v>
      </c>
      <c r="E640" s="241"/>
      <c r="F640" s="241"/>
      <c r="G640" s="261" t="s">
        <v>298</v>
      </c>
      <c r="H640" s="262" t="s">
        <v>85</v>
      </c>
      <c r="I640" s="371"/>
      <c r="J640" s="245" t="s">
        <v>556</v>
      </c>
      <c r="K640" s="288" t="s">
        <v>158</v>
      </c>
      <c r="L640" s="288" t="s">
        <v>3678</v>
      </c>
      <c r="M640" s="288" t="s">
        <v>3678</v>
      </c>
      <c r="N640" s="281" t="s">
        <v>4217</v>
      </c>
      <c r="O640" s="392" t="s">
        <v>3726</v>
      </c>
      <c r="P640" s="374"/>
      <c r="Q640" s="594" t="s">
        <v>87</v>
      </c>
      <c r="R640" s="1003" t="s">
        <v>3725</v>
      </c>
      <c r="S640" s="279">
        <v>37327</v>
      </c>
      <c r="T640" s="197"/>
      <c r="U640" s="251" t="s">
        <v>54</v>
      </c>
      <c r="V640" s="245" t="s">
        <v>3904</v>
      </c>
      <c r="W640" s="250" t="s">
        <v>295</v>
      </c>
      <c r="X640" s="197" t="s">
        <v>475</v>
      </c>
      <c r="Y640" s="245" t="s">
        <v>3975</v>
      </c>
      <c r="Z640" s="246">
        <v>45224</v>
      </c>
      <c r="AA640" s="246"/>
      <c r="AB640" s="1236" t="s">
        <v>4313</v>
      </c>
      <c r="AC640" s="223" t="s">
        <v>946</v>
      </c>
      <c r="AD640" s="299" t="s">
        <v>467</v>
      </c>
      <c r="AE640" s="494">
        <v>45104</v>
      </c>
      <c r="AF640" s="494">
        <v>45469</v>
      </c>
      <c r="AG640" s="392"/>
      <c r="AH640" s="283"/>
      <c r="AI640" s="296" t="s">
        <v>1351</v>
      </c>
      <c r="AJ640" s="303" t="s">
        <v>136</v>
      </c>
      <c r="AK640" s="241">
        <v>4</v>
      </c>
      <c r="AL640" s="123" t="s">
        <v>463</v>
      </c>
      <c r="AM640" s="123" t="s">
        <v>460</v>
      </c>
      <c r="AN640" s="130"/>
      <c r="AO640" s="130"/>
      <c r="AP640" s="115"/>
      <c r="AQ640" s="115"/>
      <c r="AR640" s="115"/>
      <c r="AS640" s="115"/>
      <c r="AT640" s="116"/>
    </row>
    <row r="641" spans="1:46" ht="39" customHeight="1" x14ac:dyDescent="0.3">
      <c r="A641" s="1468">
        <v>640</v>
      </c>
      <c r="B641" s="141">
        <v>2</v>
      </c>
      <c r="C641" s="260" t="s">
        <v>311</v>
      </c>
      <c r="D641" s="241"/>
      <c r="E641" s="241"/>
      <c r="F641" s="241"/>
      <c r="G641" s="261" t="s">
        <v>312</v>
      </c>
      <c r="H641" s="262" t="s">
        <v>85</v>
      </c>
      <c r="I641" s="371"/>
      <c r="J641" s="245" t="s">
        <v>556</v>
      </c>
      <c r="K641" s="216"/>
      <c r="L641" s="281" t="s">
        <v>1676</v>
      </c>
      <c r="M641" s="281" t="s">
        <v>1508</v>
      </c>
      <c r="N641" s="366"/>
      <c r="O641" s="392" t="s">
        <v>3037</v>
      </c>
      <c r="P641" s="402"/>
      <c r="Q641" s="594" t="s">
        <v>87</v>
      </c>
      <c r="R641" s="999" t="s">
        <v>1776</v>
      </c>
      <c r="S641" s="279" t="s">
        <v>4745</v>
      </c>
      <c r="T641" s="197"/>
      <c r="U641" s="251" t="s">
        <v>391</v>
      </c>
      <c r="V641" s="245" t="s">
        <v>3678</v>
      </c>
      <c r="W641" s="1189" t="s">
        <v>3679</v>
      </c>
      <c r="X641" s="197" t="s">
        <v>2002</v>
      </c>
      <c r="Y641" s="1126" t="s">
        <v>3680</v>
      </c>
      <c r="Z641" s="246">
        <v>45222</v>
      </c>
      <c r="AA641" s="246"/>
      <c r="AB641" s="296" t="s">
        <v>4370</v>
      </c>
      <c r="AC641" s="223" t="s">
        <v>946</v>
      </c>
      <c r="AD641" s="376"/>
      <c r="AE641" s="494" t="s">
        <v>4345</v>
      </c>
      <c r="AF641" s="494">
        <v>45478</v>
      </c>
      <c r="AG641" s="241"/>
      <c r="AH641" s="283"/>
      <c r="AI641" s="254" t="s">
        <v>1351</v>
      </c>
      <c r="AJ641" s="303" t="s">
        <v>136</v>
      </c>
      <c r="AK641" s="241">
        <v>4</v>
      </c>
      <c r="AL641" s="123" t="s">
        <v>463</v>
      </c>
      <c r="AM641" s="123" t="s">
        <v>460</v>
      </c>
      <c r="AN641" s="130"/>
      <c r="AO641" s="130"/>
      <c r="AP641" s="115"/>
      <c r="AQ641" s="115"/>
      <c r="AR641" s="115"/>
      <c r="AS641" s="115"/>
      <c r="AT641" s="115"/>
    </row>
    <row r="642" spans="1:46" ht="39" customHeight="1" x14ac:dyDescent="0.25">
      <c r="A642" s="1468">
        <v>641</v>
      </c>
      <c r="B642" s="141">
        <v>2</v>
      </c>
      <c r="C642" s="260" t="s">
        <v>317</v>
      </c>
      <c r="D642" s="241"/>
      <c r="E642" s="241"/>
      <c r="F642" s="241"/>
      <c r="G642" s="261" t="s">
        <v>318</v>
      </c>
      <c r="H642" s="262" t="s">
        <v>87</v>
      </c>
      <c r="I642" s="371"/>
      <c r="J642" s="245" t="s">
        <v>561</v>
      </c>
      <c r="K642" s="216" t="s">
        <v>313</v>
      </c>
      <c r="L642" s="299" t="s">
        <v>5058</v>
      </c>
      <c r="M642" s="299" t="s">
        <v>5058</v>
      </c>
      <c r="N642" s="245"/>
      <c r="O642" s="1372" t="s">
        <v>5095</v>
      </c>
      <c r="P642" s="627"/>
      <c r="Q642" s="1372" t="s">
        <v>87</v>
      </c>
      <c r="R642" s="1003" t="s">
        <v>5094</v>
      </c>
      <c r="S642" s="279">
        <v>38310</v>
      </c>
      <c r="T642" s="289"/>
      <c r="U642" s="251" t="s">
        <v>54</v>
      </c>
      <c r="V642" s="299" t="s">
        <v>5058</v>
      </c>
      <c r="W642" s="250" t="s">
        <v>295</v>
      </c>
      <c r="X642" s="197"/>
      <c r="Y642" s="245"/>
      <c r="Z642" s="246">
        <v>45253</v>
      </c>
      <c r="AA642" s="245"/>
      <c r="AB642" s="288" t="s">
        <v>5086</v>
      </c>
      <c r="AC642" s="223" t="s">
        <v>4225</v>
      </c>
      <c r="AD642" s="245" t="s">
        <v>467</v>
      </c>
      <c r="AE642" s="494">
        <v>45253</v>
      </c>
      <c r="AF642" s="494">
        <v>45618</v>
      </c>
      <c r="AG642" s="241"/>
      <c r="AH642" s="253"/>
      <c r="AI642" s="254" t="s">
        <v>4208</v>
      </c>
      <c r="AJ642" s="303" t="s">
        <v>136</v>
      </c>
      <c r="AK642" s="241">
        <v>4</v>
      </c>
      <c r="AL642" s="123" t="s">
        <v>463</v>
      </c>
      <c r="AM642" s="123" t="s">
        <v>460</v>
      </c>
      <c r="AN642" s="130"/>
      <c r="AO642" s="130"/>
      <c r="AP642" s="115"/>
      <c r="AQ642" s="115"/>
      <c r="AR642" s="115"/>
      <c r="AS642" s="115"/>
      <c r="AT642" s="115"/>
    </row>
    <row r="643" spans="1:46" ht="39" customHeight="1" x14ac:dyDescent="0.25">
      <c r="A643" s="1468">
        <v>642</v>
      </c>
      <c r="B643" s="146">
        <v>2</v>
      </c>
      <c r="C643" s="260" t="s">
        <v>319</v>
      </c>
      <c r="D643" s="241"/>
      <c r="E643" s="241"/>
      <c r="F643" s="241"/>
      <c r="G643" s="261" t="s">
        <v>320</v>
      </c>
      <c r="H643" s="262" t="s">
        <v>87</v>
      </c>
      <c r="I643" s="357"/>
      <c r="J643" s="245" t="s">
        <v>561</v>
      </c>
      <c r="K643" s="288" t="s">
        <v>158</v>
      </c>
      <c r="L643" s="299" t="s">
        <v>5058</v>
      </c>
      <c r="M643" s="299" t="s">
        <v>5058</v>
      </c>
      <c r="N643" s="366"/>
      <c r="O643" s="392" t="s">
        <v>5097</v>
      </c>
      <c r="P643" s="367"/>
      <c r="Q643" s="1372" t="s">
        <v>87</v>
      </c>
      <c r="R643" s="1003" t="s">
        <v>5096</v>
      </c>
      <c r="S643" s="279">
        <v>37616</v>
      </c>
      <c r="T643" s="197"/>
      <c r="U643" s="251" t="s">
        <v>54</v>
      </c>
      <c r="V643" s="299" t="s">
        <v>5058</v>
      </c>
      <c r="W643" s="250" t="s">
        <v>295</v>
      </c>
      <c r="X643" s="197"/>
      <c r="Y643" s="245"/>
      <c r="Z643" s="246">
        <v>45253</v>
      </c>
      <c r="AA643" s="246"/>
      <c r="AB643" s="288" t="s">
        <v>5083</v>
      </c>
      <c r="AC643" s="223"/>
      <c r="AD643" s="245" t="s">
        <v>467</v>
      </c>
      <c r="AE643" s="494">
        <v>45251</v>
      </c>
      <c r="AF643" s="494">
        <v>45616</v>
      </c>
      <c r="AG643" s="241"/>
      <c r="AH643" s="283"/>
      <c r="AI643" s="254" t="s">
        <v>4208</v>
      </c>
      <c r="AJ643" s="303" t="s">
        <v>136</v>
      </c>
      <c r="AK643" s="241">
        <v>4</v>
      </c>
      <c r="AL643" s="123" t="s">
        <v>463</v>
      </c>
      <c r="AM643" s="123" t="s">
        <v>460</v>
      </c>
      <c r="AN643" s="110"/>
      <c r="AO643" s="110"/>
      <c r="AP643" s="115"/>
      <c r="AQ643" s="115"/>
      <c r="AR643" s="115"/>
      <c r="AS643" s="115"/>
      <c r="AT643" s="115"/>
    </row>
    <row r="644" spans="1:46" ht="39" customHeight="1" x14ac:dyDescent="0.25">
      <c r="A644" s="1468">
        <v>643</v>
      </c>
      <c r="B644" s="141">
        <v>2</v>
      </c>
      <c r="C644" s="378" t="s">
        <v>321</v>
      </c>
      <c r="D644" s="303"/>
      <c r="E644" s="241"/>
      <c r="F644" s="241"/>
      <c r="G644" s="261" t="s">
        <v>322</v>
      </c>
      <c r="H644" s="262" t="s">
        <v>87</v>
      </c>
      <c r="I644" s="364"/>
      <c r="J644" s="245" t="s">
        <v>561</v>
      </c>
      <c r="K644" s="197"/>
      <c r="L644" s="281" t="s">
        <v>1676</v>
      </c>
      <c r="M644" s="281" t="s">
        <v>1508</v>
      </c>
      <c r="N644" s="366"/>
      <c r="O644" s="392" t="s">
        <v>3004</v>
      </c>
      <c r="P644" s="402"/>
      <c r="Q644" s="594" t="s">
        <v>87</v>
      </c>
      <c r="R644" s="381" t="s">
        <v>1770</v>
      </c>
      <c r="S644" s="279" t="s">
        <v>4746</v>
      </c>
      <c r="T644" s="197"/>
      <c r="U644" s="251" t="s">
        <v>54</v>
      </c>
      <c r="V644" s="245"/>
      <c r="W644" s="250" t="s">
        <v>295</v>
      </c>
      <c r="X644" s="197"/>
      <c r="Y644" s="245"/>
      <c r="Z644" s="246"/>
      <c r="AA644" s="246"/>
      <c r="AB644" s="296" t="s">
        <v>4371</v>
      </c>
      <c r="AC644" s="223" t="s">
        <v>946</v>
      </c>
      <c r="AD644" s="376"/>
      <c r="AE644" s="494" t="s">
        <v>4345</v>
      </c>
      <c r="AF644" s="494">
        <v>45478</v>
      </c>
      <c r="AG644" s="241"/>
      <c r="AH644" s="283"/>
      <c r="AI644" s="254" t="s">
        <v>1351</v>
      </c>
      <c r="AJ644" s="303" t="s">
        <v>136</v>
      </c>
      <c r="AK644" s="241">
        <v>4</v>
      </c>
      <c r="AL644" s="123" t="s">
        <v>463</v>
      </c>
      <c r="AM644" s="123" t="s">
        <v>460</v>
      </c>
      <c r="AN644" s="110"/>
      <c r="AO644" s="110"/>
      <c r="AP644" s="115"/>
      <c r="AQ644" s="115"/>
      <c r="AR644" s="115"/>
      <c r="AS644" s="115"/>
      <c r="AT644" s="116"/>
    </row>
    <row r="645" spans="1:46" ht="39" customHeight="1" x14ac:dyDescent="0.25">
      <c r="A645" s="1468">
        <v>644</v>
      </c>
      <c r="B645" s="141">
        <v>1</v>
      </c>
      <c r="C645" s="378" t="s">
        <v>323</v>
      </c>
      <c r="D645" s="303"/>
      <c r="E645" s="241"/>
      <c r="F645" s="241"/>
      <c r="G645" s="261" t="s">
        <v>1438</v>
      </c>
      <c r="H645" s="262" t="s">
        <v>87</v>
      </c>
      <c r="I645" s="357"/>
      <c r="J645" s="245" t="s">
        <v>561</v>
      </c>
      <c r="K645" s="216"/>
      <c r="L645" s="281" t="s">
        <v>1676</v>
      </c>
      <c r="M645" s="281" t="s">
        <v>1508</v>
      </c>
      <c r="N645" s="366"/>
      <c r="O645" s="392" t="s">
        <v>3059</v>
      </c>
      <c r="P645" s="716"/>
      <c r="Q645" s="380" t="s">
        <v>87</v>
      </c>
      <c r="R645" s="682" t="s">
        <v>1784</v>
      </c>
      <c r="S645" s="279">
        <v>37866</v>
      </c>
      <c r="T645" s="197"/>
      <c r="U645" s="251" t="s">
        <v>54</v>
      </c>
      <c r="V645" s="245"/>
      <c r="W645" s="250" t="s">
        <v>295</v>
      </c>
      <c r="X645" s="197"/>
      <c r="Y645" s="245"/>
      <c r="Z645" s="246"/>
      <c r="AA645" s="246"/>
      <c r="AB645" s="288" t="s">
        <v>4372</v>
      </c>
      <c r="AC645" s="223" t="s">
        <v>946</v>
      </c>
      <c r="AD645" s="376"/>
      <c r="AE645" s="494">
        <v>45113</v>
      </c>
      <c r="AF645" s="494">
        <v>45478</v>
      </c>
      <c r="AG645" s="241"/>
      <c r="AH645" s="283"/>
      <c r="AI645" s="254" t="s">
        <v>1351</v>
      </c>
      <c r="AJ645" s="303" t="s">
        <v>136</v>
      </c>
      <c r="AK645" s="241">
        <v>4</v>
      </c>
      <c r="AL645" s="123" t="s">
        <v>463</v>
      </c>
      <c r="AM645" s="123" t="s">
        <v>460</v>
      </c>
      <c r="AN645" s="110"/>
      <c r="AO645" s="110"/>
      <c r="AP645" s="115"/>
      <c r="AQ645" s="115"/>
      <c r="AR645" s="115"/>
      <c r="AS645" s="115"/>
      <c r="AT645" s="115"/>
    </row>
    <row r="646" spans="1:46" ht="39" customHeight="1" x14ac:dyDescent="0.25">
      <c r="A646" s="1468">
        <v>645</v>
      </c>
      <c r="B646" s="141">
        <v>2</v>
      </c>
      <c r="C646" s="260" t="s">
        <v>325</v>
      </c>
      <c r="D646" s="241"/>
      <c r="E646" s="241"/>
      <c r="F646" s="241"/>
      <c r="G646" s="261" t="s">
        <v>324</v>
      </c>
      <c r="H646" s="262" t="s">
        <v>87</v>
      </c>
      <c r="I646" s="357"/>
      <c r="J646" s="245" t="s">
        <v>561</v>
      </c>
      <c r="K646" s="288" t="s">
        <v>158</v>
      </c>
      <c r="L646" s="299" t="s">
        <v>5058</v>
      </c>
      <c r="M646" s="299" t="s">
        <v>5058</v>
      </c>
      <c r="N646" s="366"/>
      <c r="O646" s="1372" t="s">
        <v>5099</v>
      </c>
      <c r="P646" s="367"/>
      <c r="Q646" s="1372" t="s">
        <v>87</v>
      </c>
      <c r="R646" s="1003" t="s">
        <v>5098</v>
      </c>
      <c r="S646" s="279">
        <v>37562</v>
      </c>
      <c r="T646" s="197"/>
      <c r="U646" s="251" t="s">
        <v>54</v>
      </c>
      <c r="V646" s="299" t="s">
        <v>5058</v>
      </c>
      <c r="W646" s="250" t="s">
        <v>295</v>
      </c>
      <c r="X646" s="197"/>
      <c r="Y646" s="245"/>
      <c r="Z646" s="246">
        <v>45253</v>
      </c>
      <c r="AA646" s="246"/>
      <c r="AB646" s="288" t="s">
        <v>4835</v>
      </c>
      <c r="AC646" s="223" t="s">
        <v>946</v>
      </c>
      <c r="AD646" s="245" t="s">
        <v>467</v>
      </c>
      <c r="AE646" s="494">
        <v>45252</v>
      </c>
      <c r="AF646" s="494">
        <v>45617</v>
      </c>
      <c r="AG646" s="241"/>
      <c r="AH646" s="283"/>
      <c r="AI646" s="254" t="s">
        <v>4208</v>
      </c>
      <c r="AJ646" s="303" t="s">
        <v>136</v>
      </c>
      <c r="AK646" s="241">
        <v>4</v>
      </c>
      <c r="AL646" s="123" t="s">
        <v>463</v>
      </c>
      <c r="AM646" s="123" t="s">
        <v>460</v>
      </c>
      <c r="AN646" s="110"/>
      <c r="AO646" s="110"/>
      <c r="AP646" s="115"/>
      <c r="AQ646" s="115"/>
      <c r="AR646" s="115"/>
      <c r="AS646" s="115"/>
      <c r="AT646" s="115"/>
    </row>
    <row r="647" spans="1:46" ht="39" customHeight="1" x14ac:dyDescent="0.25">
      <c r="A647" s="1468">
        <v>646</v>
      </c>
      <c r="B647" s="117"/>
      <c r="C647" s="324"/>
      <c r="D647" s="664"/>
      <c r="E647" s="664"/>
      <c r="F647" s="664"/>
      <c r="G647" s="227"/>
      <c r="H647" s="228"/>
      <c r="I647" s="228"/>
      <c r="J647" s="229"/>
      <c r="K647" s="227"/>
      <c r="L647" s="229"/>
      <c r="M647" s="229"/>
      <c r="N647" s="229"/>
      <c r="O647" s="216"/>
      <c r="P647" s="230" t="s">
        <v>330</v>
      </c>
      <c r="Q647" s="664"/>
      <c r="R647" s="381"/>
      <c r="S647" s="279"/>
      <c r="T647" s="232"/>
      <c r="U647" s="250"/>
      <c r="V647" s="232"/>
      <c r="W647" s="232"/>
      <c r="X647" s="232"/>
      <c r="Y647" s="232"/>
      <c r="Z647" s="233"/>
      <c r="AA647" s="234"/>
      <c r="AB647" s="235"/>
      <c r="AC647" s="236"/>
      <c r="AD647" s="235"/>
      <c r="AE647" s="494"/>
      <c r="AF647" s="494"/>
      <c r="AG647" s="664"/>
      <c r="AH647" s="238"/>
      <c r="AI647" s="239"/>
      <c r="AJ647" s="303"/>
      <c r="AK647" s="241"/>
      <c r="AL647" s="122"/>
      <c r="AM647" s="122"/>
      <c r="AN647" s="113"/>
      <c r="AO647" s="114"/>
      <c r="AP647" s="115"/>
      <c r="AQ647" s="115"/>
      <c r="AR647" s="115"/>
      <c r="AS647" s="115"/>
      <c r="AT647" s="116"/>
    </row>
    <row r="648" spans="1:46" ht="39" customHeight="1" x14ac:dyDescent="0.25">
      <c r="A648" s="1468">
        <v>647</v>
      </c>
      <c r="B648" s="141">
        <v>10</v>
      </c>
      <c r="C648" s="240" t="s">
        <v>305</v>
      </c>
      <c r="D648" s="242"/>
      <c r="E648" s="242" t="s">
        <v>47</v>
      </c>
      <c r="F648" s="242"/>
      <c r="G648" s="243" t="s">
        <v>91</v>
      </c>
      <c r="H648" s="244" t="s">
        <v>83</v>
      </c>
      <c r="I648" s="340"/>
      <c r="J648" s="245">
        <v>302</v>
      </c>
      <c r="K648" s="197"/>
      <c r="L648" s="216" t="s">
        <v>4965</v>
      </c>
      <c r="M648" s="216" t="s">
        <v>4965</v>
      </c>
      <c r="N648" s="245"/>
      <c r="O648" s="1476" t="s">
        <v>5160</v>
      </c>
      <c r="P648" s="304"/>
      <c r="Q648" s="338" t="s">
        <v>83</v>
      </c>
      <c r="R648" s="995" t="s">
        <v>4966</v>
      </c>
      <c r="S648" s="279">
        <v>29007</v>
      </c>
      <c r="T648" s="443"/>
      <c r="U648" s="251" t="s">
        <v>54</v>
      </c>
      <c r="V648" s="197" t="s">
        <v>5955</v>
      </c>
      <c r="W648" s="197" t="s">
        <v>70</v>
      </c>
      <c r="X648" s="197" t="s">
        <v>71</v>
      </c>
      <c r="Y648" s="949" t="s">
        <v>5964</v>
      </c>
      <c r="Z648" s="612">
        <v>45312</v>
      </c>
      <c r="AA648" s="246"/>
      <c r="AB648" s="281"/>
      <c r="AC648" s="223"/>
      <c r="AD648" s="250"/>
      <c r="AE648" s="494"/>
      <c r="AF648" s="494"/>
      <c r="AG648" s="241"/>
      <c r="AH648" s="283"/>
      <c r="AI648" s="254"/>
      <c r="AJ648" s="255" t="s">
        <v>62</v>
      </c>
      <c r="AK648" s="242">
        <v>1</v>
      </c>
      <c r="AL648" s="123" t="s">
        <v>463</v>
      </c>
      <c r="AM648" s="123" t="s">
        <v>460</v>
      </c>
      <c r="AN648" s="124"/>
      <c r="AO648" s="124"/>
      <c r="AP648" s="115"/>
      <c r="AQ648" s="115"/>
      <c r="AR648" s="115"/>
      <c r="AS648" s="115"/>
      <c r="AT648" s="115"/>
    </row>
    <row r="649" spans="1:46" ht="39" customHeight="1" x14ac:dyDescent="0.25">
      <c r="A649" s="1468">
        <v>648</v>
      </c>
      <c r="B649" s="117"/>
      <c r="C649" s="324"/>
      <c r="D649" s="664"/>
      <c r="E649" s="664"/>
      <c r="F649" s="664"/>
      <c r="G649" s="227"/>
      <c r="H649" s="228"/>
      <c r="I649" s="228"/>
      <c r="J649" s="229"/>
      <c r="K649" s="227"/>
      <c r="L649" s="229"/>
      <c r="M649" s="229"/>
      <c r="N649" s="229"/>
      <c r="O649" s="216"/>
      <c r="P649" s="230" t="s">
        <v>306</v>
      </c>
      <c r="Q649" s="664"/>
      <c r="R649" s="381"/>
      <c r="S649" s="279"/>
      <c r="T649" s="232"/>
      <c r="U649" s="250"/>
      <c r="V649" s="232"/>
      <c r="W649" s="232"/>
      <c r="X649" s="232"/>
      <c r="Y649" s="232"/>
      <c r="Z649" s="233"/>
      <c r="AA649" s="234"/>
      <c r="AB649" s="235"/>
      <c r="AC649" s="236"/>
      <c r="AD649" s="235"/>
      <c r="AE649" s="494"/>
      <c r="AF649" s="494"/>
      <c r="AG649" s="664"/>
      <c r="AH649" s="238"/>
      <c r="AI649" s="239"/>
      <c r="AJ649" s="303"/>
      <c r="AK649" s="241"/>
      <c r="AL649" s="122"/>
      <c r="AM649" s="122"/>
      <c r="AN649" s="113"/>
      <c r="AO649" s="114"/>
      <c r="AP649" s="115"/>
      <c r="AQ649" s="115"/>
      <c r="AR649" s="115"/>
      <c r="AS649" s="115"/>
      <c r="AT649" s="116"/>
    </row>
    <row r="650" spans="1:46" ht="39" customHeight="1" x14ac:dyDescent="0.25">
      <c r="A650" s="1468">
        <v>649</v>
      </c>
      <c r="B650" s="141">
        <v>7</v>
      </c>
      <c r="C650" s="408" t="s">
        <v>307</v>
      </c>
      <c r="D650" s="409"/>
      <c r="E650" s="291" t="s">
        <v>47</v>
      </c>
      <c r="F650" s="291"/>
      <c r="G650" s="410" t="s">
        <v>308</v>
      </c>
      <c r="H650" s="370" t="s">
        <v>132</v>
      </c>
      <c r="I650" s="371" t="s">
        <v>309</v>
      </c>
      <c r="J650" s="256">
        <v>403</v>
      </c>
      <c r="K650" s="257" t="s">
        <v>4571</v>
      </c>
      <c r="L650" s="301" t="s">
        <v>3678</v>
      </c>
      <c r="M650" s="301" t="s">
        <v>3678</v>
      </c>
      <c r="N650" s="281" t="s">
        <v>4217</v>
      </c>
      <c r="O650" s="216" t="s">
        <v>3860</v>
      </c>
      <c r="P650" s="305"/>
      <c r="Q650" s="301" t="s">
        <v>87</v>
      </c>
      <c r="R650" s="1200" t="s">
        <v>3859</v>
      </c>
      <c r="S650" s="279">
        <v>37213</v>
      </c>
      <c r="T650" s="305" t="s">
        <v>66</v>
      </c>
      <c r="U650" s="251" t="s">
        <v>54</v>
      </c>
      <c r="V650" s="245"/>
      <c r="W650" s="250" t="s">
        <v>295</v>
      </c>
      <c r="X650" s="306"/>
      <c r="Y650" s="306"/>
      <c r="Z650" s="306"/>
      <c r="AA650" s="305"/>
      <c r="AB650" s="288" t="s">
        <v>4232</v>
      </c>
      <c r="AC650" s="223" t="s">
        <v>946</v>
      </c>
      <c r="AD650" s="299" t="s">
        <v>467</v>
      </c>
      <c r="AE650" s="494">
        <v>45104</v>
      </c>
      <c r="AF650" s="494">
        <v>45469</v>
      </c>
      <c r="AG650" s="305"/>
      <c r="AH650" s="403"/>
      <c r="AI650" s="296" t="s">
        <v>1351</v>
      </c>
      <c r="AJ650" s="303" t="s">
        <v>136</v>
      </c>
      <c r="AK650" s="348">
        <v>3</v>
      </c>
      <c r="AL650" s="123" t="s">
        <v>463</v>
      </c>
      <c r="AM650" s="123" t="s">
        <v>460</v>
      </c>
      <c r="AN650" s="150"/>
      <c r="AO650" s="150"/>
      <c r="AP650" s="115"/>
      <c r="AQ650" s="149"/>
      <c r="AR650" s="115"/>
      <c r="AS650" s="115"/>
      <c r="AT650" s="115"/>
    </row>
    <row r="651" spans="1:46" ht="39" customHeight="1" x14ac:dyDescent="0.25">
      <c r="A651" s="1468">
        <v>650</v>
      </c>
      <c r="B651" s="141">
        <v>3</v>
      </c>
      <c r="C651" s="356" t="s">
        <v>290</v>
      </c>
      <c r="D651" s="241" t="s">
        <v>134</v>
      </c>
      <c r="E651" s="241"/>
      <c r="F651" s="241"/>
      <c r="G651" s="261" t="s">
        <v>291</v>
      </c>
      <c r="H651" s="262" t="s">
        <v>85</v>
      </c>
      <c r="I651" s="371"/>
      <c r="J651" s="245" t="s">
        <v>556</v>
      </c>
      <c r="K651" s="288" t="s">
        <v>158</v>
      </c>
      <c r="L651" s="288" t="s">
        <v>3678</v>
      </c>
      <c r="M651" s="288" t="s">
        <v>3678</v>
      </c>
      <c r="N651" s="281" t="s">
        <v>4217</v>
      </c>
      <c r="O651" s="392" t="s">
        <v>3728</v>
      </c>
      <c r="P651" s="325"/>
      <c r="Q651" s="594" t="s">
        <v>87</v>
      </c>
      <c r="R651" s="1188" t="s">
        <v>3727</v>
      </c>
      <c r="S651" s="279">
        <v>37793</v>
      </c>
      <c r="T651" s="252"/>
      <c r="U651" s="251" t="s">
        <v>54</v>
      </c>
      <c r="V651" s="245" t="s">
        <v>3904</v>
      </c>
      <c r="W651" s="250" t="s">
        <v>295</v>
      </c>
      <c r="X651" s="197" t="s">
        <v>475</v>
      </c>
      <c r="Y651" s="245" t="s">
        <v>3975</v>
      </c>
      <c r="Z651" s="246">
        <v>45224</v>
      </c>
      <c r="AA651" s="246"/>
      <c r="AB651" s="288" t="s">
        <v>4326</v>
      </c>
      <c r="AC651" s="223" t="s">
        <v>946</v>
      </c>
      <c r="AD651" s="299" t="s">
        <v>467</v>
      </c>
      <c r="AE651" s="494">
        <v>45106</v>
      </c>
      <c r="AF651" s="494">
        <v>45471</v>
      </c>
      <c r="AG651" s="392"/>
      <c r="AH651" s="283"/>
      <c r="AI651" s="296" t="s">
        <v>1351</v>
      </c>
      <c r="AJ651" s="303" t="s">
        <v>136</v>
      </c>
      <c r="AK651" s="219">
        <v>4</v>
      </c>
      <c r="AL651" s="123" t="s">
        <v>463</v>
      </c>
      <c r="AM651" s="123" t="s">
        <v>460</v>
      </c>
      <c r="AN651" s="110" t="s">
        <v>4184</v>
      </c>
      <c r="AO651" s="150"/>
      <c r="AP651" s="115"/>
      <c r="AQ651" s="149"/>
      <c r="AR651" s="115"/>
      <c r="AS651" s="115"/>
      <c r="AT651" s="115"/>
    </row>
    <row r="652" spans="1:46" ht="39" customHeight="1" x14ac:dyDescent="0.25">
      <c r="A652" s="1468">
        <v>651</v>
      </c>
      <c r="B652" s="141">
        <v>3</v>
      </c>
      <c r="C652" s="358" t="s">
        <v>297</v>
      </c>
      <c r="D652" s="241" t="s">
        <v>134</v>
      </c>
      <c r="E652" s="241"/>
      <c r="F652" s="241"/>
      <c r="G652" s="261" t="s">
        <v>298</v>
      </c>
      <c r="H652" s="262" t="s">
        <v>85</v>
      </c>
      <c r="I652" s="371"/>
      <c r="J652" s="245" t="s">
        <v>556</v>
      </c>
      <c r="K652" s="288" t="s">
        <v>158</v>
      </c>
      <c r="L652" s="288" t="s">
        <v>3678</v>
      </c>
      <c r="M652" s="288" t="s">
        <v>3678</v>
      </c>
      <c r="N652" s="281" t="s">
        <v>4217</v>
      </c>
      <c r="O652" s="392" t="s">
        <v>3729</v>
      </c>
      <c r="P652" s="374"/>
      <c r="Q652" s="594" t="s">
        <v>87</v>
      </c>
      <c r="R652" s="1188" t="s">
        <v>3853</v>
      </c>
      <c r="S652" s="279">
        <v>37730</v>
      </c>
      <c r="T652" s="197"/>
      <c r="U652" s="251" t="s">
        <v>54</v>
      </c>
      <c r="V652" s="245" t="s">
        <v>3904</v>
      </c>
      <c r="W652" s="250" t="s">
        <v>295</v>
      </c>
      <c r="X652" s="197" t="s">
        <v>475</v>
      </c>
      <c r="Y652" s="245" t="s">
        <v>3975</v>
      </c>
      <c r="Z652" s="246">
        <v>45224</v>
      </c>
      <c r="AA652" s="246"/>
      <c r="AB652" s="288" t="s">
        <v>4265</v>
      </c>
      <c r="AC652" s="223" t="s">
        <v>946</v>
      </c>
      <c r="AD652" s="299" t="s">
        <v>467</v>
      </c>
      <c r="AE652" s="494">
        <v>45108</v>
      </c>
      <c r="AF652" s="494">
        <v>45473</v>
      </c>
      <c r="AG652" s="392"/>
      <c r="AH652" s="283"/>
      <c r="AI652" s="296" t="s">
        <v>1351</v>
      </c>
      <c r="AJ652" s="303" t="s">
        <v>136</v>
      </c>
      <c r="AK652" s="241">
        <v>4</v>
      </c>
      <c r="AL652" s="123" t="s">
        <v>463</v>
      </c>
      <c r="AM652" s="123" t="s">
        <v>460</v>
      </c>
      <c r="AN652" s="150"/>
      <c r="AO652" s="150"/>
      <c r="AP652" s="115"/>
      <c r="AQ652" s="149"/>
      <c r="AR652" s="115"/>
      <c r="AS652" s="115"/>
      <c r="AT652" s="116"/>
    </row>
    <row r="653" spans="1:46" ht="39" customHeight="1" x14ac:dyDescent="0.25">
      <c r="A653" s="1468">
        <v>652</v>
      </c>
      <c r="B653" s="141">
        <v>2</v>
      </c>
      <c r="C653" s="260" t="s">
        <v>311</v>
      </c>
      <c r="D653" s="241"/>
      <c r="E653" s="241"/>
      <c r="F653" s="241"/>
      <c r="G653" s="261" t="s">
        <v>312</v>
      </c>
      <c r="H653" s="262" t="s">
        <v>85</v>
      </c>
      <c r="I653" s="371"/>
      <c r="J653" s="245" t="s">
        <v>556</v>
      </c>
      <c r="K653" s="1278"/>
      <c r="L653" s="299" t="s">
        <v>4055</v>
      </c>
      <c r="M653" s="299" t="s">
        <v>4055</v>
      </c>
      <c r="N653" s="1278"/>
      <c r="O653" s="1392" t="s">
        <v>4011</v>
      </c>
      <c r="P653" s="402" t="s">
        <v>1828</v>
      </c>
      <c r="Q653" s="344" t="s">
        <v>87</v>
      </c>
      <c r="R653" s="982" t="s">
        <v>4010</v>
      </c>
      <c r="S653" s="279">
        <v>23053</v>
      </c>
      <c r="T653" s="1278"/>
      <c r="U653" s="251" t="s">
        <v>54</v>
      </c>
      <c r="V653" s="1416" t="s">
        <v>5447</v>
      </c>
      <c r="W653" s="280" t="s">
        <v>56</v>
      </c>
      <c r="X653" s="280" t="s">
        <v>57</v>
      </c>
      <c r="Y653" s="949" t="s">
        <v>4631</v>
      </c>
      <c r="Z653" s="246">
        <v>45270</v>
      </c>
      <c r="AA653" s="1278"/>
      <c r="AB653" s="1292"/>
      <c r="AC653" s="1278"/>
      <c r="AD653" s="1279"/>
      <c r="AE653" s="494"/>
      <c r="AF653" s="494"/>
      <c r="AG653" s="1278"/>
      <c r="AH653" s="1278"/>
      <c r="AI653" s="254"/>
      <c r="AJ653" s="348" t="s">
        <v>560</v>
      </c>
      <c r="AK653" s="241">
        <v>4</v>
      </c>
      <c r="AL653" s="123" t="s">
        <v>463</v>
      </c>
      <c r="AM653" s="123" t="s">
        <v>460</v>
      </c>
      <c r="AN653" s="150"/>
      <c r="AO653" s="150"/>
      <c r="AP653" s="115"/>
      <c r="AQ653" s="149"/>
      <c r="AR653" s="115"/>
      <c r="AS653" s="115"/>
      <c r="AT653" s="115"/>
    </row>
    <row r="654" spans="1:46" ht="39" customHeight="1" x14ac:dyDescent="0.25">
      <c r="A654" s="1468">
        <v>653</v>
      </c>
      <c r="B654" s="141">
        <v>2</v>
      </c>
      <c r="C654" s="260" t="s">
        <v>317</v>
      </c>
      <c r="D654" s="241"/>
      <c r="E654" s="241"/>
      <c r="F654" s="241"/>
      <c r="G654" s="261" t="s">
        <v>318</v>
      </c>
      <c r="H654" s="262" t="s">
        <v>87</v>
      </c>
      <c r="I654" s="371"/>
      <c r="J654" s="245" t="s">
        <v>561</v>
      </c>
      <c r="K654" s="216"/>
      <c r="L654" s="281" t="s">
        <v>1676</v>
      </c>
      <c r="M654" s="281" t="s">
        <v>1508</v>
      </c>
      <c r="N654" s="366"/>
      <c r="O654" s="1392" t="s">
        <v>2975</v>
      </c>
      <c r="P654" s="367"/>
      <c r="Q654" s="380" t="s">
        <v>87</v>
      </c>
      <c r="R654" s="682" t="s">
        <v>1764</v>
      </c>
      <c r="S654" s="279"/>
      <c r="T654" s="197"/>
      <c r="U654" s="251" t="s">
        <v>54</v>
      </c>
      <c r="V654" s="245"/>
      <c r="W654" s="250" t="s">
        <v>295</v>
      </c>
      <c r="X654" s="197"/>
      <c r="Y654" s="245"/>
      <c r="Z654" s="246"/>
      <c r="AA654" s="246"/>
      <c r="AB654" s="361"/>
      <c r="AC654" s="223" t="s">
        <v>946</v>
      </c>
      <c r="AD654" s="376"/>
      <c r="AE654" s="494"/>
      <c r="AF654" s="494"/>
      <c r="AG654" s="241"/>
      <c r="AH654" s="283"/>
      <c r="AI654" s="254" t="s">
        <v>1351</v>
      </c>
      <c r="AJ654" s="303" t="s">
        <v>136</v>
      </c>
      <c r="AK654" s="241">
        <v>4</v>
      </c>
      <c r="AL654" s="123" t="s">
        <v>463</v>
      </c>
      <c r="AM654" s="123" t="s">
        <v>460</v>
      </c>
      <c r="AN654" s="150"/>
      <c r="AO654" s="150"/>
      <c r="AP654" s="115"/>
      <c r="AQ654" s="149"/>
      <c r="AR654" s="115"/>
      <c r="AS654" s="115"/>
      <c r="AT654" s="115"/>
    </row>
    <row r="655" spans="1:46" ht="39" customHeight="1" x14ac:dyDescent="0.25">
      <c r="A655" s="1468">
        <v>654</v>
      </c>
      <c r="B655" s="146">
        <v>2</v>
      </c>
      <c r="C655" s="260" t="s">
        <v>319</v>
      </c>
      <c r="D655" s="241"/>
      <c r="E655" s="241"/>
      <c r="F655" s="241"/>
      <c r="G655" s="261" t="s">
        <v>320</v>
      </c>
      <c r="H655" s="262" t="s">
        <v>87</v>
      </c>
      <c r="I655" s="364"/>
      <c r="J655" s="245" t="s">
        <v>561</v>
      </c>
      <c r="K655" s="288"/>
      <c r="L655" s="281" t="s">
        <v>1676</v>
      </c>
      <c r="M655" s="281" t="s">
        <v>1508</v>
      </c>
      <c r="N655" s="366"/>
      <c r="O655" s="392" t="s">
        <v>2998</v>
      </c>
      <c r="P655" s="402"/>
      <c r="Q655" s="380" t="s">
        <v>87</v>
      </c>
      <c r="R655" s="682" t="s">
        <v>1769</v>
      </c>
      <c r="S655" s="279">
        <v>37249</v>
      </c>
      <c r="T655" s="197"/>
      <c r="U655" s="251" t="s">
        <v>54</v>
      </c>
      <c r="V655" s="245"/>
      <c r="W655" s="250" t="s">
        <v>295</v>
      </c>
      <c r="X655" s="197"/>
      <c r="Y655" s="245"/>
      <c r="Z655" s="246"/>
      <c r="AA655" s="246"/>
      <c r="AB655" s="288" t="s">
        <v>4374</v>
      </c>
      <c r="AC655" s="223" t="s">
        <v>946</v>
      </c>
      <c r="AD655" s="376"/>
      <c r="AE655" s="494">
        <v>45112</v>
      </c>
      <c r="AF655" s="494">
        <v>45477</v>
      </c>
      <c r="AG655" s="241"/>
      <c r="AH655" s="283"/>
      <c r="AI655" s="254" t="s">
        <v>1351</v>
      </c>
      <c r="AJ655" s="303" t="s">
        <v>136</v>
      </c>
      <c r="AK655" s="241">
        <v>4</v>
      </c>
      <c r="AL655" s="123" t="s">
        <v>463</v>
      </c>
      <c r="AM655" s="123" t="s">
        <v>460</v>
      </c>
      <c r="AN655" s="110"/>
      <c r="AO655" s="110"/>
      <c r="AP655" s="115"/>
      <c r="AQ655" s="115"/>
      <c r="AR655" s="115"/>
      <c r="AS655" s="115"/>
      <c r="AT655" s="115"/>
    </row>
    <row r="656" spans="1:46" ht="39" customHeight="1" x14ac:dyDescent="0.25">
      <c r="A656" s="1468">
        <v>655</v>
      </c>
      <c r="B656" s="141">
        <v>2</v>
      </c>
      <c r="C656" s="378" t="s">
        <v>321</v>
      </c>
      <c r="D656" s="303"/>
      <c r="E656" s="241"/>
      <c r="F656" s="241"/>
      <c r="G656" s="261" t="s">
        <v>322</v>
      </c>
      <c r="H656" s="262" t="s">
        <v>87</v>
      </c>
      <c r="I656" s="357"/>
      <c r="J656" s="245" t="s">
        <v>561</v>
      </c>
      <c r="K656" s="305"/>
      <c r="L656" s="281" t="s">
        <v>1676</v>
      </c>
      <c r="M656" s="281" t="s">
        <v>1508</v>
      </c>
      <c r="N656" s="366"/>
      <c r="O656" s="392" t="s">
        <v>3100</v>
      </c>
      <c r="P656" s="402"/>
      <c r="Q656" s="380" t="s">
        <v>87</v>
      </c>
      <c r="R656" s="682" t="s">
        <v>1790</v>
      </c>
      <c r="S656" s="279">
        <v>37477</v>
      </c>
      <c r="T656" s="197"/>
      <c r="U656" s="251" t="s">
        <v>54</v>
      </c>
      <c r="V656" s="245"/>
      <c r="W656" s="250" t="s">
        <v>295</v>
      </c>
      <c r="X656" s="197"/>
      <c r="Y656" s="245"/>
      <c r="Z656" s="246"/>
      <c r="AA656" s="246"/>
      <c r="AB656" s="250" t="s">
        <v>4375</v>
      </c>
      <c r="AC656" s="223" t="s">
        <v>946</v>
      </c>
      <c r="AD656" s="376"/>
      <c r="AE656" s="494">
        <v>45112</v>
      </c>
      <c r="AF656" s="494">
        <v>45477</v>
      </c>
      <c r="AG656" s="241"/>
      <c r="AH656" s="283"/>
      <c r="AI656" s="254" t="s">
        <v>1351</v>
      </c>
      <c r="AJ656" s="303" t="s">
        <v>136</v>
      </c>
      <c r="AK656" s="241">
        <v>4</v>
      </c>
      <c r="AL656" s="123" t="s">
        <v>463</v>
      </c>
      <c r="AM656" s="123" t="s">
        <v>460</v>
      </c>
      <c r="AN656" s="110"/>
      <c r="AO656" s="110"/>
      <c r="AP656" s="115"/>
      <c r="AQ656" s="115"/>
      <c r="AR656" s="115"/>
      <c r="AS656" s="115"/>
      <c r="AT656" s="116"/>
    </row>
    <row r="657" spans="1:46" ht="39" customHeight="1" x14ac:dyDescent="0.3">
      <c r="A657" s="1468">
        <v>656</v>
      </c>
      <c r="B657" s="141">
        <v>1</v>
      </c>
      <c r="C657" s="378" t="s">
        <v>323</v>
      </c>
      <c r="D657" s="303"/>
      <c r="E657" s="241"/>
      <c r="F657" s="241"/>
      <c r="G657" s="261" t="s">
        <v>324</v>
      </c>
      <c r="H657" s="262" t="s">
        <v>87</v>
      </c>
      <c r="I657" s="357"/>
      <c r="J657" s="245" t="s">
        <v>561</v>
      </c>
      <c r="K657" s="595"/>
      <c r="L657" s="281" t="s">
        <v>1685</v>
      </c>
      <c r="M657" s="281" t="s">
        <v>1527</v>
      </c>
      <c r="N657" s="366"/>
      <c r="O657" s="1392" t="s">
        <v>3081</v>
      </c>
      <c r="P657" s="367"/>
      <c r="Q657" s="301" t="s">
        <v>87</v>
      </c>
      <c r="R657" s="381" t="s">
        <v>1703</v>
      </c>
      <c r="S657" s="279">
        <v>37848</v>
      </c>
      <c r="T657" s="197"/>
      <c r="U657" s="251" t="s">
        <v>54</v>
      </c>
      <c r="V657" s="306" t="s">
        <v>3578</v>
      </c>
      <c r="W657" s="250" t="s">
        <v>295</v>
      </c>
      <c r="X657" s="197" t="s">
        <v>475</v>
      </c>
      <c r="Y657" s="1138" t="s">
        <v>3579</v>
      </c>
      <c r="Z657" s="289">
        <v>45216</v>
      </c>
      <c r="AA657" s="246"/>
      <c r="AB657" s="288" t="s">
        <v>4361</v>
      </c>
      <c r="AC657" s="223" t="s">
        <v>946</v>
      </c>
      <c r="AD657" s="376"/>
      <c r="AE657" s="494">
        <v>45104</v>
      </c>
      <c r="AF657" s="494">
        <v>45469</v>
      </c>
      <c r="AG657" s="241"/>
      <c r="AH657" s="283"/>
      <c r="AI657" s="254" t="s">
        <v>1351</v>
      </c>
      <c r="AJ657" s="303" t="s">
        <v>136</v>
      </c>
      <c r="AK657" s="241">
        <v>4</v>
      </c>
      <c r="AL657" s="123" t="s">
        <v>463</v>
      </c>
      <c r="AM657" s="123" t="s">
        <v>460</v>
      </c>
      <c r="AN657" s="110"/>
      <c r="AO657" s="110"/>
      <c r="AP657" s="115"/>
      <c r="AQ657" s="115"/>
      <c r="AR657" s="115"/>
      <c r="AS657" s="115"/>
      <c r="AT657" s="115"/>
    </row>
    <row r="658" spans="1:46" ht="39" customHeight="1" x14ac:dyDescent="0.25">
      <c r="A658" s="1468">
        <v>657</v>
      </c>
      <c r="B658" s="141">
        <v>2</v>
      </c>
      <c r="C658" s="260" t="s">
        <v>325</v>
      </c>
      <c r="D658" s="241"/>
      <c r="E658" s="241"/>
      <c r="F658" s="241"/>
      <c r="G658" s="261" t="s">
        <v>324</v>
      </c>
      <c r="H658" s="262" t="s">
        <v>87</v>
      </c>
      <c r="I658" s="357"/>
      <c r="J658" s="245" t="s">
        <v>561</v>
      </c>
      <c r="K658" s="216" t="s">
        <v>313</v>
      </c>
      <c r="L658" s="299" t="s">
        <v>5058</v>
      </c>
      <c r="M658" s="299" t="s">
        <v>5058</v>
      </c>
      <c r="N658" s="366"/>
      <c r="O658" s="1372" t="s">
        <v>5103</v>
      </c>
      <c r="P658" s="367"/>
      <c r="Q658" s="1372" t="s">
        <v>87</v>
      </c>
      <c r="R658" s="1003" t="s">
        <v>5102</v>
      </c>
      <c r="S658" s="279">
        <v>38604</v>
      </c>
      <c r="T658" s="197"/>
      <c r="U658" s="251" t="s">
        <v>54</v>
      </c>
      <c r="V658" s="299" t="s">
        <v>5058</v>
      </c>
      <c r="W658" s="250" t="s">
        <v>295</v>
      </c>
      <c r="X658" s="197"/>
      <c r="Y658" s="245"/>
      <c r="Z658" s="246">
        <v>45253</v>
      </c>
      <c r="AA658" s="246"/>
      <c r="AB658" s="288" t="s">
        <v>4835</v>
      </c>
      <c r="AC658" s="223" t="s">
        <v>946</v>
      </c>
      <c r="AD658" s="245" t="s">
        <v>467</v>
      </c>
      <c r="AE658" s="494">
        <v>45252</v>
      </c>
      <c r="AF658" s="494">
        <v>45617</v>
      </c>
      <c r="AG658" s="241"/>
      <c r="AH658" s="283"/>
      <c r="AI658" s="254" t="s">
        <v>4208</v>
      </c>
      <c r="AJ658" s="303" t="s">
        <v>136</v>
      </c>
      <c r="AK658" s="241">
        <v>4</v>
      </c>
      <c r="AL658" s="123" t="s">
        <v>463</v>
      </c>
      <c r="AM658" s="123" t="s">
        <v>460</v>
      </c>
      <c r="AN658" s="151"/>
      <c r="AO658" s="151"/>
      <c r="AP658" s="115"/>
      <c r="AQ658" s="149"/>
      <c r="AR658" s="115"/>
      <c r="AS658" s="115"/>
      <c r="AT658" s="115"/>
    </row>
    <row r="659" spans="1:46" ht="39" customHeight="1" x14ac:dyDescent="0.25">
      <c r="A659" s="1468">
        <v>658</v>
      </c>
      <c r="B659" s="117"/>
      <c r="C659" s="324"/>
      <c r="D659" s="664"/>
      <c r="E659" s="664"/>
      <c r="F659" s="664"/>
      <c r="G659" s="227"/>
      <c r="H659" s="228"/>
      <c r="I659" s="228"/>
      <c r="J659" s="229"/>
      <c r="K659" s="227"/>
      <c r="L659" s="229"/>
      <c r="M659" s="229"/>
      <c r="N659" s="229"/>
      <c r="O659" s="216"/>
      <c r="P659" s="230" t="s">
        <v>326</v>
      </c>
      <c r="Q659" s="664"/>
      <c r="R659" s="381"/>
      <c r="S659" s="279"/>
      <c r="T659" s="232"/>
      <c r="U659" s="250"/>
      <c r="V659" s="232"/>
      <c r="W659" s="232"/>
      <c r="X659" s="232"/>
      <c r="Y659" s="232"/>
      <c r="Z659" s="233"/>
      <c r="AA659" s="234"/>
      <c r="AB659" s="235"/>
      <c r="AC659" s="236"/>
      <c r="AD659" s="235"/>
      <c r="AE659" s="494"/>
      <c r="AF659" s="494"/>
      <c r="AG659" s="664"/>
      <c r="AH659" s="238"/>
      <c r="AI659" s="239"/>
      <c r="AJ659" s="303"/>
      <c r="AK659" s="241"/>
      <c r="AL659" s="122"/>
      <c r="AM659" s="122"/>
      <c r="AN659" s="113"/>
      <c r="AO659" s="114"/>
      <c r="AP659" s="115"/>
      <c r="AQ659" s="115"/>
      <c r="AR659" s="115"/>
      <c r="AS659" s="115"/>
      <c r="AT659" s="116"/>
    </row>
    <row r="660" spans="1:46" ht="39" customHeight="1" x14ac:dyDescent="0.25">
      <c r="A660" s="1468">
        <v>659</v>
      </c>
      <c r="B660" s="141">
        <v>5</v>
      </c>
      <c r="C660" s="290" t="s">
        <v>288</v>
      </c>
      <c r="D660" s="291"/>
      <c r="E660" s="291" t="s">
        <v>47</v>
      </c>
      <c r="F660" s="291"/>
      <c r="G660" s="292" t="s">
        <v>289</v>
      </c>
      <c r="H660" s="293" t="s">
        <v>132</v>
      </c>
      <c r="I660" s="344">
        <v>144</v>
      </c>
      <c r="J660" s="256">
        <v>403</v>
      </c>
      <c r="K660" s="257"/>
      <c r="L660" s="281"/>
      <c r="M660" s="281" t="s">
        <v>5731</v>
      </c>
      <c r="N660" s="366"/>
      <c r="O660" s="1424" t="s">
        <v>3914</v>
      </c>
      <c r="P660" s="402"/>
      <c r="Q660" s="373" t="s">
        <v>567</v>
      </c>
      <c r="R660" s="982" t="s">
        <v>3913</v>
      </c>
      <c r="S660" s="279">
        <v>30808</v>
      </c>
      <c r="T660" s="197"/>
      <c r="U660" s="250"/>
      <c r="V660" s="245"/>
      <c r="W660" s="288"/>
      <c r="X660" s="250"/>
      <c r="Y660" s="981"/>
      <c r="Z660" s="246"/>
      <c r="AA660" s="246"/>
      <c r="AB660" s="361"/>
      <c r="AC660" s="223"/>
      <c r="AD660" s="376"/>
      <c r="AE660" s="494"/>
      <c r="AF660" s="494"/>
      <c r="AG660" s="241"/>
      <c r="AH660" s="283"/>
      <c r="AI660" s="254"/>
      <c r="AJ660" s="348" t="s">
        <v>560</v>
      </c>
      <c r="AK660" s="348">
        <v>3</v>
      </c>
      <c r="AL660" s="123" t="s">
        <v>463</v>
      </c>
      <c r="AM660" s="123" t="s">
        <v>460</v>
      </c>
      <c r="AN660" s="138"/>
      <c r="AO660" s="138"/>
      <c r="AP660" s="115"/>
      <c r="AQ660" s="149"/>
      <c r="AR660" s="115"/>
      <c r="AS660" s="115"/>
      <c r="AT660" s="115"/>
    </row>
    <row r="661" spans="1:46" ht="39" customHeight="1" x14ac:dyDescent="0.25">
      <c r="A661" s="1468">
        <v>660</v>
      </c>
      <c r="B661" s="141">
        <v>3</v>
      </c>
      <c r="C661" s="356" t="s">
        <v>290</v>
      </c>
      <c r="D661" s="241" t="s">
        <v>134</v>
      </c>
      <c r="E661" s="241"/>
      <c r="F661" s="241"/>
      <c r="G661" s="261" t="s">
        <v>291</v>
      </c>
      <c r="H661" s="262" t="s">
        <v>85</v>
      </c>
      <c r="I661" s="346"/>
      <c r="J661" s="245" t="s">
        <v>556</v>
      </c>
      <c r="K661" s="288" t="s">
        <v>158</v>
      </c>
      <c r="L661" s="288" t="s">
        <v>3678</v>
      </c>
      <c r="M661" s="288" t="s">
        <v>3678</v>
      </c>
      <c r="N661" s="281" t="s">
        <v>4217</v>
      </c>
      <c r="O661" s="1273" t="s">
        <v>3737</v>
      </c>
      <c r="P661" s="402"/>
      <c r="Q661" s="282" t="s">
        <v>87</v>
      </c>
      <c r="R661" s="1188" t="s">
        <v>3736</v>
      </c>
      <c r="S661" s="279">
        <v>37838</v>
      </c>
      <c r="T661" s="306"/>
      <c r="U661" s="251" t="s">
        <v>54</v>
      </c>
      <c r="V661" s="245" t="s">
        <v>3904</v>
      </c>
      <c r="W661" s="250" t="s">
        <v>295</v>
      </c>
      <c r="X661" s="197" t="s">
        <v>475</v>
      </c>
      <c r="Y661" s="245" t="s">
        <v>3975</v>
      </c>
      <c r="Z661" s="246">
        <v>45224</v>
      </c>
      <c r="AA661" s="246"/>
      <c r="AB661" s="288" t="s">
        <v>4333</v>
      </c>
      <c r="AC661" s="223" t="s">
        <v>946</v>
      </c>
      <c r="AD661" s="299" t="s">
        <v>467</v>
      </c>
      <c r="AE661" s="494">
        <v>45110</v>
      </c>
      <c r="AF661" s="494">
        <v>45475</v>
      </c>
      <c r="AG661" s="1273"/>
      <c r="AH661" s="283"/>
      <c r="AI661" s="296" t="s">
        <v>1351</v>
      </c>
      <c r="AJ661" s="303" t="s">
        <v>136</v>
      </c>
      <c r="AK661" s="241">
        <v>4</v>
      </c>
      <c r="AL661" s="123" t="s">
        <v>463</v>
      </c>
      <c r="AM661" s="123" t="s">
        <v>460</v>
      </c>
      <c r="AN661" s="110" t="s">
        <v>4184</v>
      </c>
      <c r="AO661" s="138"/>
      <c r="AP661" s="115"/>
      <c r="AQ661" s="149"/>
      <c r="AR661" s="115"/>
      <c r="AS661" s="115"/>
      <c r="AT661" s="115"/>
    </row>
    <row r="662" spans="1:46" ht="39" customHeight="1" x14ac:dyDescent="0.25">
      <c r="A662" s="1468">
        <v>661</v>
      </c>
      <c r="B662" s="141">
        <v>3</v>
      </c>
      <c r="C662" s="358" t="s">
        <v>297</v>
      </c>
      <c r="D662" s="241" t="s">
        <v>134</v>
      </c>
      <c r="E662" s="241"/>
      <c r="F662" s="241"/>
      <c r="G662" s="261" t="s">
        <v>298</v>
      </c>
      <c r="H662" s="262" t="s">
        <v>85</v>
      </c>
      <c r="I662" s="346"/>
      <c r="J662" s="245" t="s">
        <v>556</v>
      </c>
      <c r="K662" s="288" t="s">
        <v>158</v>
      </c>
      <c r="L662" s="288" t="s">
        <v>3678</v>
      </c>
      <c r="M662" s="288" t="s">
        <v>3678</v>
      </c>
      <c r="N662" s="281" t="s">
        <v>4217</v>
      </c>
      <c r="O662" s="392" t="s">
        <v>3733</v>
      </c>
      <c r="P662" s="374"/>
      <c r="Q662" s="594" t="s">
        <v>87</v>
      </c>
      <c r="R662" s="1188" t="s">
        <v>3732</v>
      </c>
      <c r="S662" s="279">
        <v>37814</v>
      </c>
      <c r="T662" s="197"/>
      <c r="U662" s="251" t="s">
        <v>54</v>
      </c>
      <c r="V662" s="245" t="s">
        <v>3904</v>
      </c>
      <c r="W662" s="250" t="s">
        <v>295</v>
      </c>
      <c r="X662" s="197" t="s">
        <v>475</v>
      </c>
      <c r="Y662" s="245" t="s">
        <v>3975</v>
      </c>
      <c r="Z662" s="246">
        <v>45224</v>
      </c>
      <c r="AA662" s="246"/>
      <c r="AB662" s="288" t="s">
        <v>4269</v>
      </c>
      <c r="AC662" s="223" t="s">
        <v>946</v>
      </c>
      <c r="AD662" s="299" t="s">
        <v>467</v>
      </c>
      <c r="AE662" s="494">
        <v>45110</v>
      </c>
      <c r="AF662" s="494">
        <v>45475</v>
      </c>
      <c r="AG662" s="392"/>
      <c r="AH662" s="283"/>
      <c r="AI662" s="296" t="s">
        <v>1351</v>
      </c>
      <c r="AJ662" s="303" t="s">
        <v>136</v>
      </c>
      <c r="AK662" s="241">
        <v>4</v>
      </c>
      <c r="AL662" s="123" t="s">
        <v>463</v>
      </c>
      <c r="AM662" s="123" t="s">
        <v>460</v>
      </c>
      <c r="AN662" s="138"/>
      <c r="AO662" s="138"/>
      <c r="AP662" s="115"/>
      <c r="AQ662" s="149"/>
      <c r="AR662" s="115"/>
      <c r="AS662" s="115"/>
      <c r="AT662" s="116"/>
    </row>
    <row r="663" spans="1:46" ht="39" customHeight="1" x14ac:dyDescent="0.25">
      <c r="A663" s="1468">
        <v>662</v>
      </c>
      <c r="B663" s="141">
        <v>2</v>
      </c>
      <c r="C663" s="260" t="s">
        <v>311</v>
      </c>
      <c r="D663" s="241"/>
      <c r="E663" s="241"/>
      <c r="F663" s="241"/>
      <c r="G663" s="261" t="s">
        <v>312</v>
      </c>
      <c r="H663" s="262" t="s">
        <v>85</v>
      </c>
      <c r="I663" s="346"/>
      <c r="J663" s="245" t="s">
        <v>556</v>
      </c>
      <c r="K663" s="197"/>
      <c r="L663" s="281" t="s">
        <v>1676</v>
      </c>
      <c r="M663" s="281" t="s">
        <v>1508</v>
      </c>
      <c r="N663" s="366"/>
      <c r="O663" s="392" t="s">
        <v>3039</v>
      </c>
      <c r="P663" s="484"/>
      <c r="Q663" s="594" t="s">
        <v>87</v>
      </c>
      <c r="R663" s="999" t="s">
        <v>1777</v>
      </c>
      <c r="S663" s="279">
        <v>37265</v>
      </c>
      <c r="T663" s="197"/>
      <c r="U663" s="251" t="s">
        <v>54</v>
      </c>
      <c r="V663" s="197"/>
      <c r="W663" s="197" t="s">
        <v>295</v>
      </c>
      <c r="X663" s="197"/>
      <c r="Y663" s="252"/>
      <c r="Z663" s="252"/>
      <c r="AA663" s="246"/>
      <c r="AB663" s="288" t="s">
        <v>4377</v>
      </c>
      <c r="AC663" s="223" t="s">
        <v>946</v>
      </c>
      <c r="AD663" s="376"/>
      <c r="AE663" s="494">
        <v>45112</v>
      </c>
      <c r="AF663" s="494">
        <v>45477</v>
      </c>
      <c r="AG663" s="241"/>
      <c r="AH663" s="283"/>
      <c r="AI663" s="254" t="s">
        <v>1351</v>
      </c>
      <c r="AJ663" s="303" t="s">
        <v>136</v>
      </c>
      <c r="AK663" s="241">
        <v>4</v>
      </c>
      <c r="AL663" s="123" t="s">
        <v>463</v>
      </c>
      <c r="AM663" s="123" t="s">
        <v>460</v>
      </c>
      <c r="AN663" s="138"/>
      <c r="AO663" s="138"/>
      <c r="AP663" s="115"/>
      <c r="AQ663" s="149"/>
      <c r="AR663" s="115"/>
      <c r="AS663" s="115"/>
      <c r="AT663" s="115"/>
    </row>
    <row r="664" spans="1:46" ht="39" customHeight="1" x14ac:dyDescent="0.25">
      <c r="A664" s="1468">
        <v>663</v>
      </c>
      <c r="B664" s="141">
        <v>2</v>
      </c>
      <c r="C664" s="260" t="s">
        <v>317</v>
      </c>
      <c r="D664" s="241"/>
      <c r="E664" s="241"/>
      <c r="F664" s="241"/>
      <c r="G664" s="261" t="s">
        <v>318</v>
      </c>
      <c r="H664" s="262" t="s">
        <v>87</v>
      </c>
      <c r="I664" s="346"/>
      <c r="J664" s="245" t="s">
        <v>561</v>
      </c>
      <c r="K664" s="216"/>
      <c r="L664" s="299"/>
      <c r="M664" s="299"/>
      <c r="N664" s="366"/>
      <c r="O664" s="1372"/>
      <c r="P664" s="367"/>
      <c r="Q664" s="1372"/>
      <c r="R664" s="1003" t="s">
        <v>66</v>
      </c>
      <c r="S664" s="279"/>
      <c r="T664" s="197"/>
      <c r="U664" s="250"/>
      <c r="V664" s="299"/>
      <c r="W664" s="250"/>
      <c r="X664" s="197"/>
      <c r="Y664" s="245"/>
      <c r="Z664" s="246"/>
      <c r="AA664" s="246"/>
      <c r="AB664" s="288"/>
      <c r="AC664" s="223"/>
      <c r="AD664" s="245"/>
      <c r="AE664" s="494"/>
      <c r="AF664" s="494"/>
      <c r="AG664" s="241"/>
      <c r="AH664" s="283"/>
      <c r="AI664" s="254"/>
      <c r="AJ664" s="303"/>
      <c r="AK664" s="241">
        <v>4</v>
      </c>
      <c r="AL664" s="123" t="s">
        <v>463</v>
      </c>
      <c r="AM664" s="123" t="s">
        <v>460</v>
      </c>
      <c r="AN664" s="138"/>
      <c r="AO664" s="138"/>
      <c r="AP664" s="115"/>
      <c r="AQ664" s="149"/>
      <c r="AR664" s="115"/>
      <c r="AS664" s="115"/>
      <c r="AT664" s="115"/>
    </row>
    <row r="665" spans="1:46" ht="39" customHeight="1" x14ac:dyDescent="0.25">
      <c r="A665" s="1468">
        <v>664</v>
      </c>
      <c r="B665" s="146">
        <v>2</v>
      </c>
      <c r="C665" s="260" t="s">
        <v>319</v>
      </c>
      <c r="D665" s="241"/>
      <c r="E665" s="241"/>
      <c r="F665" s="241"/>
      <c r="G665" s="261" t="s">
        <v>320</v>
      </c>
      <c r="H665" s="262" t="s">
        <v>87</v>
      </c>
      <c r="I665" s="357"/>
      <c r="J665" s="245" t="s">
        <v>561</v>
      </c>
      <c r="K665" s="265"/>
      <c r="L665" s="281" t="s">
        <v>1676</v>
      </c>
      <c r="M665" s="281" t="s">
        <v>1508</v>
      </c>
      <c r="N665" s="366"/>
      <c r="O665" s="392" t="s">
        <v>2877</v>
      </c>
      <c r="P665" s="402"/>
      <c r="Q665" s="380" t="s">
        <v>87</v>
      </c>
      <c r="R665" s="682" t="s">
        <v>1750</v>
      </c>
      <c r="S665" s="279" t="s">
        <v>4747</v>
      </c>
      <c r="T665" s="197"/>
      <c r="U665" s="251" t="s">
        <v>54</v>
      </c>
      <c r="V665" s="245"/>
      <c r="W665" s="250" t="s">
        <v>295</v>
      </c>
      <c r="X665" s="197"/>
      <c r="Y665" s="245"/>
      <c r="Z665" s="246"/>
      <c r="AA665" s="246"/>
      <c r="AB665" s="296" t="s">
        <v>4378</v>
      </c>
      <c r="AC665" s="223" t="s">
        <v>946</v>
      </c>
      <c r="AD665" s="376"/>
      <c r="AE665" s="494" t="s">
        <v>4345</v>
      </c>
      <c r="AF665" s="494">
        <v>45478</v>
      </c>
      <c r="AG665" s="241"/>
      <c r="AH665" s="283"/>
      <c r="AI665" s="254" t="s">
        <v>1351</v>
      </c>
      <c r="AJ665" s="303" t="s">
        <v>136</v>
      </c>
      <c r="AK665" s="241">
        <v>4</v>
      </c>
      <c r="AL665" s="123" t="s">
        <v>463</v>
      </c>
      <c r="AM665" s="123" t="s">
        <v>460</v>
      </c>
      <c r="AN665" s="110"/>
      <c r="AO665" s="152"/>
      <c r="AP665" s="115"/>
      <c r="AQ665" s="115"/>
      <c r="AR665" s="115"/>
      <c r="AS665" s="115"/>
      <c r="AT665" s="115"/>
    </row>
    <row r="666" spans="1:46" ht="39" customHeight="1" x14ac:dyDescent="0.25">
      <c r="A666" s="1468">
        <v>665</v>
      </c>
      <c r="B666" s="141">
        <v>2</v>
      </c>
      <c r="C666" s="378" t="s">
        <v>321</v>
      </c>
      <c r="D666" s="303"/>
      <c r="E666" s="241"/>
      <c r="F666" s="241"/>
      <c r="G666" s="261" t="s">
        <v>322</v>
      </c>
      <c r="H666" s="262" t="s">
        <v>87</v>
      </c>
      <c r="I666" s="364"/>
      <c r="J666" s="245" t="s">
        <v>561</v>
      </c>
      <c r="K666" s="288"/>
      <c r="L666" s="281" t="s">
        <v>1676</v>
      </c>
      <c r="M666" s="281" t="s">
        <v>1508</v>
      </c>
      <c r="N666" s="366"/>
      <c r="O666" s="392" t="s">
        <v>2978</v>
      </c>
      <c r="P666" s="402"/>
      <c r="Q666" s="380" t="s">
        <v>87</v>
      </c>
      <c r="R666" s="682" t="s">
        <v>1765</v>
      </c>
      <c r="S666" s="279">
        <v>37531</v>
      </c>
      <c r="T666" s="197"/>
      <c r="U666" s="251" t="s">
        <v>54</v>
      </c>
      <c r="V666" s="245"/>
      <c r="W666" s="250" t="s">
        <v>295</v>
      </c>
      <c r="X666" s="197"/>
      <c r="Y666" s="245"/>
      <c r="Z666" s="246"/>
      <c r="AA666" s="246"/>
      <c r="AB666" s="288" t="s">
        <v>4379</v>
      </c>
      <c r="AC666" s="223" t="s">
        <v>946</v>
      </c>
      <c r="AD666" s="376"/>
      <c r="AE666" s="494">
        <v>45114</v>
      </c>
      <c r="AF666" s="494">
        <v>45479</v>
      </c>
      <c r="AG666" s="241"/>
      <c r="AH666" s="283"/>
      <c r="AI666" s="254" t="s">
        <v>1351</v>
      </c>
      <c r="AJ666" s="303" t="s">
        <v>136</v>
      </c>
      <c r="AK666" s="241">
        <v>4</v>
      </c>
      <c r="AL666" s="123" t="s">
        <v>463</v>
      </c>
      <c r="AM666" s="123" t="s">
        <v>460</v>
      </c>
      <c r="AN666" s="110"/>
      <c r="AO666" s="110"/>
      <c r="AP666" s="115"/>
      <c r="AQ666" s="115"/>
      <c r="AR666" s="115"/>
      <c r="AS666" s="115"/>
      <c r="AT666" s="116"/>
    </row>
    <row r="667" spans="1:46" ht="39" customHeight="1" x14ac:dyDescent="0.25">
      <c r="A667" s="1468">
        <v>666</v>
      </c>
      <c r="B667" s="141">
        <v>1</v>
      </c>
      <c r="C667" s="378" t="s">
        <v>323</v>
      </c>
      <c r="D667" s="303"/>
      <c r="E667" s="241"/>
      <c r="F667" s="241"/>
      <c r="G667" s="261" t="s">
        <v>324</v>
      </c>
      <c r="H667" s="262" t="s">
        <v>87</v>
      </c>
      <c r="I667" s="357"/>
      <c r="J667" s="245" t="s">
        <v>561</v>
      </c>
      <c r="K667" s="257"/>
      <c r="L667" s="281" t="s">
        <v>1676</v>
      </c>
      <c r="M667" s="281" t="s">
        <v>1508</v>
      </c>
      <c r="N667" s="366"/>
      <c r="O667" s="392" t="s">
        <v>2908</v>
      </c>
      <c r="P667" s="402"/>
      <c r="Q667" s="380" t="s">
        <v>87</v>
      </c>
      <c r="R667" s="682" t="s">
        <v>1753</v>
      </c>
      <c r="S667" s="279">
        <v>38013</v>
      </c>
      <c r="T667" s="197"/>
      <c r="U667" s="251" t="s">
        <v>54</v>
      </c>
      <c r="V667" s="245"/>
      <c r="W667" s="250" t="s">
        <v>295</v>
      </c>
      <c r="X667" s="197"/>
      <c r="Y667" s="245"/>
      <c r="Z667" s="246"/>
      <c r="AA667" s="246"/>
      <c r="AB667" s="288" t="s">
        <v>4366</v>
      </c>
      <c r="AC667" s="223" t="s">
        <v>209</v>
      </c>
      <c r="AD667" s="376"/>
      <c r="AE667" s="494">
        <v>45113</v>
      </c>
      <c r="AF667" s="494">
        <v>45478</v>
      </c>
      <c r="AG667" s="241"/>
      <c r="AH667" s="283"/>
      <c r="AI667" s="254" t="s">
        <v>1351</v>
      </c>
      <c r="AJ667" s="303" t="s">
        <v>136</v>
      </c>
      <c r="AK667" s="241">
        <v>4</v>
      </c>
      <c r="AL667" s="123" t="s">
        <v>463</v>
      </c>
      <c r="AM667" s="123" t="s">
        <v>460</v>
      </c>
      <c r="AN667" s="110"/>
      <c r="AO667" s="110"/>
      <c r="AP667" s="115"/>
      <c r="AQ667" s="115"/>
      <c r="AR667" s="115"/>
      <c r="AS667" s="115"/>
      <c r="AT667" s="115"/>
    </row>
    <row r="668" spans="1:46" ht="39" customHeight="1" x14ac:dyDescent="0.25">
      <c r="A668" s="1468">
        <v>667</v>
      </c>
      <c r="B668" s="141">
        <v>2</v>
      </c>
      <c r="C668" s="260" t="s">
        <v>325</v>
      </c>
      <c r="D668" s="241"/>
      <c r="E668" s="241"/>
      <c r="F668" s="241"/>
      <c r="G668" s="261" t="s">
        <v>324</v>
      </c>
      <c r="H668" s="262" t="s">
        <v>87</v>
      </c>
      <c r="I668" s="357"/>
      <c r="J668" s="245" t="s">
        <v>561</v>
      </c>
      <c r="K668" s="301"/>
      <c r="L668" s="281" t="s">
        <v>1676</v>
      </c>
      <c r="M668" s="281" t="s">
        <v>1508</v>
      </c>
      <c r="N668" s="366"/>
      <c r="O668" s="392" t="s">
        <v>2915</v>
      </c>
      <c r="P668" s="402"/>
      <c r="Q668" s="380" t="s">
        <v>87</v>
      </c>
      <c r="R668" s="682" t="s">
        <v>4748</v>
      </c>
      <c r="S668" s="279" t="s">
        <v>4749</v>
      </c>
      <c r="T668" s="197"/>
      <c r="U668" s="251" t="s">
        <v>54</v>
      </c>
      <c r="V668" s="245"/>
      <c r="W668" s="250" t="s">
        <v>295</v>
      </c>
      <c r="X668" s="197"/>
      <c r="Y668" s="245"/>
      <c r="Z668" s="246"/>
      <c r="AA668" s="246"/>
      <c r="AB668" s="296" t="s">
        <v>4380</v>
      </c>
      <c r="AC668" s="223" t="s">
        <v>946</v>
      </c>
      <c r="AD668" s="376"/>
      <c r="AE668" s="494" t="s">
        <v>4354</v>
      </c>
      <c r="AF668" s="494">
        <v>45477</v>
      </c>
      <c r="AG668" s="241"/>
      <c r="AH668" s="283"/>
      <c r="AI668" s="254" t="s">
        <v>1351</v>
      </c>
      <c r="AJ668" s="303" t="s">
        <v>136</v>
      </c>
      <c r="AK668" s="241">
        <v>4</v>
      </c>
      <c r="AL668" s="123" t="s">
        <v>463</v>
      </c>
      <c r="AM668" s="123" t="s">
        <v>460</v>
      </c>
      <c r="AN668" s="110"/>
      <c r="AO668" s="110"/>
      <c r="AP668" s="115"/>
      <c r="AQ668" s="115"/>
      <c r="AR668" s="115"/>
      <c r="AS668" s="115"/>
      <c r="AT668" s="115"/>
    </row>
    <row r="669" spans="1:46" ht="39" customHeight="1" x14ac:dyDescent="0.25">
      <c r="A669" s="1468">
        <v>668</v>
      </c>
      <c r="B669" s="117"/>
      <c r="C669" s="455"/>
      <c r="D669" s="331"/>
      <c r="E669" s="331"/>
      <c r="F669" s="331"/>
      <c r="G669" s="432"/>
      <c r="H669" s="456"/>
      <c r="I669" s="456"/>
      <c r="J669" s="329"/>
      <c r="K669" s="432"/>
      <c r="L669" s="329"/>
      <c r="M669" s="329"/>
      <c r="N669" s="329"/>
      <c r="O669" s="330"/>
      <c r="P669" s="273" t="s">
        <v>327</v>
      </c>
      <c r="Q669" s="331"/>
      <c r="R669" s="455"/>
      <c r="S669" s="279"/>
      <c r="T669" s="334"/>
      <c r="U669" s="250"/>
      <c r="V669" s="334"/>
      <c r="W669" s="334"/>
      <c r="X669" s="334"/>
      <c r="Y669" s="334"/>
      <c r="Z669" s="457"/>
      <c r="AA669" s="458"/>
      <c r="AB669" s="459"/>
      <c r="AC669" s="460"/>
      <c r="AD669" s="459"/>
      <c r="AE669" s="494"/>
      <c r="AF669" s="494"/>
      <c r="AG669" s="331"/>
      <c r="AH669" s="462"/>
      <c r="AI669" s="463"/>
      <c r="AJ669" s="464"/>
      <c r="AK669" s="331"/>
      <c r="AL669" s="163"/>
      <c r="AM669" s="163"/>
      <c r="AN669" s="113"/>
      <c r="AO669" s="163"/>
      <c r="AP669" s="115"/>
      <c r="AQ669" s="115"/>
      <c r="AR669" s="115"/>
      <c r="AS669" s="115"/>
      <c r="AT669" s="116"/>
    </row>
    <row r="670" spans="1:46" ht="39" customHeight="1" x14ac:dyDescent="0.25">
      <c r="A670" s="1468">
        <v>669</v>
      </c>
      <c r="B670" s="141">
        <v>1</v>
      </c>
      <c r="C670" s="290" t="s">
        <v>288</v>
      </c>
      <c r="D670" s="291"/>
      <c r="E670" s="291" t="s">
        <v>47</v>
      </c>
      <c r="F670" s="291"/>
      <c r="G670" s="292" t="s">
        <v>289</v>
      </c>
      <c r="H670" s="293" t="s">
        <v>132</v>
      </c>
      <c r="I670" s="344">
        <v>144</v>
      </c>
      <c r="J670" s="256">
        <v>403</v>
      </c>
      <c r="K670" s="288" t="s">
        <v>158</v>
      </c>
      <c r="L670" s="288" t="s">
        <v>3678</v>
      </c>
      <c r="M670" s="288" t="s">
        <v>3678</v>
      </c>
      <c r="N670" s="281" t="s">
        <v>4217</v>
      </c>
      <c r="O670" s="1391" t="s">
        <v>3761</v>
      </c>
      <c r="P670" s="374"/>
      <c r="Q670" s="282" t="s">
        <v>87</v>
      </c>
      <c r="R670" s="1003" t="s">
        <v>3760</v>
      </c>
      <c r="S670" s="279">
        <v>38358</v>
      </c>
      <c r="T670" s="257"/>
      <c r="U670" s="251" t="s">
        <v>54</v>
      </c>
      <c r="V670" s="245"/>
      <c r="W670" s="250" t="s">
        <v>295</v>
      </c>
      <c r="X670" s="197" t="s">
        <v>475</v>
      </c>
      <c r="Y670" s="197"/>
      <c r="Z670" s="246"/>
      <c r="AA670" s="246"/>
      <c r="AB670" s="1236" t="s">
        <v>4284</v>
      </c>
      <c r="AC670" s="223" t="s">
        <v>946</v>
      </c>
      <c r="AD670" s="299" t="s">
        <v>467</v>
      </c>
      <c r="AE670" s="494">
        <v>45110</v>
      </c>
      <c r="AF670" s="494">
        <v>45475</v>
      </c>
      <c r="AG670" s="1391"/>
      <c r="AH670" s="283"/>
      <c r="AI670" s="296" t="s">
        <v>1351</v>
      </c>
      <c r="AJ670" s="303" t="s">
        <v>136</v>
      </c>
      <c r="AK670" s="348">
        <v>3</v>
      </c>
      <c r="AL670" s="123" t="s">
        <v>463</v>
      </c>
      <c r="AM670" s="123" t="s">
        <v>460</v>
      </c>
      <c r="AN670" s="138"/>
      <c r="AO670" s="138"/>
      <c r="AP670" s="115"/>
      <c r="AQ670" s="149"/>
      <c r="AR670" s="115"/>
      <c r="AS670" s="115"/>
      <c r="AT670" s="115"/>
    </row>
    <row r="671" spans="1:46" ht="39" customHeight="1" x14ac:dyDescent="0.25">
      <c r="A671" s="1468">
        <v>670</v>
      </c>
      <c r="B671" s="141">
        <v>3</v>
      </c>
      <c r="C671" s="356" t="s">
        <v>290</v>
      </c>
      <c r="D671" s="241" t="s">
        <v>134</v>
      </c>
      <c r="E671" s="241"/>
      <c r="F671" s="241"/>
      <c r="G671" s="261" t="s">
        <v>291</v>
      </c>
      <c r="H671" s="262" t="s">
        <v>85</v>
      </c>
      <c r="I671" s="346"/>
      <c r="J671" s="245" t="s">
        <v>556</v>
      </c>
      <c r="K671" s="288" t="s">
        <v>158</v>
      </c>
      <c r="L671" s="288" t="s">
        <v>3678</v>
      </c>
      <c r="M671" s="288" t="s">
        <v>3678</v>
      </c>
      <c r="N671" s="281" t="s">
        <v>4217</v>
      </c>
      <c r="O671" s="392" t="s">
        <v>3735</v>
      </c>
      <c r="P671" s="684"/>
      <c r="Q671" s="301" t="s">
        <v>87</v>
      </c>
      <c r="R671" s="1188" t="s">
        <v>3734</v>
      </c>
      <c r="S671" s="279">
        <v>37880</v>
      </c>
      <c r="T671" s="684"/>
      <c r="U671" s="251" t="s">
        <v>54</v>
      </c>
      <c r="V671" s="245" t="s">
        <v>3904</v>
      </c>
      <c r="W671" s="250" t="s">
        <v>295</v>
      </c>
      <c r="X671" s="197" t="s">
        <v>475</v>
      </c>
      <c r="Y671" s="245" t="s">
        <v>3975</v>
      </c>
      <c r="Z671" s="246">
        <v>45224</v>
      </c>
      <c r="AA671" s="246"/>
      <c r="AB671" s="288" t="s">
        <v>4314</v>
      </c>
      <c r="AC671" s="223" t="s">
        <v>946</v>
      </c>
      <c r="AD671" s="299" t="s">
        <v>467</v>
      </c>
      <c r="AE671" s="494">
        <v>45106</v>
      </c>
      <c r="AF671" s="494">
        <v>45471</v>
      </c>
      <c r="AG671" s="392"/>
      <c r="AH671" s="283"/>
      <c r="AI671" s="296" t="s">
        <v>1351</v>
      </c>
      <c r="AJ671" s="303" t="s">
        <v>136</v>
      </c>
      <c r="AK671" s="303">
        <v>4</v>
      </c>
      <c r="AL671" s="123" t="s">
        <v>463</v>
      </c>
      <c r="AM671" s="123" t="s">
        <v>460</v>
      </c>
      <c r="AN671" s="110" t="s">
        <v>4184</v>
      </c>
      <c r="AO671" s="138"/>
      <c r="AP671" s="115"/>
      <c r="AQ671" s="149"/>
      <c r="AR671" s="115"/>
      <c r="AS671" s="115"/>
      <c r="AT671" s="115"/>
    </row>
    <row r="672" spans="1:46" ht="39" customHeight="1" x14ac:dyDescent="0.25">
      <c r="A672" s="1468">
        <v>671</v>
      </c>
      <c r="B672" s="141">
        <v>3</v>
      </c>
      <c r="C672" s="358" t="s">
        <v>297</v>
      </c>
      <c r="D672" s="241" t="s">
        <v>134</v>
      </c>
      <c r="E672" s="241"/>
      <c r="F672" s="241"/>
      <c r="G672" s="261" t="s">
        <v>298</v>
      </c>
      <c r="H672" s="262" t="s">
        <v>85</v>
      </c>
      <c r="I672" s="346"/>
      <c r="J672" s="245" t="s">
        <v>556</v>
      </c>
      <c r="K672" s="288" t="s">
        <v>158</v>
      </c>
      <c r="L672" s="288" t="s">
        <v>3678</v>
      </c>
      <c r="M672" s="288" t="s">
        <v>3678</v>
      </c>
      <c r="N672" s="281" t="s">
        <v>4217</v>
      </c>
      <c r="O672" s="288" t="s">
        <v>3731</v>
      </c>
      <c r="P672" s="374"/>
      <c r="Q672" s="594" t="s">
        <v>87</v>
      </c>
      <c r="R672" s="1188" t="s">
        <v>3730</v>
      </c>
      <c r="S672" s="279">
        <v>38139</v>
      </c>
      <c r="T672" s="197"/>
      <c r="U672" s="251" t="s">
        <v>54</v>
      </c>
      <c r="V672" s="245" t="s">
        <v>3904</v>
      </c>
      <c r="W672" s="250" t="s">
        <v>295</v>
      </c>
      <c r="X672" s="197" t="s">
        <v>475</v>
      </c>
      <c r="Y672" s="245" t="s">
        <v>3975</v>
      </c>
      <c r="Z672" s="246">
        <v>45224</v>
      </c>
      <c r="AA672" s="246"/>
      <c r="AB672" s="288" t="s">
        <v>4341</v>
      </c>
      <c r="AC672" s="223" t="s">
        <v>946</v>
      </c>
      <c r="AD672" s="299" t="s">
        <v>467</v>
      </c>
      <c r="AE672" s="494">
        <v>45110</v>
      </c>
      <c r="AF672" s="494">
        <v>45475</v>
      </c>
      <c r="AG672" s="1273"/>
      <c r="AH672" s="283"/>
      <c r="AI672" s="296" t="s">
        <v>1351</v>
      </c>
      <c r="AJ672" s="303" t="s">
        <v>136</v>
      </c>
      <c r="AK672" s="219">
        <v>4</v>
      </c>
      <c r="AL672" s="123" t="s">
        <v>463</v>
      </c>
      <c r="AM672" s="123" t="s">
        <v>460</v>
      </c>
      <c r="AN672" s="138"/>
      <c r="AO672" s="138"/>
      <c r="AP672" s="115"/>
      <c r="AQ672" s="149"/>
      <c r="AR672" s="115"/>
      <c r="AS672" s="115"/>
      <c r="AT672" s="116"/>
    </row>
    <row r="673" spans="1:46" ht="39" customHeight="1" x14ac:dyDescent="0.25">
      <c r="A673" s="1468">
        <v>672</v>
      </c>
      <c r="B673" s="141">
        <v>2</v>
      </c>
      <c r="C673" s="260" t="s">
        <v>311</v>
      </c>
      <c r="D673" s="241"/>
      <c r="E673" s="241"/>
      <c r="F673" s="241"/>
      <c r="G673" s="261" t="s">
        <v>312</v>
      </c>
      <c r="H673" s="262" t="s">
        <v>85</v>
      </c>
      <c r="I673" s="346"/>
      <c r="J673" s="245" t="s">
        <v>556</v>
      </c>
      <c r="K673" s="257"/>
      <c r="L673" s="281" t="s">
        <v>1676</v>
      </c>
      <c r="M673" s="281" t="s">
        <v>1508</v>
      </c>
      <c r="N673" s="366"/>
      <c r="O673" s="1392" t="s">
        <v>3051</v>
      </c>
      <c r="P673" s="367"/>
      <c r="Q673" s="594" t="s">
        <v>87</v>
      </c>
      <c r="R673" s="381" t="s">
        <v>1781</v>
      </c>
      <c r="S673" s="279">
        <v>38115</v>
      </c>
      <c r="T673" s="197"/>
      <c r="U673" s="251" t="s">
        <v>54</v>
      </c>
      <c r="V673" s="245"/>
      <c r="W673" s="250" t="s">
        <v>295</v>
      </c>
      <c r="X673" s="197"/>
      <c r="Y673" s="245"/>
      <c r="Z673" s="246"/>
      <c r="AA673" s="246"/>
      <c r="AB673" s="250" t="s">
        <v>4376</v>
      </c>
      <c r="AC673" s="223" t="s">
        <v>946</v>
      </c>
      <c r="AD673" s="376"/>
      <c r="AE673" s="494">
        <v>45113</v>
      </c>
      <c r="AF673" s="494">
        <v>45478</v>
      </c>
      <c r="AG673" s="241"/>
      <c r="AH673" s="283"/>
      <c r="AI673" s="254" t="s">
        <v>1351</v>
      </c>
      <c r="AJ673" s="303" t="s">
        <v>136</v>
      </c>
      <c r="AK673" s="241">
        <v>4</v>
      </c>
      <c r="AL673" s="123" t="s">
        <v>463</v>
      </c>
      <c r="AM673" s="123" t="s">
        <v>460</v>
      </c>
      <c r="AN673" s="138"/>
      <c r="AO673" s="138"/>
      <c r="AP673" s="115"/>
      <c r="AQ673" s="149"/>
      <c r="AR673" s="115"/>
      <c r="AS673" s="115"/>
      <c r="AT673" s="115"/>
    </row>
    <row r="674" spans="1:46" ht="39" customHeight="1" x14ac:dyDescent="0.25">
      <c r="A674" s="1468">
        <v>673</v>
      </c>
      <c r="B674" s="141">
        <v>2</v>
      </c>
      <c r="C674" s="260" t="s">
        <v>317</v>
      </c>
      <c r="D674" s="241"/>
      <c r="E674" s="241"/>
      <c r="F674" s="241"/>
      <c r="G674" s="261" t="s">
        <v>318</v>
      </c>
      <c r="H674" s="262" t="s">
        <v>87</v>
      </c>
      <c r="I674" s="346"/>
      <c r="J674" s="245" t="s">
        <v>561</v>
      </c>
      <c r="K674" s="257"/>
      <c r="L674" s="281" t="s">
        <v>1676</v>
      </c>
      <c r="M674" s="281" t="s">
        <v>1508</v>
      </c>
      <c r="N674" s="366"/>
      <c r="O674" s="392" t="s">
        <v>3042</v>
      </c>
      <c r="P674" s="402"/>
      <c r="Q674" s="282" t="s">
        <v>87</v>
      </c>
      <c r="R674" s="275" t="s">
        <v>1778</v>
      </c>
      <c r="S674" s="279" t="s">
        <v>4751</v>
      </c>
      <c r="T674" s="197"/>
      <c r="U674" s="251" t="s">
        <v>54</v>
      </c>
      <c r="V674" s="245"/>
      <c r="W674" s="250" t="s">
        <v>295</v>
      </c>
      <c r="X674" s="197"/>
      <c r="Y674" s="245"/>
      <c r="Z674" s="246"/>
      <c r="AA674" s="246"/>
      <c r="AB674" s="296" t="s">
        <v>4363</v>
      </c>
      <c r="AC674" s="223" t="s">
        <v>946</v>
      </c>
      <c r="AD674" s="376"/>
      <c r="AE674" s="494" t="s">
        <v>4354</v>
      </c>
      <c r="AF674" s="494">
        <v>45477</v>
      </c>
      <c r="AG674" s="241"/>
      <c r="AH674" s="283"/>
      <c r="AI674" s="254" t="s">
        <v>1351</v>
      </c>
      <c r="AJ674" s="303" t="s">
        <v>136</v>
      </c>
      <c r="AK674" s="241">
        <v>4</v>
      </c>
      <c r="AL674" s="123" t="s">
        <v>463</v>
      </c>
      <c r="AM674" s="123" t="s">
        <v>460</v>
      </c>
      <c r="AN674" s="138"/>
      <c r="AO674" s="138"/>
      <c r="AP674" s="115"/>
      <c r="AQ674" s="149"/>
      <c r="AR674" s="115"/>
      <c r="AS674" s="115"/>
      <c r="AT674" s="115"/>
    </row>
    <row r="675" spans="1:46" ht="39" customHeight="1" x14ac:dyDescent="0.25">
      <c r="A675" s="1468">
        <v>674</v>
      </c>
      <c r="B675" s="146">
        <v>2</v>
      </c>
      <c r="C675" s="260" t="s">
        <v>319</v>
      </c>
      <c r="D675" s="241"/>
      <c r="E675" s="241"/>
      <c r="F675" s="241"/>
      <c r="G675" s="261" t="s">
        <v>320</v>
      </c>
      <c r="H675" s="262" t="s">
        <v>87</v>
      </c>
      <c r="I675" s="357"/>
      <c r="J675" s="245" t="s">
        <v>561</v>
      </c>
      <c r="K675" s="216"/>
      <c r="L675" s="281" t="s">
        <v>1676</v>
      </c>
      <c r="M675" s="281" t="s">
        <v>1508</v>
      </c>
      <c r="N675" s="366"/>
      <c r="O675" s="392" t="s">
        <v>3014</v>
      </c>
      <c r="P675" s="402"/>
      <c r="Q675" s="594" t="s">
        <v>87</v>
      </c>
      <c r="R675" s="275" t="s">
        <v>1772</v>
      </c>
      <c r="S675" s="279">
        <v>38200</v>
      </c>
      <c r="T675" s="197"/>
      <c r="U675" s="251" t="s">
        <v>54</v>
      </c>
      <c r="V675" s="245"/>
      <c r="W675" s="250" t="s">
        <v>295</v>
      </c>
      <c r="X675" s="197"/>
      <c r="Y675" s="245"/>
      <c r="Z675" s="246"/>
      <c r="AA675" s="246"/>
      <c r="AB675" s="288" t="s">
        <v>4381</v>
      </c>
      <c r="AC675" s="223" t="s">
        <v>946</v>
      </c>
      <c r="AD675" s="376"/>
      <c r="AE675" s="494">
        <v>45112</v>
      </c>
      <c r="AF675" s="494">
        <v>45477</v>
      </c>
      <c r="AG675" s="241"/>
      <c r="AH675" s="283"/>
      <c r="AI675" s="254" t="s">
        <v>1351</v>
      </c>
      <c r="AJ675" s="303" t="s">
        <v>136</v>
      </c>
      <c r="AK675" s="241">
        <v>4</v>
      </c>
      <c r="AL675" s="123" t="s">
        <v>463</v>
      </c>
      <c r="AM675" s="123" t="s">
        <v>460</v>
      </c>
      <c r="AN675" s="110"/>
      <c r="AO675" s="110"/>
      <c r="AP675" s="115"/>
      <c r="AQ675" s="115"/>
      <c r="AR675" s="115"/>
      <c r="AS675" s="115"/>
      <c r="AT675" s="115"/>
    </row>
    <row r="676" spans="1:46" ht="39" customHeight="1" x14ac:dyDescent="0.3">
      <c r="A676" s="1468">
        <v>675</v>
      </c>
      <c r="B676" s="141">
        <v>2</v>
      </c>
      <c r="C676" s="378" t="s">
        <v>321</v>
      </c>
      <c r="D676" s="303"/>
      <c r="E676" s="241"/>
      <c r="F676" s="241"/>
      <c r="G676" s="261" t="s">
        <v>322</v>
      </c>
      <c r="H676" s="262" t="s">
        <v>87</v>
      </c>
      <c r="I676" s="357"/>
      <c r="J676" s="245" t="s">
        <v>561</v>
      </c>
      <c r="K676" s="1278"/>
      <c r="L676" s="394" t="s">
        <v>2341</v>
      </c>
      <c r="M676" s="438" t="s">
        <v>2341</v>
      </c>
      <c r="N676" s="1278"/>
      <c r="O676" s="1273" t="s">
        <v>3480</v>
      </c>
      <c r="P676" s="1278"/>
      <c r="Q676" s="301" t="s">
        <v>87</v>
      </c>
      <c r="R676" s="1272" t="s">
        <v>2211</v>
      </c>
      <c r="S676" s="279"/>
      <c r="T676" s="1278"/>
      <c r="U676" s="251" t="s">
        <v>54</v>
      </c>
      <c r="V676" s="306" t="s">
        <v>3578</v>
      </c>
      <c r="W676" s="250" t="s">
        <v>295</v>
      </c>
      <c r="X676" s="197" t="s">
        <v>475</v>
      </c>
      <c r="Y676" s="1138" t="s">
        <v>3579</v>
      </c>
      <c r="Z676" s="289">
        <v>45216</v>
      </c>
      <c r="AA676" s="1278"/>
      <c r="AB676" s="1292"/>
      <c r="AC676" s="223" t="s">
        <v>946</v>
      </c>
      <c r="AD676" s="1279"/>
      <c r="AE676" s="494"/>
      <c r="AF676" s="494"/>
      <c r="AG676" s="1278"/>
      <c r="AH676" s="1278"/>
      <c r="AI676" s="254" t="s">
        <v>1351</v>
      </c>
      <c r="AJ676" s="303" t="s">
        <v>136</v>
      </c>
      <c r="AK676" s="241">
        <v>4</v>
      </c>
      <c r="AL676" s="123" t="s">
        <v>463</v>
      </c>
      <c r="AM676" s="123" t="s">
        <v>460</v>
      </c>
      <c r="AN676" s="110"/>
      <c r="AO676" s="152"/>
      <c r="AP676" s="115"/>
      <c r="AQ676" s="115"/>
      <c r="AR676" s="115"/>
      <c r="AS676" s="115"/>
      <c r="AT676" s="116"/>
    </row>
    <row r="677" spans="1:46" ht="39" customHeight="1" x14ac:dyDescent="0.3">
      <c r="A677" s="1468">
        <v>676</v>
      </c>
      <c r="B677" s="141">
        <v>1</v>
      </c>
      <c r="C677" s="378" t="s">
        <v>323</v>
      </c>
      <c r="D677" s="303"/>
      <c r="E677" s="241"/>
      <c r="F677" s="241"/>
      <c r="G677" s="261" t="s">
        <v>324</v>
      </c>
      <c r="H677" s="262" t="s">
        <v>87</v>
      </c>
      <c r="I677" s="364"/>
      <c r="J677" s="245" t="s">
        <v>561</v>
      </c>
      <c r="K677" s="595"/>
      <c r="L677" s="281" t="s">
        <v>1676</v>
      </c>
      <c r="M677" s="281" t="s">
        <v>1508</v>
      </c>
      <c r="N677" s="366"/>
      <c r="O677" s="392" t="s">
        <v>3154</v>
      </c>
      <c r="P677" s="402"/>
      <c r="Q677" s="301" t="s">
        <v>87</v>
      </c>
      <c r="R677" s="1199" t="s">
        <v>1807</v>
      </c>
      <c r="S677" s="279" t="s">
        <v>4750</v>
      </c>
      <c r="T677" s="197"/>
      <c r="U677" s="250"/>
      <c r="V677" s="280"/>
      <c r="W677" s="250" t="s">
        <v>3584</v>
      </c>
      <c r="X677" s="1130"/>
      <c r="Y677" s="1130"/>
      <c r="Z677" s="246"/>
      <c r="AA677" s="246"/>
      <c r="AB677" s="296" t="s">
        <v>4382</v>
      </c>
      <c r="AC677" s="223" t="s">
        <v>946</v>
      </c>
      <c r="AD677" s="376"/>
      <c r="AE677" s="494" t="s">
        <v>4345</v>
      </c>
      <c r="AF677" s="494">
        <v>45478</v>
      </c>
      <c r="AG677" s="241"/>
      <c r="AH677" s="283"/>
      <c r="AI677" s="254" t="s">
        <v>1351</v>
      </c>
      <c r="AJ677" s="303" t="s">
        <v>136</v>
      </c>
      <c r="AK677" s="241">
        <v>4</v>
      </c>
      <c r="AL677" s="123" t="s">
        <v>463</v>
      </c>
      <c r="AM677" s="123" t="s">
        <v>460</v>
      </c>
      <c r="AN677" s="110"/>
      <c r="AO677" s="110"/>
      <c r="AP677" s="115"/>
      <c r="AQ677" s="115"/>
      <c r="AR677" s="115"/>
      <c r="AS677" s="115"/>
      <c r="AT677" s="115"/>
    </row>
    <row r="678" spans="1:46" ht="39" customHeight="1" x14ac:dyDescent="0.25">
      <c r="A678" s="1468">
        <v>677</v>
      </c>
      <c r="B678" s="141">
        <v>2</v>
      </c>
      <c r="C678" s="260" t="s">
        <v>325</v>
      </c>
      <c r="D678" s="241"/>
      <c r="E678" s="241"/>
      <c r="F678" s="241"/>
      <c r="G678" s="261" t="s">
        <v>324</v>
      </c>
      <c r="H678" s="262" t="s">
        <v>87</v>
      </c>
      <c r="I678" s="357"/>
      <c r="J678" s="245" t="s">
        <v>561</v>
      </c>
      <c r="K678" s="216"/>
      <c r="L678" s="281" t="s">
        <v>1676</v>
      </c>
      <c r="M678" s="281" t="s">
        <v>1508</v>
      </c>
      <c r="N678" s="366"/>
      <c r="O678" s="392" t="s">
        <v>3101</v>
      </c>
      <c r="P678" s="402"/>
      <c r="Q678" s="301" t="s">
        <v>87</v>
      </c>
      <c r="R678" s="1268" t="s">
        <v>1791</v>
      </c>
      <c r="S678" s="279">
        <v>37923</v>
      </c>
      <c r="T678" s="197"/>
      <c r="U678" s="251" t="s">
        <v>54</v>
      </c>
      <c r="V678" s="245" t="s">
        <v>6163</v>
      </c>
      <c r="W678" s="250" t="s">
        <v>4608</v>
      </c>
      <c r="X678" s="197" t="s">
        <v>475</v>
      </c>
      <c r="Y678" s="981" t="s">
        <v>6174</v>
      </c>
      <c r="Z678" s="246">
        <v>45292</v>
      </c>
      <c r="AA678" s="246"/>
      <c r="AB678" s="288" t="s">
        <v>4564</v>
      </c>
      <c r="AC678" s="223" t="s">
        <v>946</v>
      </c>
      <c r="AD678" s="376"/>
      <c r="AE678" s="494">
        <v>45112</v>
      </c>
      <c r="AF678" s="494">
        <v>45477</v>
      </c>
      <c r="AG678" s="241"/>
      <c r="AH678" s="283"/>
      <c r="AI678" s="254" t="s">
        <v>1351</v>
      </c>
      <c r="AJ678" s="303" t="s">
        <v>136</v>
      </c>
      <c r="AK678" s="241">
        <v>4</v>
      </c>
      <c r="AL678" s="123" t="s">
        <v>463</v>
      </c>
      <c r="AM678" s="123" t="s">
        <v>460</v>
      </c>
      <c r="AN678" s="110"/>
      <c r="AO678" s="110"/>
      <c r="AP678" s="115"/>
      <c r="AQ678" s="115"/>
      <c r="AR678" s="115"/>
      <c r="AS678" s="115"/>
      <c r="AT678" s="115"/>
    </row>
    <row r="679" spans="1:46" ht="39" customHeight="1" x14ac:dyDescent="0.25">
      <c r="A679" s="1468">
        <v>678</v>
      </c>
      <c r="B679" s="117"/>
      <c r="C679" s="455"/>
      <c r="D679" s="331"/>
      <c r="E679" s="331"/>
      <c r="F679" s="331"/>
      <c r="G679" s="432"/>
      <c r="H679" s="456"/>
      <c r="I679" s="456"/>
      <c r="J679" s="329"/>
      <c r="K679" s="432"/>
      <c r="L679" s="329"/>
      <c r="M679" s="329"/>
      <c r="N679" s="329"/>
      <c r="O679" s="330"/>
      <c r="P679" s="273" t="s">
        <v>473</v>
      </c>
      <c r="Q679" s="331"/>
      <c r="R679" s="455"/>
      <c r="S679" s="279"/>
      <c r="T679" s="334"/>
      <c r="U679" s="250"/>
      <c r="V679" s="334"/>
      <c r="W679" s="334"/>
      <c r="X679" s="334"/>
      <c r="Y679" s="334"/>
      <c r="Z679" s="457"/>
      <c r="AA679" s="458"/>
      <c r="AB679" s="459"/>
      <c r="AC679" s="460"/>
      <c r="AD679" s="459"/>
      <c r="AE679" s="494"/>
      <c r="AF679" s="494"/>
      <c r="AG679" s="331"/>
      <c r="AH679" s="462"/>
      <c r="AI679" s="463"/>
      <c r="AJ679" s="464"/>
      <c r="AK679" s="331"/>
      <c r="AL679" s="163"/>
      <c r="AM679" s="163"/>
      <c r="AN679" s="113"/>
      <c r="AO679" s="163"/>
      <c r="AP679" s="115"/>
      <c r="AQ679" s="115"/>
      <c r="AR679" s="115"/>
      <c r="AS679" s="115"/>
      <c r="AT679" s="116"/>
    </row>
    <row r="680" spans="1:46" ht="39" customHeight="1" x14ac:dyDescent="0.25">
      <c r="A680" s="1468">
        <v>679</v>
      </c>
      <c r="B680" s="141" t="s">
        <v>276</v>
      </c>
      <c r="C680" s="240" t="s">
        <v>277</v>
      </c>
      <c r="D680" s="242"/>
      <c r="E680" s="242" t="s">
        <v>47</v>
      </c>
      <c r="F680" s="242"/>
      <c r="G680" s="243" t="s">
        <v>91</v>
      </c>
      <c r="H680" s="244" t="s">
        <v>78</v>
      </c>
      <c r="I680" s="340"/>
      <c r="J680" s="245">
        <v>300</v>
      </c>
      <c r="K680" s="197" t="s">
        <v>50</v>
      </c>
      <c r="L680" s="281"/>
      <c r="M680" s="281"/>
      <c r="N680" s="245"/>
      <c r="O680" s="950" t="s">
        <v>1904</v>
      </c>
      <c r="P680" s="402" t="s">
        <v>1828</v>
      </c>
      <c r="Q680" s="326" t="s">
        <v>78</v>
      </c>
      <c r="R680" s="990" t="s">
        <v>5871</v>
      </c>
      <c r="S680" s="279">
        <v>29803</v>
      </c>
      <c r="T680" s="197"/>
      <c r="U680" s="250"/>
      <c r="V680" s="197"/>
      <c r="W680" s="250" t="s">
        <v>3478</v>
      </c>
      <c r="X680" s="197"/>
      <c r="Y680" s="197"/>
      <c r="Z680" s="246"/>
      <c r="AA680" s="252"/>
      <c r="AB680" s="282"/>
      <c r="AC680" s="223"/>
      <c r="AD680" s="282"/>
      <c r="AE680" s="494"/>
      <c r="AF680" s="494"/>
      <c r="AG680" s="241"/>
      <c r="AH680" s="283"/>
      <c r="AI680" s="254"/>
      <c r="AJ680" s="255" t="s">
        <v>62</v>
      </c>
      <c r="AK680" s="242">
        <v>1</v>
      </c>
      <c r="AL680" s="123" t="s">
        <v>474</v>
      </c>
      <c r="AM680" s="123" t="s">
        <v>460</v>
      </c>
      <c r="AN680" s="124"/>
      <c r="AO680" s="124"/>
      <c r="AP680" s="115"/>
      <c r="AQ680" s="115"/>
      <c r="AR680" s="115"/>
      <c r="AS680" s="115"/>
      <c r="AT680" s="115"/>
    </row>
    <row r="681" spans="1:46" ht="39" customHeight="1" x14ac:dyDescent="0.25">
      <c r="A681" s="1468">
        <v>680</v>
      </c>
      <c r="B681" s="141">
        <v>12</v>
      </c>
      <c r="C681" s="240" t="s">
        <v>279</v>
      </c>
      <c r="D681" s="242"/>
      <c r="E681" s="242" t="s">
        <v>47</v>
      </c>
      <c r="F681" s="242"/>
      <c r="G681" s="243" t="s">
        <v>280</v>
      </c>
      <c r="H681" s="244" t="s">
        <v>83</v>
      </c>
      <c r="I681" s="340"/>
      <c r="J681" s="245">
        <v>302</v>
      </c>
      <c r="K681" s="197" t="s">
        <v>50</v>
      </c>
      <c r="L681" s="281"/>
      <c r="M681" s="281"/>
      <c r="N681" s="281"/>
      <c r="O681" s="216" t="s">
        <v>1350</v>
      </c>
      <c r="P681" s="247"/>
      <c r="Q681" s="338" t="s">
        <v>119</v>
      </c>
      <c r="R681" s="990" t="s">
        <v>1029</v>
      </c>
      <c r="S681" s="279">
        <v>36377</v>
      </c>
      <c r="T681" s="197"/>
      <c r="U681" s="250"/>
      <c r="V681" s="197"/>
      <c r="W681" s="250" t="s">
        <v>3478</v>
      </c>
      <c r="X681" s="197"/>
      <c r="Y681" s="197"/>
      <c r="Z681" s="246"/>
      <c r="AA681" s="219"/>
      <c r="AB681" s="281"/>
      <c r="AC681" s="223"/>
      <c r="AD681" s="281"/>
      <c r="AE681" s="494"/>
      <c r="AF681" s="494"/>
      <c r="AG681" s="241"/>
      <c r="AH681" s="283"/>
      <c r="AI681" s="296"/>
      <c r="AJ681" s="255" t="s">
        <v>62</v>
      </c>
      <c r="AK681" s="242">
        <v>1</v>
      </c>
      <c r="AL681" s="123" t="s">
        <v>474</v>
      </c>
      <c r="AM681" s="123" t="s">
        <v>460</v>
      </c>
      <c r="AN681" s="124"/>
      <c r="AO681" s="124"/>
      <c r="AP681" s="115"/>
      <c r="AQ681" s="115"/>
      <c r="AR681" s="115"/>
      <c r="AS681" s="115"/>
      <c r="AT681" s="115"/>
    </row>
    <row r="682" spans="1:46" ht="39" customHeight="1" x14ac:dyDescent="0.25">
      <c r="A682" s="1468">
        <v>681</v>
      </c>
      <c r="B682" s="142">
        <v>9</v>
      </c>
      <c r="C682" s="311" t="s">
        <v>281</v>
      </c>
      <c r="D682" s="241"/>
      <c r="E682" s="312" t="s">
        <v>47</v>
      </c>
      <c r="F682" s="241"/>
      <c r="G682" s="313" t="s">
        <v>282</v>
      </c>
      <c r="H682" s="314" t="s">
        <v>283</v>
      </c>
      <c r="I682" s="350"/>
      <c r="J682" s="281">
        <v>410</v>
      </c>
      <c r="K682" s="216"/>
      <c r="L682" s="281" t="s">
        <v>5518</v>
      </c>
      <c r="M682" s="281" t="s">
        <v>5518</v>
      </c>
      <c r="N682" s="245"/>
      <c r="O682" s="216" t="s">
        <v>5418</v>
      </c>
      <c r="P682" s="287"/>
      <c r="Q682" s="353" t="s">
        <v>153</v>
      </c>
      <c r="R682" s="1140" t="s">
        <v>5417</v>
      </c>
      <c r="S682" s="279">
        <v>29867</v>
      </c>
      <c r="T682" s="250"/>
      <c r="U682" s="250"/>
      <c r="V682" s="197"/>
      <c r="W682" s="250" t="s">
        <v>3478</v>
      </c>
      <c r="X682" s="268"/>
      <c r="Y682" s="197"/>
      <c r="Z682" s="246"/>
      <c r="AA682" s="252"/>
      <c r="AB682" s="281"/>
      <c r="AC682" s="223"/>
      <c r="AD682" s="281"/>
      <c r="AE682" s="494"/>
      <c r="AF682" s="494"/>
      <c r="AG682" s="241"/>
      <c r="AH682" s="283"/>
      <c r="AI682" s="422"/>
      <c r="AJ682" s="317" t="s">
        <v>47</v>
      </c>
      <c r="AK682" s="312">
        <v>2</v>
      </c>
      <c r="AL682" s="123" t="s">
        <v>474</v>
      </c>
      <c r="AM682" s="123" t="s">
        <v>460</v>
      </c>
      <c r="AN682" s="133"/>
      <c r="AO682" s="133"/>
      <c r="AP682" s="115"/>
      <c r="AQ682" s="115"/>
      <c r="AR682" s="115"/>
      <c r="AS682" s="115"/>
      <c r="AT682" s="115"/>
    </row>
    <row r="683" spans="1:46" ht="39" customHeight="1" x14ac:dyDescent="0.25">
      <c r="A683" s="1468">
        <v>682</v>
      </c>
      <c r="B683" s="142">
        <v>9</v>
      </c>
      <c r="C683" s="311" t="s">
        <v>284</v>
      </c>
      <c r="D683" s="241"/>
      <c r="E683" s="312" t="s">
        <v>47</v>
      </c>
      <c r="F683" s="241"/>
      <c r="G683" s="313" t="s">
        <v>285</v>
      </c>
      <c r="H683" s="314" t="s">
        <v>283</v>
      </c>
      <c r="I683" s="350"/>
      <c r="J683" s="281">
        <v>410</v>
      </c>
      <c r="K683" s="216"/>
      <c r="L683" s="245"/>
      <c r="M683" s="245"/>
      <c r="N683" s="245"/>
      <c r="O683" s="392" t="s">
        <v>2339</v>
      </c>
      <c r="P683" s="402" t="s">
        <v>1828</v>
      </c>
      <c r="Q683" s="353" t="s">
        <v>2059</v>
      </c>
      <c r="R683" s="1140" t="s">
        <v>2338</v>
      </c>
      <c r="S683" s="279">
        <v>29885</v>
      </c>
      <c r="T683" s="250"/>
      <c r="U683" s="251" t="s">
        <v>54</v>
      </c>
      <c r="V683" s="197" t="s">
        <v>5955</v>
      </c>
      <c r="W683" s="197" t="s">
        <v>70</v>
      </c>
      <c r="X683" s="197" t="s">
        <v>71</v>
      </c>
      <c r="Y683" s="949" t="s">
        <v>5993</v>
      </c>
      <c r="Z683" s="612">
        <v>45312</v>
      </c>
      <c r="AA683" s="246"/>
      <c r="AB683" s="241"/>
      <c r="AC683" s="223"/>
      <c r="AD683" s="241"/>
      <c r="AE683" s="494"/>
      <c r="AF683" s="494"/>
      <c r="AG683" s="241"/>
      <c r="AH683" s="253"/>
      <c r="AI683" s="254"/>
      <c r="AJ683" s="317" t="s">
        <v>47</v>
      </c>
      <c r="AK683" s="312">
        <v>2</v>
      </c>
      <c r="AL683" s="123" t="s">
        <v>474</v>
      </c>
      <c r="AM683" s="123" t="s">
        <v>460</v>
      </c>
      <c r="AN683" s="133"/>
      <c r="AO683" s="133"/>
      <c r="AP683" s="115"/>
      <c r="AQ683" s="115"/>
      <c r="AR683" s="115"/>
      <c r="AS683" s="115"/>
      <c r="AT683" s="115"/>
    </row>
    <row r="684" spans="1:46" ht="39" customHeight="1" x14ac:dyDescent="0.25">
      <c r="A684" s="1468">
        <v>683</v>
      </c>
      <c r="B684" s="142">
        <v>6</v>
      </c>
      <c r="C684" s="311" t="s">
        <v>286</v>
      </c>
      <c r="D684" s="241"/>
      <c r="E684" s="312" t="s">
        <v>47</v>
      </c>
      <c r="F684" s="241"/>
      <c r="G684" s="313" t="s">
        <v>287</v>
      </c>
      <c r="H684" s="314" t="s">
        <v>153</v>
      </c>
      <c r="I684" s="350"/>
      <c r="J684" s="256">
        <v>400</v>
      </c>
      <c r="K684" s="265"/>
      <c r="L684" s="281"/>
      <c r="M684" s="281"/>
      <c r="N684" s="366"/>
      <c r="O684" s="392"/>
      <c r="P684" s="402"/>
      <c r="Q684" s="380"/>
      <c r="R684" s="683" t="s">
        <v>66</v>
      </c>
      <c r="S684" s="279"/>
      <c r="T684" s="197"/>
      <c r="U684" s="250"/>
      <c r="V684" s="245"/>
      <c r="W684" s="250"/>
      <c r="X684" s="197"/>
      <c r="Y684" s="197"/>
      <c r="Z684" s="246"/>
      <c r="AA684" s="252"/>
      <c r="AB684" s="361"/>
      <c r="AC684" s="223"/>
      <c r="AD684" s="376"/>
      <c r="AE684" s="494"/>
      <c r="AF684" s="494"/>
      <c r="AG684" s="241"/>
      <c r="AH684" s="283"/>
      <c r="AI684" s="254"/>
      <c r="AJ684" s="303"/>
      <c r="AK684" s="312">
        <v>2</v>
      </c>
      <c r="AL684" s="123" t="s">
        <v>474</v>
      </c>
      <c r="AM684" s="123" t="s">
        <v>460</v>
      </c>
      <c r="AN684" s="133"/>
      <c r="AO684" s="133"/>
      <c r="AP684" s="115"/>
      <c r="AQ684" s="115"/>
      <c r="AR684" s="115"/>
      <c r="AS684" s="115"/>
      <c r="AT684" s="115"/>
    </row>
    <row r="685" spans="1:46" ht="39" customHeight="1" x14ac:dyDescent="0.25">
      <c r="A685" s="1468">
        <v>684</v>
      </c>
      <c r="B685" s="141">
        <v>5</v>
      </c>
      <c r="C685" s="290" t="s">
        <v>288</v>
      </c>
      <c r="D685" s="291"/>
      <c r="E685" s="291" t="s">
        <v>47</v>
      </c>
      <c r="F685" s="291"/>
      <c r="G685" s="292" t="s">
        <v>289</v>
      </c>
      <c r="H685" s="293" t="s">
        <v>132</v>
      </c>
      <c r="I685" s="344">
        <v>144</v>
      </c>
      <c r="J685" s="256">
        <v>403</v>
      </c>
      <c r="K685" s="288" t="s">
        <v>158</v>
      </c>
      <c r="L685" s="288" t="s">
        <v>3678</v>
      </c>
      <c r="M685" s="288" t="s">
        <v>3678</v>
      </c>
      <c r="N685" s="281" t="s">
        <v>4217</v>
      </c>
      <c r="O685" s="1273" t="s">
        <v>3852</v>
      </c>
      <c r="P685" s="372"/>
      <c r="Q685" s="301" t="s">
        <v>293</v>
      </c>
      <c r="R685" s="1003" t="s">
        <v>3851</v>
      </c>
      <c r="S685" s="279">
        <v>37825</v>
      </c>
      <c r="T685" s="197"/>
      <c r="U685" s="251" t="s">
        <v>54</v>
      </c>
      <c r="V685" s="197" t="s">
        <v>4214</v>
      </c>
      <c r="W685" s="250" t="s">
        <v>4215</v>
      </c>
      <c r="X685" s="250" t="s">
        <v>5135</v>
      </c>
      <c r="Y685" s="949" t="s">
        <v>4216</v>
      </c>
      <c r="Z685" s="289">
        <v>45234</v>
      </c>
      <c r="AA685" s="197"/>
      <c r="AB685" s="288" t="s">
        <v>4323</v>
      </c>
      <c r="AC685" s="223" t="s">
        <v>946</v>
      </c>
      <c r="AD685" s="299" t="s">
        <v>467</v>
      </c>
      <c r="AE685" s="494">
        <v>45104</v>
      </c>
      <c r="AF685" s="494">
        <v>45469</v>
      </c>
      <c r="AG685" s="241"/>
      <c r="AH685" s="283"/>
      <c r="AI685" s="296" t="s">
        <v>1351</v>
      </c>
      <c r="AJ685" s="303" t="s">
        <v>136</v>
      </c>
      <c r="AK685" s="348">
        <v>3</v>
      </c>
      <c r="AL685" s="123" t="s">
        <v>474</v>
      </c>
      <c r="AM685" s="123" t="s">
        <v>460</v>
      </c>
      <c r="AN685" s="130"/>
      <c r="AO685" s="130"/>
      <c r="AP685" s="115"/>
      <c r="AQ685" s="115"/>
      <c r="AR685" s="115"/>
      <c r="AS685" s="115"/>
      <c r="AT685" s="115"/>
    </row>
    <row r="686" spans="1:46" ht="39" customHeight="1" x14ac:dyDescent="0.25">
      <c r="A686" s="1468">
        <v>685</v>
      </c>
      <c r="B686" s="141">
        <v>3</v>
      </c>
      <c r="C686" s="356" t="s">
        <v>290</v>
      </c>
      <c r="D686" s="241" t="s">
        <v>134</v>
      </c>
      <c r="E686" s="241"/>
      <c r="F686" s="241"/>
      <c r="G686" s="261" t="s">
        <v>291</v>
      </c>
      <c r="H686" s="262" t="s">
        <v>85</v>
      </c>
      <c r="I686" s="364"/>
      <c r="J686" s="245" t="s">
        <v>556</v>
      </c>
      <c r="K686" s="288" t="s">
        <v>158</v>
      </c>
      <c r="L686" s="288" t="s">
        <v>3678</v>
      </c>
      <c r="M686" s="288" t="s">
        <v>3678</v>
      </c>
      <c r="N686" s="281" t="s">
        <v>4217</v>
      </c>
      <c r="O686" s="1273" t="s">
        <v>3751</v>
      </c>
      <c r="P686" s="1278"/>
      <c r="Q686" s="380" t="s">
        <v>87</v>
      </c>
      <c r="R686" s="1003" t="s">
        <v>3750</v>
      </c>
      <c r="S686" s="279">
        <v>37637</v>
      </c>
      <c r="T686" s="1278"/>
      <c r="U686" s="251" t="s">
        <v>54</v>
      </c>
      <c r="V686" s="245" t="s">
        <v>5800</v>
      </c>
      <c r="W686" s="250" t="s">
        <v>3478</v>
      </c>
      <c r="X686" s="197" t="s">
        <v>475</v>
      </c>
      <c r="Y686" s="949" t="s">
        <v>5799</v>
      </c>
      <c r="Z686" s="246">
        <v>45286</v>
      </c>
      <c r="AA686" s="246"/>
      <c r="AB686" s="288" t="s">
        <v>4243</v>
      </c>
      <c r="AC686" s="223" t="s">
        <v>946</v>
      </c>
      <c r="AD686" s="299" t="s">
        <v>467</v>
      </c>
      <c r="AE686" s="494">
        <v>45113</v>
      </c>
      <c r="AF686" s="494">
        <v>45478</v>
      </c>
      <c r="AG686" s="1273"/>
      <c r="AH686" s="283"/>
      <c r="AI686" s="296" t="s">
        <v>1351</v>
      </c>
      <c r="AJ686" s="303" t="s">
        <v>136</v>
      </c>
      <c r="AK686" s="241">
        <v>4</v>
      </c>
      <c r="AL686" s="123" t="s">
        <v>474</v>
      </c>
      <c r="AM686" s="123" t="s">
        <v>460</v>
      </c>
      <c r="AN686" s="110" t="s">
        <v>4184</v>
      </c>
      <c r="AO686" s="110"/>
      <c r="AP686" s="115"/>
      <c r="AQ686" s="115"/>
      <c r="AR686" s="115"/>
      <c r="AS686" s="115"/>
      <c r="AT686" s="115"/>
    </row>
    <row r="687" spans="1:46" ht="39" customHeight="1" x14ac:dyDescent="0.25">
      <c r="A687" s="1468">
        <v>686</v>
      </c>
      <c r="B687" s="141">
        <v>3</v>
      </c>
      <c r="C687" s="358" t="s">
        <v>297</v>
      </c>
      <c r="D687" s="241" t="s">
        <v>134</v>
      </c>
      <c r="E687" s="241"/>
      <c r="F687" s="241"/>
      <c r="G687" s="261" t="s">
        <v>298</v>
      </c>
      <c r="H687" s="262" t="s">
        <v>85</v>
      </c>
      <c r="I687" s="357"/>
      <c r="J687" s="245" t="s">
        <v>556</v>
      </c>
      <c r="K687" s="288" t="s">
        <v>158</v>
      </c>
      <c r="L687" s="301" t="s">
        <v>3678</v>
      </c>
      <c r="M687" s="301" t="s">
        <v>3678</v>
      </c>
      <c r="N687" s="281" t="s">
        <v>4217</v>
      </c>
      <c r="O687" s="216" t="s">
        <v>3882</v>
      </c>
      <c r="P687" s="372"/>
      <c r="Q687" s="380" t="s">
        <v>87</v>
      </c>
      <c r="R687" s="1201" t="s">
        <v>3881</v>
      </c>
      <c r="S687" s="279">
        <v>37867</v>
      </c>
      <c r="T687" s="197"/>
      <c r="U687" s="251" t="s">
        <v>54</v>
      </c>
      <c r="V687" s="245" t="s">
        <v>5800</v>
      </c>
      <c r="W687" s="250" t="s">
        <v>3478</v>
      </c>
      <c r="X687" s="197" t="s">
        <v>475</v>
      </c>
      <c r="Y687" s="949" t="s">
        <v>5799</v>
      </c>
      <c r="Z687" s="246">
        <v>45286</v>
      </c>
      <c r="AA687" s="197"/>
      <c r="AB687" s="288" t="s">
        <v>4240</v>
      </c>
      <c r="AC687" s="223" t="s">
        <v>946</v>
      </c>
      <c r="AD687" s="299" t="s">
        <v>467</v>
      </c>
      <c r="AE687" s="494">
        <v>45106</v>
      </c>
      <c r="AF687" s="494">
        <v>45471</v>
      </c>
      <c r="AG687" s="241"/>
      <c r="AH687" s="283"/>
      <c r="AI687" s="296" t="s">
        <v>1351</v>
      </c>
      <c r="AJ687" s="303" t="s">
        <v>136</v>
      </c>
      <c r="AK687" s="219">
        <v>4</v>
      </c>
      <c r="AL687" s="123" t="s">
        <v>474</v>
      </c>
      <c r="AM687" s="123" t="s">
        <v>460</v>
      </c>
      <c r="AN687" s="110"/>
      <c r="AO687" s="110"/>
      <c r="AP687" s="115"/>
      <c r="AQ687" s="115"/>
      <c r="AR687" s="115"/>
      <c r="AS687" s="115"/>
      <c r="AT687" s="116"/>
    </row>
    <row r="688" spans="1:46" ht="39" customHeight="1" x14ac:dyDescent="0.25">
      <c r="A688" s="1468">
        <v>687</v>
      </c>
      <c r="B688" s="141">
        <v>2</v>
      </c>
      <c r="C688" s="260" t="s">
        <v>299</v>
      </c>
      <c r="D688" s="241"/>
      <c r="E688" s="241"/>
      <c r="F688" s="241"/>
      <c r="G688" s="261" t="s">
        <v>300</v>
      </c>
      <c r="H688" s="262" t="s">
        <v>87</v>
      </c>
      <c r="I688" s="357"/>
      <c r="J688" s="245" t="s">
        <v>561</v>
      </c>
      <c r="K688" s="257"/>
      <c r="L688" s="281" t="s">
        <v>1676</v>
      </c>
      <c r="M688" s="281" t="s">
        <v>1508</v>
      </c>
      <c r="N688" s="366"/>
      <c r="O688" s="392" t="s">
        <v>3044</v>
      </c>
      <c r="P688" s="402"/>
      <c r="Q688" s="487" t="s">
        <v>87</v>
      </c>
      <c r="R688" s="1211" t="s">
        <v>1779</v>
      </c>
      <c r="S688" s="279">
        <v>37686</v>
      </c>
      <c r="T688" s="197"/>
      <c r="U688" s="251" t="s">
        <v>54</v>
      </c>
      <c r="V688" s="245" t="s">
        <v>5800</v>
      </c>
      <c r="W688" s="250" t="s">
        <v>3478</v>
      </c>
      <c r="X688" s="197" t="s">
        <v>475</v>
      </c>
      <c r="Y688" s="949" t="s">
        <v>5799</v>
      </c>
      <c r="Z688" s="246">
        <v>45286</v>
      </c>
      <c r="AA688" s="246"/>
      <c r="AB688" s="288" t="s">
        <v>4383</v>
      </c>
      <c r="AC688" s="223" t="s">
        <v>946</v>
      </c>
      <c r="AD688" s="376"/>
      <c r="AE688" s="494">
        <v>45112</v>
      </c>
      <c r="AF688" s="494">
        <v>45477</v>
      </c>
      <c r="AG688" s="241"/>
      <c r="AH688" s="283"/>
      <c r="AI688" s="254" t="s">
        <v>1351</v>
      </c>
      <c r="AJ688" s="303" t="s">
        <v>136</v>
      </c>
      <c r="AK688" s="241">
        <v>4</v>
      </c>
      <c r="AL688" s="123" t="s">
        <v>474</v>
      </c>
      <c r="AM688" s="123" t="s">
        <v>460</v>
      </c>
      <c r="AN688" s="110"/>
      <c r="AO688" s="110"/>
      <c r="AP688" s="115"/>
      <c r="AQ688" s="115"/>
      <c r="AR688" s="115"/>
      <c r="AS688" s="115"/>
      <c r="AT688" s="115"/>
    </row>
    <row r="689" spans="1:46" ht="39" customHeight="1" x14ac:dyDescent="0.25">
      <c r="A689" s="1468">
        <v>688</v>
      </c>
      <c r="B689" s="141">
        <v>2</v>
      </c>
      <c r="C689" s="260" t="s">
        <v>86</v>
      </c>
      <c r="D689" s="241"/>
      <c r="E689" s="241"/>
      <c r="F689" s="241"/>
      <c r="G689" s="261" t="s">
        <v>303</v>
      </c>
      <c r="H689" s="262" t="s">
        <v>87</v>
      </c>
      <c r="I689" s="357"/>
      <c r="J689" s="245" t="s">
        <v>561</v>
      </c>
      <c r="K689" s="216"/>
      <c r="L689" s="299" t="s">
        <v>1508</v>
      </c>
      <c r="M689" s="299" t="s">
        <v>1508</v>
      </c>
      <c r="N689" s="245"/>
      <c r="O689" s="216" t="s">
        <v>4566</v>
      </c>
      <c r="P689" s="627"/>
      <c r="Q689" s="282" t="s">
        <v>87</v>
      </c>
      <c r="R689" s="1210" t="s">
        <v>3246</v>
      </c>
      <c r="S689" s="279">
        <v>37996</v>
      </c>
      <c r="T689" s="289"/>
      <c r="U689" s="251" t="s">
        <v>54</v>
      </c>
      <c r="V689" s="245" t="s">
        <v>5800</v>
      </c>
      <c r="W689" s="250" t="s">
        <v>3478</v>
      </c>
      <c r="X689" s="197" t="s">
        <v>475</v>
      </c>
      <c r="Y689" s="949" t="s">
        <v>5799</v>
      </c>
      <c r="Z689" s="246">
        <v>45286</v>
      </c>
      <c r="AA689" s="281"/>
      <c r="AB689" s="197" t="s">
        <v>4384</v>
      </c>
      <c r="AC689" s="223" t="s">
        <v>946</v>
      </c>
      <c r="AD689" s="245"/>
      <c r="AE689" s="494">
        <v>45112</v>
      </c>
      <c r="AF689" s="494">
        <v>45477</v>
      </c>
      <c r="AG689" s="241"/>
      <c r="AH689" s="253"/>
      <c r="AI689" s="254" t="s">
        <v>1351</v>
      </c>
      <c r="AJ689" s="303" t="s">
        <v>136</v>
      </c>
      <c r="AK689" s="241">
        <v>4</v>
      </c>
      <c r="AL689" s="123" t="s">
        <v>474</v>
      </c>
      <c r="AM689" s="123" t="s">
        <v>460</v>
      </c>
      <c r="AN689" s="179"/>
      <c r="AO689" s="110"/>
      <c r="AP689" s="115"/>
      <c r="AQ689" s="115"/>
      <c r="AR689" s="115"/>
      <c r="AS689" s="115"/>
      <c r="AT689" s="115"/>
    </row>
    <row r="690" spans="1:46" ht="39" customHeight="1" x14ac:dyDescent="0.25">
      <c r="A690" s="1468">
        <v>689</v>
      </c>
      <c r="B690" s="117"/>
      <c r="C690" s="455"/>
      <c r="D690" s="331"/>
      <c r="E690" s="331"/>
      <c r="F690" s="331"/>
      <c r="G690" s="432"/>
      <c r="H690" s="456"/>
      <c r="I690" s="456"/>
      <c r="J690" s="329"/>
      <c r="K690" s="432"/>
      <c r="L690" s="329"/>
      <c r="M690" s="329"/>
      <c r="N690" s="329"/>
      <c r="O690" s="330"/>
      <c r="P690" s="273" t="s">
        <v>304</v>
      </c>
      <c r="Q690" s="331"/>
      <c r="R690" s="455"/>
      <c r="S690" s="279"/>
      <c r="T690" s="334"/>
      <c r="U690" s="414"/>
      <c r="V690" s="334"/>
      <c r="W690" s="334"/>
      <c r="X690" s="334"/>
      <c r="Y690" s="334"/>
      <c r="Z690" s="457"/>
      <c r="AA690" s="458"/>
      <c r="AB690" s="459"/>
      <c r="AC690" s="460"/>
      <c r="AD690" s="459"/>
      <c r="AE690" s="494"/>
      <c r="AF690" s="494"/>
      <c r="AG690" s="331"/>
      <c r="AH690" s="462"/>
      <c r="AI690" s="463"/>
      <c r="AJ690" s="464"/>
      <c r="AK690" s="331"/>
      <c r="AL690" s="163"/>
      <c r="AM690" s="163"/>
      <c r="AN690" s="113"/>
      <c r="AO690" s="163"/>
      <c r="AP690" s="115"/>
      <c r="AQ690" s="115"/>
      <c r="AR690" s="115"/>
      <c r="AS690" s="115"/>
      <c r="AT690" s="116"/>
    </row>
    <row r="691" spans="1:46" ht="39" customHeight="1" x14ac:dyDescent="0.25">
      <c r="A691" s="1468">
        <v>690</v>
      </c>
      <c r="B691" s="154">
        <v>10</v>
      </c>
      <c r="C691" s="423" t="s">
        <v>305</v>
      </c>
      <c r="D691" s="424"/>
      <c r="E691" s="242" t="s">
        <v>47</v>
      </c>
      <c r="F691" s="424"/>
      <c r="G691" s="425" t="s">
        <v>91</v>
      </c>
      <c r="H691" s="244" t="s">
        <v>83</v>
      </c>
      <c r="I691" s="426"/>
      <c r="J691" s="245">
        <v>302</v>
      </c>
      <c r="K691" s="216" t="s">
        <v>50</v>
      </c>
      <c r="L691" s="245" t="s">
        <v>1043</v>
      </c>
      <c r="M691" s="245" t="s">
        <v>1043</v>
      </c>
      <c r="N691" s="256"/>
      <c r="O691" s="216" t="s">
        <v>1044</v>
      </c>
      <c r="P691" s="247"/>
      <c r="Q691" s="338" t="s">
        <v>83</v>
      </c>
      <c r="R691" s="259" t="s">
        <v>1045</v>
      </c>
      <c r="S691" s="279">
        <v>35873</v>
      </c>
      <c r="T691" s="197"/>
      <c r="U691" s="250"/>
      <c r="V691" s="197"/>
      <c r="W691" s="250" t="s">
        <v>3478</v>
      </c>
      <c r="X691" s="197"/>
      <c r="Y691" s="197"/>
      <c r="Z691" s="246"/>
      <c r="AA691" s="246"/>
      <c r="AB691" s="245"/>
      <c r="AC691" s="223" t="s">
        <v>946</v>
      </c>
      <c r="AD691" s="245"/>
      <c r="AE691" s="494">
        <v>43069</v>
      </c>
      <c r="AF691" s="494">
        <v>45785</v>
      </c>
      <c r="AG691" s="241" t="s">
        <v>61</v>
      </c>
      <c r="AH691" s="253"/>
      <c r="AI691" s="296"/>
      <c r="AJ691" s="255" t="s">
        <v>62</v>
      </c>
      <c r="AK691" s="242">
        <v>1</v>
      </c>
      <c r="AL691" s="123" t="s">
        <v>474</v>
      </c>
      <c r="AM691" s="123" t="s">
        <v>460</v>
      </c>
      <c r="AN691" s="1387"/>
      <c r="AO691" s="155"/>
      <c r="AP691" s="115"/>
      <c r="AQ691" s="115"/>
      <c r="AR691" s="115"/>
      <c r="AS691" s="115"/>
      <c r="AT691" s="115"/>
    </row>
    <row r="692" spans="1:46" ht="39" customHeight="1" x14ac:dyDescent="0.25">
      <c r="A692" s="1468">
        <v>691</v>
      </c>
      <c r="B692" s="117"/>
      <c r="C692" s="455"/>
      <c r="D692" s="331"/>
      <c r="E692" s="331"/>
      <c r="F692" s="331"/>
      <c r="G692" s="432"/>
      <c r="H692" s="456"/>
      <c r="I692" s="456"/>
      <c r="J692" s="329"/>
      <c r="K692" s="432"/>
      <c r="L692" s="329"/>
      <c r="M692" s="329"/>
      <c r="N692" s="329"/>
      <c r="O692" s="330"/>
      <c r="P692" s="273" t="s">
        <v>306</v>
      </c>
      <c r="Q692" s="331"/>
      <c r="R692" s="455"/>
      <c r="S692" s="279"/>
      <c r="T692" s="334"/>
      <c r="U692" s="443"/>
      <c r="V692" s="334"/>
      <c r="W692" s="334"/>
      <c r="X692" s="334"/>
      <c r="Y692" s="334"/>
      <c r="Z692" s="457"/>
      <c r="AA692" s="458"/>
      <c r="AB692" s="459"/>
      <c r="AC692" s="460"/>
      <c r="AD692" s="459"/>
      <c r="AE692" s="494"/>
      <c r="AF692" s="494"/>
      <c r="AG692" s="331"/>
      <c r="AH692" s="462"/>
      <c r="AI692" s="463"/>
      <c r="AJ692" s="464"/>
      <c r="AK692" s="331"/>
      <c r="AL692" s="163"/>
      <c r="AM692" s="163"/>
      <c r="AN692" s="113"/>
      <c r="AO692" s="163"/>
      <c r="AP692" s="115"/>
      <c r="AQ692" s="115"/>
      <c r="AR692" s="115"/>
      <c r="AS692" s="115"/>
      <c r="AT692" s="116"/>
    </row>
    <row r="693" spans="1:46" ht="39" customHeight="1" x14ac:dyDescent="0.25">
      <c r="A693" s="1468">
        <v>692</v>
      </c>
      <c r="B693" s="141">
        <v>7</v>
      </c>
      <c r="C693" s="290" t="s">
        <v>307</v>
      </c>
      <c r="D693" s="291"/>
      <c r="E693" s="291" t="s">
        <v>47</v>
      </c>
      <c r="F693" s="291"/>
      <c r="G693" s="292" t="s">
        <v>308</v>
      </c>
      <c r="H693" s="293" t="s">
        <v>132</v>
      </c>
      <c r="I693" s="371" t="s">
        <v>309</v>
      </c>
      <c r="J693" s="256">
        <v>403</v>
      </c>
      <c r="K693" s="288" t="s">
        <v>158</v>
      </c>
      <c r="L693" s="288" t="s">
        <v>3678</v>
      </c>
      <c r="M693" s="288" t="s">
        <v>3678</v>
      </c>
      <c r="N693" s="281" t="s">
        <v>4217</v>
      </c>
      <c r="O693" s="1273" t="s">
        <v>3848</v>
      </c>
      <c r="P693" s="294"/>
      <c r="Q693" s="594" t="s">
        <v>293</v>
      </c>
      <c r="R693" s="1003" t="s">
        <v>3847</v>
      </c>
      <c r="S693" s="279">
        <v>37473</v>
      </c>
      <c r="T693" s="197"/>
      <c r="U693" s="251" t="s">
        <v>54</v>
      </c>
      <c r="V693" s="245" t="s">
        <v>5800</v>
      </c>
      <c r="W693" s="250" t="s">
        <v>3478</v>
      </c>
      <c r="X693" s="197" t="s">
        <v>475</v>
      </c>
      <c r="Y693" s="949" t="s">
        <v>5799</v>
      </c>
      <c r="Z693" s="246">
        <v>45286</v>
      </c>
      <c r="AA693" s="197"/>
      <c r="AB693" s="281" t="s">
        <v>4251</v>
      </c>
      <c r="AC693" s="223" t="s">
        <v>946</v>
      </c>
      <c r="AD693" s="299" t="s">
        <v>467</v>
      </c>
      <c r="AE693" s="494">
        <v>45106</v>
      </c>
      <c r="AF693" s="494">
        <v>45471</v>
      </c>
      <c r="AG693" s="241"/>
      <c r="AH693" s="283"/>
      <c r="AI693" s="296" t="s">
        <v>1351</v>
      </c>
      <c r="AJ693" s="303" t="s">
        <v>136</v>
      </c>
      <c r="AK693" s="291">
        <v>3</v>
      </c>
      <c r="AL693" s="123" t="s">
        <v>474</v>
      </c>
      <c r="AM693" s="123" t="s">
        <v>460</v>
      </c>
      <c r="AN693" s="130"/>
      <c r="AO693" s="130"/>
      <c r="AP693" s="115"/>
      <c r="AQ693" s="115"/>
      <c r="AR693" s="115"/>
      <c r="AS693" s="115"/>
      <c r="AT693" s="115"/>
    </row>
    <row r="694" spans="1:46" ht="39" customHeight="1" x14ac:dyDescent="0.25">
      <c r="A694" s="1468">
        <v>693</v>
      </c>
      <c r="B694" s="141">
        <v>3</v>
      </c>
      <c r="C694" s="356" t="s">
        <v>290</v>
      </c>
      <c r="D694" s="241" t="s">
        <v>134</v>
      </c>
      <c r="E694" s="241"/>
      <c r="F694" s="241"/>
      <c r="G694" s="261" t="s">
        <v>291</v>
      </c>
      <c r="H694" s="262" t="s">
        <v>85</v>
      </c>
      <c r="I694" s="364"/>
      <c r="J694" s="245" t="s">
        <v>556</v>
      </c>
      <c r="K694" s="288" t="s">
        <v>158</v>
      </c>
      <c r="L694" s="288" t="s">
        <v>3678</v>
      </c>
      <c r="M694" s="288" t="s">
        <v>3678</v>
      </c>
      <c r="N694" s="281" t="s">
        <v>4217</v>
      </c>
      <c r="O694" s="1392" t="s">
        <v>3749</v>
      </c>
      <c r="P694" s="374"/>
      <c r="Q694" s="301" t="s">
        <v>293</v>
      </c>
      <c r="R694" s="1003" t="s">
        <v>3748</v>
      </c>
      <c r="S694" s="279">
        <v>37759</v>
      </c>
      <c r="T694" s="250"/>
      <c r="U694" s="251" t="s">
        <v>54</v>
      </c>
      <c r="V694" s="245" t="s">
        <v>5800</v>
      </c>
      <c r="W694" s="250" t="s">
        <v>3478</v>
      </c>
      <c r="X694" s="197" t="s">
        <v>475</v>
      </c>
      <c r="Y694" s="949" t="s">
        <v>5799</v>
      </c>
      <c r="Z694" s="246">
        <v>45286</v>
      </c>
      <c r="AA694" s="246"/>
      <c r="AB694" s="288" t="s">
        <v>4287</v>
      </c>
      <c r="AC694" s="223" t="s">
        <v>946</v>
      </c>
      <c r="AD694" s="299" t="s">
        <v>467</v>
      </c>
      <c r="AE694" s="494">
        <v>45109</v>
      </c>
      <c r="AF694" s="494">
        <v>45474</v>
      </c>
      <c r="AG694" s="1392"/>
      <c r="AH694" s="283"/>
      <c r="AI694" s="296" t="s">
        <v>1351</v>
      </c>
      <c r="AJ694" s="303" t="s">
        <v>136</v>
      </c>
      <c r="AK694" s="219">
        <v>4</v>
      </c>
      <c r="AL694" s="123" t="s">
        <v>474</v>
      </c>
      <c r="AM694" s="123" t="s">
        <v>460</v>
      </c>
      <c r="AN694" s="110" t="s">
        <v>4184</v>
      </c>
      <c r="AO694" s="110"/>
      <c r="AP694" s="115"/>
      <c r="AQ694" s="115"/>
      <c r="AR694" s="115"/>
      <c r="AS694" s="115"/>
      <c r="AT694" s="115"/>
    </row>
    <row r="695" spans="1:46" ht="39" customHeight="1" x14ac:dyDescent="0.25">
      <c r="A695" s="1468">
        <v>694</v>
      </c>
      <c r="B695" s="141">
        <v>3</v>
      </c>
      <c r="C695" s="358" t="s">
        <v>297</v>
      </c>
      <c r="D695" s="241" t="s">
        <v>134</v>
      </c>
      <c r="E695" s="241"/>
      <c r="F695" s="241"/>
      <c r="G695" s="261" t="s">
        <v>298</v>
      </c>
      <c r="H695" s="262" t="s">
        <v>85</v>
      </c>
      <c r="I695" s="364"/>
      <c r="J695" s="245" t="s">
        <v>556</v>
      </c>
      <c r="K695" s="288" t="s">
        <v>144</v>
      </c>
      <c r="L695" s="288" t="s">
        <v>3678</v>
      </c>
      <c r="M695" s="288" t="s">
        <v>3678</v>
      </c>
      <c r="N695" s="281" t="s">
        <v>4217</v>
      </c>
      <c r="O695" s="216" t="s">
        <v>3745</v>
      </c>
      <c r="P695" s="1115"/>
      <c r="Q695" s="397" t="s">
        <v>87</v>
      </c>
      <c r="R695" s="1269" t="s">
        <v>3744</v>
      </c>
      <c r="S695" s="279">
        <v>35632</v>
      </c>
      <c r="T695" s="305" t="s">
        <v>66</v>
      </c>
      <c r="U695" s="251" t="s">
        <v>54</v>
      </c>
      <c r="V695" s="245" t="s">
        <v>4730</v>
      </c>
      <c r="W695" s="250" t="s">
        <v>384</v>
      </c>
      <c r="X695" s="250" t="s">
        <v>5135</v>
      </c>
      <c r="Y695" s="197" t="s">
        <v>4808</v>
      </c>
      <c r="Z695" s="246">
        <v>45243</v>
      </c>
      <c r="AA695" s="246"/>
      <c r="AB695" s="288" t="s">
        <v>4262</v>
      </c>
      <c r="AC695" s="223" t="s">
        <v>4219</v>
      </c>
      <c r="AD695" s="299" t="s">
        <v>467</v>
      </c>
      <c r="AE695" s="494">
        <v>45108</v>
      </c>
      <c r="AF695" s="494">
        <v>45473</v>
      </c>
      <c r="AG695" s="392"/>
      <c r="AH695" s="283"/>
      <c r="AI695" s="296" t="s">
        <v>1351</v>
      </c>
      <c r="AJ695" s="303" t="s">
        <v>136</v>
      </c>
      <c r="AK695" s="241">
        <v>4</v>
      </c>
      <c r="AL695" s="123" t="s">
        <v>474</v>
      </c>
      <c r="AM695" s="123" t="s">
        <v>460</v>
      </c>
      <c r="AN695" s="110"/>
      <c r="AO695" s="110"/>
      <c r="AP695" s="115"/>
      <c r="AQ695" s="115"/>
      <c r="AR695" s="115"/>
      <c r="AS695" s="115"/>
      <c r="AT695" s="116"/>
    </row>
    <row r="696" spans="1:46" ht="39" customHeight="1" x14ac:dyDescent="0.25">
      <c r="A696" s="1468">
        <v>695</v>
      </c>
      <c r="B696" s="141">
        <v>2</v>
      </c>
      <c r="C696" s="260" t="s">
        <v>311</v>
      </c>
      <c r="D696" s="241"/>
      <c r="E696" s="241"/>
      <c r="F696" s="241"/>
      <c r="G696" s="261" t="s">
        <v>312</v>
      </c>
      <c r="H696" s="262" t="s">
        <v>85</v>
      </c>
      <c r="I696" s="364"/>
      <c r="J696" s="245" t="s">
        <v>556</v>
      </c>
      <c r="K696" s="268"/>
      <c r="L696" s="299" t="s">
        <v>4004</v>
      </c>
      <c r="M696" s="299" t="s">
        <v>4004</v>
      </c>
      <c r="N696" s="264"/>
      <c r="O696" s="265" t="s">
        <v>4008</v>
      </c>
      <c r="P696" s="266"/>
      <c r="Q696" s="397" t="s">
        <v>87</v>
      </c>
      <c r="R696" s="1211" t="s">
        <v>3242</v>
      </c>
      <c r="S696" s="279">
        <v>37775</v>
      </c>
      <c r="T696" s="414"/>
      <c r="U696" s="250"/>
      <c r="V696" s="245"/>
      <c r="W696" s="250"/>
      <c r="X696" s="197"/>
      <c r="Y696" s="197"/>
      <c r="Z696" s="246"/>
      <c r="AA696" s="395"/>
      <c r="AB696" s="288" t="s">
        <v>4385</v>
      </c>
      <c r="AC696" s="223" t="s">
        <v>946</v>
      </c>
      <c r="AD696" s="438"/>
      <c r="AE696" s="494"/>
      <c r="AF696" s="494"/>
      <c r="AG696" s="481"/>
      <c r="AH696" s="481"/>
      <c r="AI696" s="254" t="s">
        <v>1351</v>
      </c>
      <c r="AJ696" s="303" t="s">
        <v>136</v>
      </c>
      <c r="AK696" s="219">
        <v>4</v>
      </c>
      <c r="AL696" s="123" t="s">
        <v>474</v>
      </c>
      <c r="AM696" s="123" t="s">
        <v>460</v>
      </c>
      <c r="AN696" s="110"/>
      <c r="AO696" s="110"/>
      <c r="AP696" s="115"/>
      <c r="AQ696" s="115"/>
      <c r="AR696" s="115"/>
      <c r="AS696" s="115"/>
      <c r="AT696" s="115"/>
    </row>
    <row r="697" spans="1:46" ht="39" customHeight="1" x14ac:dyDescent="0.25">
      <c r="A697" s="1468">
        <v>696</v>
      </c>
      <c r="B697" s="141">
        <v>2</v>
      </c>
      <c r="C697" s="260" t="s">
        <v>317</v>
      </c>
      <c r="D697" s="241"/>
      <c r="E697" s="241"/>
      <c r="F697" s="241"/>
      <c r="G697" s="261" t="s">
        <v>318</v>
      </c>
      <c r="H697" s="262" t="s">
        <v>87</v>
      </c>
      <c r="I697" s="364"/>
      <c r="J697" s="245" t="s">
        <v>561</v>
      </c>
      <c r="K697" s="216"/>
      <c r="L697" s="288" t="s">
        <v>5144</v>
      </c>
      <c r="M697" s="288" t="s">
        <v>5144</v>
      </c>
      <c r="N697" s="245"/>
      <c r="O697" s="1392" t="s">
        <v>5219</v>
      </c>
      <c r="P697" s="294"/>
      <c r="Q697" s="380" t="s">
        <v>87</v>
      </c>
      <c r="R697" s="1003" t="s">
        <v>5173</v>
      </c>
      <c r="S697" s="279">
        <v>37872</v>
      </c>
      <c r="T697" s="197"/>
      <c r="U697" s="251" t="s">
        <v>54</v>
      </c>
      <c r="V697" s="245" t="s">
        <v>5171</v>
      </c>
      <c r="W697" s="250" t="s">
        <v>295</v>
      </c>
      <c r="X697" s="197"/>
      <c r="Y697" s="981" t="s">
        <v>5829</v>
      </c>
      <c r="Z697" s="246">
        <v>45260</v>
      </c>
      <c r="AA697" s="252"/>
      <c r="AB697" s="288" t="s">
        <v>5267</v>
      </c>
      <c r="AC697" s="223" t="s">
        <v>946</v>
      </c>
      <c r="AD697" s="245" t="s">
        <v>467</v>
      </c>
      <c r="AE697" s="494">
        <v>45251</v>
      </c>
      <c r="AF697" s="494">
        <v>45616</v>
      </c>
      <c r="AG697" s="241"/>
      <c r="AH697" s="283"/>
      <c r="AI697" s="296" t="s">
        <v>4208</v>
      </c>
      <c r="AJ697" s="303" t="s">
        <v>136</v>
      </c>
      <c r="AK697" s="219">
        <v>4</v>
      </c>
      <c r="AL697" s="123" t="s">
        <v>474</v>
      </c>
      <c r="AM697" s="123" t="s">
        <v>460</v>
      </c>
      <c r="AN697" s="110"/>
      <c r="AO697" s="110"/>
      <c r="AP697" s="115"/>
      <c r="AQ697" s="115"/>
      <c r="AR697" s="115"/>
      <c r="AS697" s="115"/>
      <c r="AT697" s="115"/>
    </row>
    <row r="698" spans="1:46" ht="39" customHeight="1" x14ac:dyDescent="0.25">
      <c r="A698" s="1468">
        <v>697</v>
      </c>
      <c r="B698" s="146">
        <v>2</v>
      </c>
      <c r="C698" s="260" t="s">
        <v>319</v>
      </c>
      <c r="D698" s="241"/>
      <c r="E698" s="241"/>
      <c r="F698" s="241"/>
      <c r="G698" s="261" t="s">
        <v>320</v>
      </c>
      <c r="H698" s="262" t="s">
        <v>87</v>
      </c>
      <c r="I698" s="357"/>
      <c r="J698" s="245" t="s">
        <v>561</v>
      </c>
      <c r="K698" s="216"/>
      <c r="L698" s="301" t="s">
        <v>1430</v>
      </c>
      <c r="M698" s="281" t="s">
        <v>1684</v>
      </c>
      <c r="N698" s="299"/>
      <c r="O698" s="392" t="s">
        <v>2894</v>
      </c>
      <c r="P698" s="300"/>
      <c r="Q698" s="301" t="s">
        <v>87</v>
      </c>
      <c r="R698" s="275" t="s">
        <v>1456</v>
      </c>
      <c r="S698" s="279">
        <v>38444</v>
      </c>
      <c r="T698" s="289"/>
      <c r="U698" s="251" t="s">
        <v>54</v>
      </c>
      <c r="V698" s="197" t="s">
        <v>4214</v>
      </c>
      <c r="W698" s="250" t="s">
        <v>4215</v>
      </c>
      <c r="X698" s="250" t="s">
        <v>5135</v>
      </c>
      <c r="Y698" s="949" t="s">
        <v>4216</v>
      </c>
      <c r="Z698" s="289">
        <v>45234</v>
      </c>
      <c r="AA698" s="289"/>
      <c r="AB698" s="288" t="s">
        <v>4386</v>
      </c>
      <c r="AC698" s="223" t="s">
        <v>4225</v>
      </c>
      <c r="AD698" s="299"/>
      <c r="AE698" s="494">
        <v>45098</v>
      </c>
      <c r="AF698" s="494">
        <v>45463</v>
      </c>
      <c r="AG698" s="299"/>
      <c r="AH698" s="299"/>
      <c r="AI698" s="254" t="s">
        <v>1351</v>
      </c>
      <c r="AJ698" s="303" t="s">
        <v>136</v>
      </c>
      <c r="AK698" s="241">
        <v>4</v>
      </c>
      <c r="AL698" s="123" t="s">
        <v>474</v>
      </c>
      <c r="AM698" s="123" t="s">
        <v>460</v>
      </c>
      <c r="AN698" s="110"/>
      <c r="AO698" s="110"/>
      <c r="AP698" s="115"/>
      <c r="AQ698" s="115"/>
      <c r="AR698" s="115"/>
      <c r="AS698" s="115"/>
      <c r="AT698" s="116"/>
    </row>
    <row r="699" spans="1:46" ht="39" customHeight="1" x14ac:dyDescent="0.25">
      <c r="A699" s="1468">
        <v>698</v>
      </c>
      <c r="B699" s="141">
        <v>2</v>
      </c>
      <c r="C699" s="378" t="s">
        <v>321</v>
      </c>
      <c r="D699" s="303"/>
      <c r="E699" s="241"/>
      <c r="F699" s="241"/>
      <c r="G699" s="261" t="s">
        <v>322</v>
      </c>
      <c r="H699" s="262" t="s">
        <v>87</v>
      </c>
      <c r="I699" s="357"/>
      <c r="J699" s="245" t="s">
        <v>561</v>
      </c>
      <c r="K699" s="257"/>
      <c r="L699" s="301" t="s">
        <v>1430</v>
      </c>
      <c r="M699" s="281" t="s">
        <v>1684</v>
      </c>
      <c r="N699" s="299"/>
      <c r="O699" s="392" t="s">
        <v>3041</v>
      </c>
      <c r="P699" s="300"/>
      <c r="Q699" s="301" t="s">
        <v>87</v>
      </c>
      <c r="R699" s="381" t="s">
        <v>1448</v>
      </c>
      <c r="S699" s="279">
        <v>38482</v>
      </c>
      <c r="T699" s="289"/>
      <c r="U699" s="251" t="s">
        <v>54</v>
      </c>
      <c r="V699" s="197" t="s">
        <v>4214</v>
      </c>
      <c r="W699" s="250" t="s">
        <v>4215</v>
      </c>
      <c r="X699" s="250" t="s">
        <v>5135</v>
      </c>
      <c r="Y699" s="949" t="s">
        <v>4216</v>
      </c>
      <c r="Z699" s="289">
        <v>45234</v>
      </c>
      <c r="AA699" s="289"/>
      <c r="AB699" s="288" t="s">
        <v>4387</v>
      </c>
      <c r="AC699" s="223" t="s">
        <v>4225</v>
      </c>
      <c r="AD699" s="299"/>
      <c r="AE699" s="494">
        <v>45104</v>
      </c>
      <c r="AF699" s="494">
        <v>45469</v>
      </c>
      <c r="AG699" s="299"/>
      <c r="AH699" s="299"/>
      <c r="AI699" s="254" t="s">
        <v>1351</v>
      </c>
      <c r="AJ699" s="303" t="s">
        <v>136</v>
      </c>
      <c r="AK699" s="241">
        <v>4</v>
      </c>
      <c r="AL699" s="123" t="s">
        <v>474</v>
      </c>
      <c r="AM699" s="123" t="s">
        <v>460</v>
      </c>
      <c r="AN699" s="110"/>
      <c r="AO699" s="110"/>
      <c r="AP699" s="115"/>
      <c r="AQ699" s="115"/>
      <c r="AR699" s="115"/>
      <c r="AS699" s="115"/>
      <c r="AT699" s="115"/>
    </row>
    <row r="700" spans="1:46" ht="39" customHeight="1" x14ac:dyDescent="0.25">
      <c r="A700" s="1468">
        <v>699</v>
      </c>
      <c r="B700" s="141">
        <v>1</v>
      </c>
      <c r="C700" s="378" t="s">
        <v>323</v>
      </c>
      <c r="D700" s="303"/>
      <c r="E700" s="241"/>
      <c r="F700" s="241"/>
      <c r="G700" s="261" t="s">
        <v>324</v>
      </c>
      <c r="H700" s="262" t="s">
        <v>87</v>
      </c>
      <c r="I700" s="357"/>
      <c r="J700" s="245" t="s">
        <v>561</v>
      </c>
      <c r="K700" s="216"/>
      <c r="L700" s="301" t="s">
        <v>1113</v>
      </c>
      <c r="M700" s="301" t="s">
        <v>1208</v>
      </c>
      <c r="N700" s="245"/>
      <c r="O700" s="392" t="s">
        <v>2900</v>
      </c>
      <c r="P700" s="421"/>
      <c r="Q700" s="301" t="s">
        <v>293</v>
      </c>
      <c r="R700" s="1011" t="s">
        <v>1372</v>
      </c>
      <c r="S700" s="279">
        <v>38345</v>
      </c>
      <c r="T700" s="250"/>
      <c r="U700" s="251" t="s">
        <v>54</v>
      </c>
      <c r="V700" s="197" t="s">
        <v>4214</v>
      </c>
      <c r="W700" s="250" t="s">
        <v>4215</v>
      </c>
      <c r="X700" s="250" t="s">
        <v>5135</v>
      </c>
      <c r="Y700" s="949" t="s">
        <v>4216</v>
      </c>
      <c r="Z700" s="289">
        <v>45234</v>
      </c>
      <c r="AA700" s="246"/>
      <c r="AB700" s="288"/>
      <c r="AC700" s="223" t="s">
        <v>946</v>
      </c>
      <c r="AD700" s="376"/>
      <c r="AE700" s="494">
        <v>45076</v>
      </c>
      <c r="AF700" s="494">
        <v>45441</v>
      </c>
      <c r="AG700" s="241"/>
      <c r="AH700" s="283"/>
      <c r="AI700" s="254" t="s">
        <v>1351</v>
      </c>
      <c r="AJ700" s="303" t="s">
        <v>136</v>
      </c>
      <c r="AK700" s="241">
        <v>4</v>
      </c>
      <c r="AL700" s="123" t="s">
        <v>474</v>
      </c>
      <c r="AM700" s="123" t="s">
        <v>460</v>
      </c>
      <c r="AN700" s="110"/>
      <c r="AO700" s="110"/>
      <c r="AP700" s="115"/>
      <c r="AQ700" s="115"/>
      <c r="AR700" s="115"/>
      <c r="AS700" s="115"/>
      <c r="AT700" s="115"/>
    </row>
    <row r="701" spans="1:46" ht="39" customHeight="1" x14ac:dyDescent="0.25">
      <c r="A701" s="1468">
        <v>700</v>
      </c>
      <c r="B701" s="141">
        <v>1</v>
      </c>
      <c r="C701" s="503" t="s">
        <v>325</v>
      </c>
      <c r="D701" s="471"/>
      <c r="E701" s="471"/>
      <c r="F701" s="471"/>
      <c r="G701" s="472" t="s">
        <v>324</v>
      </c>
      <c r="H701" s="262" t="s">
        <v>87</v>
      </c>
      <c r="I701" s="473"/>
      <c r="J701" s="245" t="s">
        <v>561</v>
      </c>
      <c r="K701" s="216"/>
      <c r="L701" s="301" t="s">
        <v>1430</v>
      </c>
      <c r="M701" s="281" t="s">
        <v>1684</v>
      </c>
      <c r="N701" s="366"/>
      <c r="O701" s="392" t="s">
        <v>2895</v>
      </c>
      <c r="P701" s="374"/>
      <c r="Q701" s="594" t="s">
        <v>87</v>
      </c>
      <c r="R701" s="381" t="s">
        <v>1446</v>
      </c>
      <c r="S701" s="279">
        <v>38444</v>
      </c>
      <c r="T701" s="197"/>
      <c r="U701" s="251" t="s">
        <v>54</v>
      </c>
      <c r="V701" s="197" t="s">
        <v>4214</v>
      </c>
      <c r="W701" s="250" t="s">
        <v>4215</v>
      </c>
      <c r="X701" s="250" t="s">
        <v>5135</v>
      </c>
      <c r="Y701" s="949" t="s">
        <v>4216</v>
      </c>
      <c r="Z701" s="289">
        <v>45234</v>
      </c>
      <c r="AA701" s="289"/>
      <c r="AB701" s="288" t="s">
        <v>4386</v>
      </c>
      <c r="AC701" s="223" t="s">
        <v>4225</v>
      </c>
      <c r="AD701" s="299"/>
      <c r="AE701" s="494">
        <v>45098</v>
      </c>
      <c r="AF701" s="494">
        <v>45463</v>
      </c>
      <c r="AG701" s="299"/>
      <c r="AH701" s="299"/>
      <c r="AI701" s="254" t="s">
        <v>1351</v>
      </c>
      <c r="AJ701" s="303" t="s">
        <v>136</v>
      </c>
      <c r="AK701" s="471">
        <v>4</v>
      </c>
      <c r="AL701" s="176" t="s">
        <v>474</v>
      </c>
      <c r="AM701" s="176" t="s">
        <v>460</v>
      </c>
      <c r="AN701" s="110"/>
      <c r="AO701" s="110"/>
      <c r="AP701" s="115"/>
      <c r="AQ701" s="115"/>
      <c r="AR701" s="115"/>
      <c r="AS701" s="115"/>
      <c r="AT701" s="115"/>
    </row>
    <row r="702" spans="1:46" ht="39" customHeight="1" x14ac:dyDescent="0.25">
      <c r="A702" s="1468">
        <v>701</v>
      </c>
      <c r="B702" s="987"/>
      <c r="C702" s="989"/>
      <c r="D702" s="664"/>
      <c r="E702" s="664"/>
      <c r="F702" s="664"/>
      <c r="G702" s="227"/>
      <c r="H702" s="228"/>
      <c r="I702" s="228"/>
      <c r="J702" s="229"/>
      <c r="K702" s="227"/>
      <c r="L702" s="229"/>
      <c r="M702" s="229"/>
      <c r="N702" s="229"/>
      <c r="O702" s="309"/>
      <c r="P702" s="230" t="s">
        <v>326</v>
      </c>
      <c r="Q702" s="664"/>
      <c r="R702" s="324"/>
      <c r="S702" s="279"/>
      <c r="T702" s="232"/>
      <c r="U702" s="250"/>
      <c r="V702" s="232"/>
      <c r="W702" s="232"/>
      <c r="X702" s="232"/>
      <c r="Y702" s="232"/>
      <c r="Z702" s="233"/>
      <c r="AA702" s="234"/>
      <c r="AB702" s="235"/>
      <c r="AC702" s="236"/>
      <c r="AD702" s="235"/>
      <c r="AE702" s="494"/>
      <c r="AF702" s="494"/>
      <c r="AG702" s="664"/>
      <c r="AH702" s="238"/>
      <c r="AI702" s="239"/>
      <c r="AJ702" s="576"/>
      <c r="AK702" s="664"/>
      <c r="AL702" s="113"/>
      <c r="AM702" s="114"/>
      <c r="AN702" s="113"/>
      <c r="AO702" s="114"/>
      <c r="AP702" s="115"/>
      <c r="AQ702" s="115"/>
      <c r="AR702" s="115"/>
      <c r="AS702" s="115"/>
      <c r="AT702" s="116"/>
    </row>
    <row r="703" spans="1:46" ht="39" customHeight="1" x14ac:dyDescent="0.25">
      <c r="A703" s="1468">
        <v>702</v>
      </c>
      <c r="B703" s="141">
        <v>5</v>
      </c>
      <c r="C703" s="497" t="s">
        <v>288</v>
      </c>
      <c r="D703" s="498"/>
      <c r="E703" s="498" t="s">
        <v>47</v>
      </c>
      <c r="F703" s="498"/>
      <c r="G703" s="499" t="s">
        <v>289</v>
      </c>
      <c r="H703" s="500" t="s">
        <v>132</v>
      </c>
      <c r="I703" s="344">
        <v>144</v>
      </c>
      <c r="J703" s="256">
        <v>403</v>
      </c>
      <c r="K703" s="288" t="s">
        <v>158</v>
      </c>
      <c r="L703" s="288" t="s">
        <v>3678</v>
      </c>
      <c r="M703" s="288" t="s">
        <v>3678</v>
      </c>
      <c r="N703" s="281" t="s">
        <v>4217</v>
      </c>
      <c r="O703" s="392" t="s">
        <v>3838</v>
      </c>
      <c r="P703" s="294"/>
      <c r="Q703" s="301" t="s">
        <v>87</v>
      </c>
      <c r="R703" s="1003" t="s">
        <v>3837</v>
      </c>
      <c r="S703" s="279">
        <v>37315</v>
      </c>
      <c r="T703" s="197"/>
      <c r="U703" s="251" t="s">
        <v>54</v>
      </c>
      <c r="V703" s="197" t="s">
        <v>4578</v>
      </c>
      <c r="W703" s="250" t="s">
        <v>384</v>
      </c>
      <c r="X703" s="250" t="s">
        <v>5135</v>
      </c>
      <c r="Y703" s="197" t="s">
        <v>4604</v>
      </c>
      <c r="Z703" s="246">
        <v>45237</v>
      </c>
      <c r="AA703" s="252"/>
      <c r="AB703" s="288" t="s">
        <v>4304</v>
      </c>
      <c r="AC703" s="223" t="s">
        <v>946</v>
      </c>
      <c r="AD703" s="299" t="s">
        <v>467</v>
      </c>
      <c r="AE703" s="494">
        <v>45104</v>
      </c>
      <c r="AF703" s="494">
        <v>45469</v>
      </c>
      <c r="AG703" s="241"/>
      <c r="AH703" s="283"/>
      <c r="AI703" s="296" t="s">
        <v>1351</v>
      </c>
      <c r="AJ703" s="303" t="s">
        <v>136</v>
      </c>
      <c r="AK703" s="491">
        <v>3</v>
      </c>
      <c r="AL703" s="175" t="s">
        <v>474</v>
      </c>
      <c r="AM703" s="175" t="s">
        <v>460</v>
      </c>
      <c r="AN703" s="130"/>
      <c r="AO703" s="130"/>
      <c r="AP703" s="156"/>
      <c r="AQ703" s="156"/>
      <c r="AR703" s="115"/>
      <c r="AS703" s="115"/>
      <c r="AT703" s="115"/>
    </row>
    <row r="704" spans="1:46" ht="39" customHeight="1" x14ac:dyDescent="0.25">
      <c r="A704" s="1468">
        <v>703</v>
      </c>
      <c r="B704" s="141">
        <v>3</v>
      </c>
      <c r="C704" s="356" t="s">
        <v>290</v>
      </c>
      <c r="D704" s="241" t="s">
        <v>134</v>
      </c>
      <c r="E704" s="241"/>
      <c r="F704" s="241"/>
      <c r="G704" s="261" t="s">
        <v>291</v>
      </c>
      <c r="H704" s="262" t="s">
        <v>85</v>
      </c>
      <c r="I704" s="357"/>
      <c r="J704" s="245" t="s">
        <v>556</v>
      </c>
      <c r="K704" s="288" t="s">
        <v>158</v>
      </c>
      <c r="L704" s="288" t="s">
        <v>3678</v>
      </c>
      <c r="M704" s="288" t="s">
        <v>3678</v>
      </c>
      <c r="N704" s="281" t="s">
        <v>4217</v>
      </c>
      <c r="O704" s="1273" t="s">
        <v>3773</v>
      </c>
      <c r="P704" s="1278"/>
      <c r="Q704" s="301" t="s">
        <v>293</v>
      </c>
      <c r="R704" s="1003" t="s">
        <v>3772</v>
      </c>
      <c r="S704" s="279">
        <v>37386</v>
      </c>
      <c r="T704" s="1278"/>
      <c r="U704" s="251" t="s">
        <v>54</v>
      </c>
      <c r="V704" s="245" t="s">
        <v>5800</v>
      </c>
      <c r="W704" s="250" t="s">
        <v>3478</v>
      </c>
      <c r="X704" s="197" t="s">
        <v>475</v>
      </c>
      <c r="Y704" s="949" t="s">
        <v>5799</v>
      </c>
      <c r="Z704" s="246">
        <v>45286</v>
      </c>
      <c r="AA704" s="246"/>
      <c r="AB704" s="288" t="s">
        <v>4343</v>
      </c>
      <c r="AC704" s="223" t="s">
        <v>946</v>
      </c>
      <c r="AD704" s="299" t="s">
        <v>467</v>
      </c>
      <c r="AE704" s="494">
        <v>45113</v>
      </c>
      <c r="AF704" s="494">
        <v>45478</v>
      </c>
      <c r="AG704" s="1273"/>
      <c r="AH704" s="283"/>
      <c r="AI704" s="296" t="s">
        <v>1351</v>
      </c>
      <c r="AJ704" s="303" t="s">
        <v>136</v>
      </c>
      <c r="AK704" s="241">
        <v>4</v>
      </c>
      <c r="AL704" s="123" t="s">
        <v>474</v>
      </c>
      <c r="AM704" s="123" t="s">
        <v>460</v>
      </c>
      <c r="AN704" s="110" t="s">
        <v>4184</v>
      </c>
      <c r="AO704" s="110"/>
      <c r="AP704" s="115"/>
      <c r="AQ704" s="115"/>
      <c r="AR704" s="115"/>
      <c r="AS704" s="115"/>
      <c r="AT704" s="115"/>
    </row>
    <row r="705" spans="1:46" ht="39" customHeight="1" x14ac:dyDescent="0.25">
      <c r="A705" s="1468">
        <v>704</v>
      </c>
      <c r="B705" s="141">
        <v>3</v>
      </c>
      <c r="C705" s="358" t="s">
        <v>297</v>
      </c>
      <c r="D705" s="241" t="s">
        <v>134</v>
      </c>
      <c r="E705" s="241"/>
      <c r="F705" s="241"/>
      <c r="G705" s="261" t="s">
        <v>298</v>
      </c>
      <c r="H705" s="262" t="s">
        <v>85</v>
      </c>
      <c r="I705" s="357"/>
      <c r="J705" s="245" t="s">
        <v>556</v>
      </c>
      <c r="K705" s="288" t="s">
        <v>158</v>
      </c>
      <c r="L705" s="288" t="s">
        <v>3678</v>
      </c>
      <c r="M705" s="288" t="s">
        <v>3678</v>
      </c>
      <c r="N705" s="281" t="s">
        <v>4217</v>
      </c>
      <c r="O705" s="1391" t="s">
        <v>3741</v>
      </c>
      <c r="P705" s="1396"/>
      <c r="Q705" s="487" t="s">
        <v>87</v>
      </c>
      <c r="R705" s="1003" t="s">
        <v>3740</v>
      </c>
      <c r="S705" s="279">
        <v>37939</v>
      </c>
      <c r="T705" s="289"/>
      <c r="U705" s="251" t="s">
        <v>54</v>
      </c>
      <c r="V705" s="245" t="s">
        <v>5800</v>
      </c>
      <c r="W705" s="250" t="s">
        <v>3478</v>
      </c>
      <c r="X705" s="197" t="s">
        <v>475</v>
      </c>
      <c r="Y705" s="949" t="s">
        <v>5799</v>
      </c>
      <c r="Z705" s="246">
        <v>45286</v>
      </c>
      <c r="AA705" s="246"/>
      <c r="AB705" s="288" t="s">
        <v>4238</v>
      </c>
      <c r="AC705" s="223" t="s">
        <v>946</v>
      </c>
      <c r="AD705" s="299" t="s">
        <v>467</v>
      </c>
      <c r="AE705" s="494">
        <v>45107</v>
      </c>
      <c r="AF705" s="494">
        <v>45472</v>
      </c>
      <c r="AG705" s="1391"/>
      <c r="AH705" s="283"/>
      <c r="AI705" s="296" t="s">
        <v>1351</v>
      </c>
      <c r="AJ705" s="303" t="s">
        <v>136</v>
      </c>
      <c r="AK705" s="241">
        <v>4</v>
      </c>
      <c r="AL705" s="123" t="s">
        <v>474</v>
      </c>
      <c r="AM705" s="123" t="s">
        <v>460</v>
      </c>
      <c r="AN705" s="110"/>
      <c r="AO705" s="110"/>
      <c r="AP705" s="115"/>
      <c r="AQ705" s="115"/>
      <c r="AR705" s="115"/>
      <c r="AS705" s="115"/>
      <c r="AT705" s="116"/>
    </row>
    <row r="706" spans="1:46" ht="39" customHeight="1" x14ac:dyDescent="0.25">
      <c r="A706" s="1468">
        <v>705</v>
      </c>
      <c r="B706" s="141">
        <v>2</v>
      </c>
      <c r="C706" s="260" t="s">
        <v>311</v>
      </c>
      <c r="D706" s="241"/>
      <c r="E706" s="241"/>
      <c r="F706" s="241"/>
      <c r="G706" s="261" t="s">
        <v>312</v>
      </c>
      <c r="H706" s="262" t="s">
        <v>85</v>
      </c>
      <c r="I706" s="357"/>
      <c r="J706" s="245" t="s">
        <v>556</v>
      </c>
      <c r="K706" s="595"/>
      <c r="L706" s="281" t="s">
        <v>1527</v>
      </c>
      <c r="M706" s="281" t="s">
        <v>1676</v>
      </c>
      <c r="N706" s="366"/>
      <c r="O706" s="1273" t="s">
        <v>3114</v>
      </c>
      <c r="P706" s="402"/>
      <c r="Q706" s="380" t="s">
        <v>87</v>
      </c>
      <c r="R706" s="427" t="s">
        <v>1716</v>
      </c>
      <c r="S706" s="279">
        <v>38482</v>
      </c>
      <c r="T706" s="197"/>
      <c r="U706" s="250"/>
      <c r="V706" s="197"/>
      <c r="W706" s="250"/>
      <c r="X706" s="250"/>
      <c r="Y706" s="245"/>
      <c r="Z706" s="246"/>
      <c r="AA706" s="246"/>
      <c r="AB706" s="288" t="s">
        <v>4390</v>
      </c>
      <c r="AC706" s="223" t="s">
        <v>946</v>
      </c>
      <c r="AD706" s="376"/>
      <c r="AE706" s="494">
        <v>45112</v>
      </c>
      <c r="AF706" s="494">
        <v>45477</v>
      </c>
      <c r="AG706" s="241"/>
      <c r="AH706" s="283"/>
      <c r="AI706" s="254" t="s">
        <v>1351</v>
      </c>
      <c r="AJ706" s="303" t="s">
        <v>136</v>
      </c>
      <c r="AK706" s="241">
        <v>4</v>
      </c>
      <c r="AL706" s="123" t="s">
        <v>474</v>
      </c>
      <c r="AM706" s="123" t="s">
        <v>460</v>
      </c>
      <c r="AN706" s="110"/>
      <c r="AO706" s="110"/>
      <c r="AP706" s="115"/>
      <c r="AQ706" s="115"/>
      <c r="AR706" s="115"/>
      <c r="AS706" s="115"/>
      <c r="AT706" s="115"/>
    </row>
    <row r="707" spans="1:46" ht="39" customHeight="1" x14ac:dyDescent="0.25">
      <c r="A707" s="1468">
        <v>706</v>
      </c>
      <c r="B707" s="141">
        <v>2</v>
      </c>
      <c r="C707" s="260" t="s">
        <v>317</v>
      </c>
      <c r="D707" s="241"/>
      <c r="E707" s="241"/>
      <c r="F707" s="241"/>
      <c r="G707" s="261" t="s">
        <v>318</v>
      </c>
      <c r="H707" s="262" t="s">
        <v>87</v>
      </c>
      <c r="I707" s="357"/>
      <c r="J707" s="245" t="s">
        <v>561</v>
      </c>
      <c r="K707" s="288"/>
      <c r="L707" s="288" t="s">
        <v>5144</v>
      </c>
      <c r="M707" s="288" t="s">
        <v>5144</v>
      </c>
      <c r="N707" s="281"/>
      <c r="O707" s="1392" t="s">
        <v>5220</v>
      </c>
      <c r="P707" s="374"/>
      <c r="Q707" s="380" t="s">
        <v>87</v>
      </c>
      <c r="R707" s="1003" t="s">
        <v>5174</v>
      </c>
      <c r="S707" s="279">
        <v>38616</v>
      </c>
      <c r="T707" s="250"/>
      <c r="U707" s="251" t="s">
        <v>54</v>
      </c>
      <c r="V707" s="245" t="s">
        <v>5171</v>
      </c>
      <c r="W707" s="250" t="s">
        <v>295</v>
      </c>
      <c r="X707" s="197"/>
      <c r="Y707" s="197"/>
      <c r="Z707" s="246">
        <v>45260</v>
      </c>
      <c r="AA707" s="246"/>
      <c r="AB707" s="288" t="s">
        <v>5268</v>
      </c>
      <c r="AC707" s="223" t="s">
        <v>946</v>
      </c>
      <c r="AD707" s="245" t="s">
        <v>467</v>
      </c>
      <c r="AE707" s="494">
        <v>45257</v>
      </c>
      <c r="AF707" s="494">
        <v>45622</v>
      </c>
      <c r="AG707" s="1391"/>
      <c r="AH707" s="283"/>
      <c r="AI707" s="296" t="s">
        <v>4208</v>
      </c>
      <c r="AJ707" s="303" t="s">
        <v>136</v>
      </c>
      <c r="AK707" s="241">
        <v>4</v>
      </c>
      <c r="AL707" s="123" t="s">
        <v>474</v>
      </c>
      <c r="AM707" s="123" t="s">
        <v>460</v>
      </c>
      <c r="AN707" s="110"/>
      <c r="AO707" s="110"/>
      <c r="AP707" s="115"/>
      <c r="AQ707" s="115"/>
      <c r="AR707" s="115"/>
      <c r="AS707" s="115"/>
      <c r="AT707" s="115"/>
    </row>
    <row r="708" spans="1:46" ht="39" customHeight="1" x14ac:dyDescent="0.25">
      <c r="A708" s="1468">
        <v>707</v>
      </c>
      <c r="B708" s="146">
        <v>2</v>
      </c>
      <c r="C708" s="260" t="s">
        <v>319</v>
      </c>
      <c r="D708" s="241"/>
      <c r="E708" s="241"/>
      <c r="F708" s="241"/>
      <c r="G708" s="261" t="s">
        <v>320</v>
      </c>
      <c r="H708" s="262" t="s">
        <v>87</v>
      </c>
      <c r="I708" s="364"/>
      <c r="J708" s="245" t="s">
        <v>561</v>
      </c>
      <c r="K708" s="216"/>
      <c r="L708" s="281" t="s">
        <v>1676</v>
      </c>
      <c r="M708" s="281" t="s">
        <v>1508</v>
      </c>
      <c r="N708" s="366"/>
      <c r="O708" s="392" t="s">
        <v>3097</v>
      </c>
      <c r="P708" s="402"/>
      <c r="Q708" s="301" t="s">
        <v>87</v>
      </c>
      <c r="R708" s="682" t="s">
        <v>1789</v>
      </c>
      <c r="S708" s="279">
        <v>38391</v>
      </c>
      <c r="T708" s="197"/>
      <c r="U708" s="251" t="s">
        <v>54</v>
      </c>
      <c r="V708" s="245" t="s">
        <v>5800</v>
      </c>
      <c r="W708" s="250" t="s">
        <v>3478</v>
      </c>
      <c r="X708" s="197" t="s">
        <v>475</v>
      </c>
      <c r="Y708" s="949" t="s">
        <v>5799</v>
      </c>
      <c r="Z708" s="246">
        <v>45286</v>
      </c>
      <c r="AA708" s="246"/>
      <c r="AB708" s="288" t="s">
        <v>4389</v>
      </c>
      <c r="AC708" s="223" t="s">
        <v>946</v>
      </c>
      <c r="AD708" s="376"/>
      <c r="AE708" s="494">
        <v>45112</v>
      </c>
      <c r="AF708" s="494">
        <v>45477</v>
      </c>
      <c r="AG708" s="241"/>
      <c r="AH708" s="283"/>
      <c r="AI708" s="254" t="s">
        <v>1351</v>
      </c>
      <c r="AJ708" s="303" t="s">
        <v>136</v>
      </c>
      <c r="AK708" s="241">
        <v>4</v>
      </c>
      <c r="AL708" s="123" t="s">
        <v>474</v>
      </c>
      <c r="AM708" s="123" t="s">
        <v>460</v>
      </c>
      <c r="AN708" s="110"/>
      <c r="AO708" s="110"/>
      <c r="AP708" s="115"/>
      <c r="AQ708" s="115"/>
      <c r="AR708" s="115"/>
      <c r="AS708" s="115"/>
      <c r="AT708" s="116"/>
    </row>
    <row r="709" spans="1:46" ht="39" customHeight="1" x14ac:dyDescent="0.25">
      <c r="A709" s="1468">
        <v>708</v>
      </c>
      <c r="B709" s="141">
        <v>2</v>
      </c>
      <c r="C709" s="378" t="s">
        <v>321</v>
      </c>
      <c r="D709" s="303"/>
      <c r="E709" s="241"/>
      <c r="F709" s="241"/>
      <c r="G709" s="261" t="s">
        <v>322</v>
      </c>
      <c r="H709" s="262" t="s">
        <v>87</v>
      </c>
      <c r="I709" s="357"/>
      <c r="J709" s="245" t="s">
        <v>561</v>
      </c>
      <c r="K709" s="216"/>
      <c r="L709" s="301" t="s">
        <v>1678</v>
      </c>
      <c r="M709" s="301" t="s">
        <v>991</v>
      </c>
      <c r="N709" s="245"/>
      <c r="O709" s="1273" t="s">
        <v>2951</v>
      </c>
      <c r="P709" s="294"/>
      <c r="Q709" s="301" t="s">
        <v>87</v>
      </c>
      <c r="R709" s="381" t="s">
        <v>2041</v>
      </c>
      <c r="S709" s="279">
        <v>37912</v>
      </c>
      <c r="T709" s="197"/>
      <c r="U709" s="251" t="s">
        <v>54</v>
      </c>
      <c r="V709" s="197" t="s">
        <v>4214</v>
      </c>
      <c r="W709" s="250" t="s">
        <v>4215</v>
      </c>
      <c r="X709" s="250" t="s">
        <v>5135</v>
      </c>
      <c r="Y709" s="949" t="s">
        <v>4216</v>
      </c>
      <c r="Z709" s="289">
        <v>45234</v>
      </c>
      <c r="AA709" s="252"/>
      <c r="AB709" s="250" t="s">
        <v>4388</v>
      </c>
      <c r="AC709" s="223" t="s">
        <v>946</v>
      </c>
      <c r="AD709" s="281"/>
      <c r="AE709" s="494">
        <v>45069</v>
      </c>
      <c r="AF709" s="494">
        <v>45434</v>
      </c>
      <c r="AG709" s="241"/>
      <c r="AH709" s="283"/>
      <c r="AI709" s="254" t="s">
        <v>1351</v>
      </c>
      <c r="AJ709" s="303" t="s">
        <v>136</v>
      </c>
      <c r="AK709" s="241">
        <v>4</v>
      </c>
      <c r="AL709" s="123" t="s">
        <v>474</v>
      </c>
      <c r="AM709" s="123" t="s">
        <v>460</v>
      </c>
      <c r="AN709" s="110"/>
      <c r="AO709" s="110"/>
      <c r="AP709" s="115"/>
      <c r="AQ709" s="115"/>
      <c r="AR709" s="115"/>
      <c r="AS709" s="115"/>
      <c r="AT709" s="115"/>
    </row>
    <row r="710" spans="1:46" ht="39" customHeight="1" x14ac:dyDescent="0.25">
      <c r="A710" s="1468">
        <v>709</v>
      </c>
      <c r="B710" s="141">
        <v>1</v>
      </c>
      <c r="C710" s="378" t="s">
        <v>323</v>
      </c>
      <c r="D710" s="303"/>
      <c r="E710" s="241"/>
      <c r="F710" s="241"/>
      <c r="G710" s="261" t="s">
        <v>324</v>
      </c>
      <c r="H710" s="262" t="s">
        <v>87</v>
      </c>
      <c r="I710" s="357"/>
      <c r="J710" s="245" t="s">
        <v>561</v>
      </c>
      <c r="K710" s="595"/>
      <c r="L710" s="281" t="s">
        <v>1676</v>
      </c>
      <c r="M710" s="281" t="s">
        <v>1508</v>
      </c>
      <c r="N710" s="366"/>
      <c r="O710" s="392" t="s">
        <v>3149</v>
      </c>
      <c r="P710" s="402"/>
      <c r="Q710" s="380" t="s">
        <v>87</v>
      </c>
      <c r="R710" s="682" t="s">
        <v>1805</v>
      </c>
      <c r="S710" s="279" t="s">
        <v>4752</v>
      </c>
      <c r="T710" s="197"/>
      <c r="U710" s="251" t="s">
        <v>54</v>
      </c>
      <c r="V710" s="245" t="s">
        <v>5800</v>
      </c>
      <c r="W710" s="250" t="s">
        <v>3478</v>
      </c>
      <c r="X710" s="197" t="s">
        <v>475</v>
      </c>
      <c r="Y710" s="949" t="s">
        <v>5799</v>
      </c>
      <c r="Z710" s="246">
        <v>45286</v>
      </c>
      <c r="AA710" s="246"/>
      <c r="AB710" s="296" t="s">
        <v>4391</v>
      </c>
      <c r="AC710" s="223" t="s">
        <v>946</v>
      </c>
      <c r="AD710" s="376"/>
      <c r="AE710" s="494" t="s">
        <v>4345</v>
      </c>
      <c r="AF710" s="494">
        <v>45478</v>
      </c>
      <c r="AG710" s="241"/>
      <c r="AH710" s="283"/>
      <c r="AI710" s="254" t="s">
        <v>1351</v>
      </c>
      <c r="AJ710" s="303" t="s">
        <v>136</v>
      </c>
      <c r="AK710" s="241">
        <v>4</v>
      </c>
      <c r="AL710" s="123" t="s">
        <v>474</v>
      </c>
      <c r="AM710" s="123" t="s">
        <v>460</v>
      </c>
      <c r="AN710" s="110"/>
      <c r="AO710" s="110"/>
      <c r="AP710" s="115"/>
      <c r="AQ710" s="115"/>
      <c r="AR710" s="115"/>
      <c r="AS710" s="115"/>
      <c r="AT710" s="115"/>
    </row>
    <row r="711" spans="1:46" ht="39" customHeight="1" x14ac:dyDescent="0.25">
      <c r="A711" s="1468">
        <v>710</v>
      </c>
      <c r="B711" s="141">
        <v>1</v>
      </c>
      <c r="C711" s="260" t="s">
        <v>325</v>
      </c>
      <c r="D711" s="241"/>
      <c r="E711" s="241"/>
      <c r="F711" s="241"/>
      <c r="G711" s="261" t="s">
        <v>324</v>
      </c>
      <c r="H711" s="262" t="s">
        <v>87</v>
      </c>
      <c r="I711" s="357"/>
      <c r="J711" s="245" t="s">
        <v>561</v>
      </c>
      <c r="K711" s="257"/>
      <c r="L711" s="281" t="s">
        <v>1527</v>
      </c>
      <c r="M711" s="281" t="s">
        <v>1676</v>
      </c>
      <c r="N711" s="366"/>
      <c r="O711" s="392" t="s">
        <v>3010</v>
      </c>
      <c r="P711" s="402"/>
      <c r="Q711" s="380" t="s">
        <v>87</v>
      </c>
      <c r="R711" s="427" t="s">
        <v>1738</v>
      </c>
      <c r="S711" s="279">
        <v>37896</v>
      </c>
      <c r="T711" s="197"/>
      <c r="U711" s="251" t="s">
        <v>54</v>
      </c>
      <c r="V711" s="245" t="s">
        <v>5800</v>
      </c>
      <c r="W711" s="250" t="s">
        <v>3478</v>
      </c>
      <c r="X711" s="197" t="s">
        <v>475</v>
      </c>
      <c r="Y711" s="949" t="s">
        <v>5799</v>
      </c>
      <c r="Z711" s="246">
        <v>45286</v>
      </c>
      <c r="AA711" s="246"/>
      <c r="AB711" s="288" t="s">
        <v>4392</v>
      </c>
      <c r="AC711" s="223" t="s">
        <v>946</v>
      </c>
      <c r="AD711" s="376"/>
      <c r="AE711" s="494">
        <v>45111</v>
      </c>
      <c r="AF711" s="494">
        <v>45476</v>
      </c>
      <c r="AG711" s="241"/>
      <c r="AH711" s="283"/>
      <c r="AI711" s="254" t="s">
        <v>1351</v>
      </c>
      <c r="AJ711" s="303" t="s">
        <v>136</v>
      </c>
      <c r="AK711" s="241">
        <v>4</v>
      </c>
      <c r="AL711" s="123" t="s">
        <v>474</v>
      </c>
      <c r="AM711" s="123" t="s">
        <v>460</v>
      </c>
      <c r="AN711" s="110"/>
      <c r="AO711" s="110"/>
      <c r="AP711" s="115"/>
      <c r="AQ711" s="115"/>
      <c r="AR711" s="115"/>
      <c r="AS711" s="115"/>
      <c r="AT711" s="115"/>
    </row>
    <row r="712" spans="1:46" ht="39" customHeight="1" x14ac:dyDescent="0.25">
      <c r="A712" s="1468">
        <v>711</v>
      </c>
      <c r="B712" s="117"/>
      <c r="C712" s="324"/>
      <c r="D712" s="664"/>
      <c r="E712" s="664"/>
      <c r="F712" s="664"/>
      <c r="G712" s="227"/>
      <c r="H712" s="228"/>
      <c r="I712" s="228"/>
      <c r="J712" s="229"/>
      <c r="K712" s="227"/>
      <c r="L712" s="229"/>
      <c r="M712" s="229"/>
      <c r="N712" s="229"/>
      <c r="O712" s="216"/>
      <c r="P712" s="230" t="s">
        <v>327</v>
      </c>
      <c r="Q712" s="664"/>
      <c r="R712" s="427"/>
      <c r="S712" s="279"/>
      <c r="T712" s="232"/>
      <c r="U712" s="250"/>
      <c r="V712" s="232"/>
      <c r="W712" s="232"/>
      <c r="X712" s="232"/>
      <c r="Y712" s="232"/>
      <c r="Z712" s="233"/>
      <c r="AA712" s="234"/>
      <c r="AB712" s="235"/>
      <c r="AC712" s="236"/>
      <c r="AD712" s="235"/>
      <c r="AE712" s="494"/>
      <c r="AF712" s="494"/>
      <c r="AG712" s="664"/>
      <c r="AH712" s="238"/>
      <c r="AI712" s="239"/>
      <c r="AJ712" s="303"/>
      <c r="AK712" s="241"/>
      <c r="AL712" s="122"/>
      <c r="AM712" s="122"/>
      <c r="AN712" s="113"/>
      <c r="AO712" s="114"/>
      <c r="AP712" s="115"/>
      <c r="AQ712" s="115"/>
      <c r="AR712" s="115"/>
      <c r="AS712" s="115"/>
      <c r="AT712" s="116"/>
    </row>
    <row r="713" spans="1:46" ht="39" customHeight="1" x14ac:dyDescent="0.25">
      <c r="A713" s="1468">
        <v>712</v>
      </c>
      <c r="B713" s="141">
        <v>5</v>
      </c>
      <c r="C713" s="290" t="s">
        <v>288</v>
      </c>
      <c r="D713" s="291"/>
      <c r="E713" s="291" t="s">
        <v>47</v>
      </c>
      <c r="F713" s="291"/>
      <c r="G713" s="292" t="s">
        <v>289</v>
      </c>
      <c r="H713" s="293" t="s">
        <v>132</v>
      </c>
      <c r="I713" s="344">
        <v>144</v>
      </c>
      <c r="J713" s="256">
        <v>403</v>
      </c>
      <c r="K713" s="288" t="s">
        <v>158</v>
      </c>
      <c r="L713" s="288" t="s">
        <v>3678</v>
      </c>
      <c r="M713" s="288" t="s">
        <v>3678</v>
      </c>
      <c r="N713" s="281" t="s">
        <v>4217</v>
      </c>
      <c r="O713" s="392" t="s">
        <v>3840</v>
      </c>
      <c r="P713" s="372"/>
      <c r="Q713" s="380" t="s">
        <v>87</v>
      </c>
      <c r="R713" s="1003" t="s">
        <v>3839</v>
      </c>
      <c r="S713" s="279">
        <v>38387</v>
      </c>
      <c r="T713" s="197"/>
      <c r="U713" s="251" t="s">
        <v>54</v>
      </c>
      <c r="V713" s="197" t="s">
        <v>4214</v>
      </c>
      <c r="W713" s="250" t="s">
        <v>4215</v>
      </c>
      <c r="X713" s="250" t="s">
        <v>5135</v>
      </c>
      <c r="Y713" s="949" t="s">
        <v>4216</v>
      </c>
      <c r="Z713" s="289">
        <v>45234</v>
      </c>
      <c r="AA713" s="246"/>
      <c r="AB713" s="288" t="s">
        <v>4340</v>
      </c>
      <c r="AC713" s="223" t="s">
        <v>946</v>
      </c>
      <c r="AD713" s="299" t="s">
        <v>467</v>
      </c>
      <c r="AE713" s="494">
        <v>45108</v>
      </c>
      <c r="AF713" s="494">
        <v>45473</v>
      </c>
      <c r="AG713" s="241"/>
      <c r="AH713" s="283"/>
      <c r="AI713" s="296" t="s">
        <v>1351</v>
      </c>
      <c r="AJ713" s="303" t="s">
        <v>136</v>
      </c>
      <c r="AK713" s="348">
        <v>3</v>
      </c>
      <c r="AL713" s="123" t="s">
        <v>474</v>
      </c>
      <c r="AM713" s="123" t="s">
        <v>460</v>
      </c>
      <c r="AN713" s="130"/>
      <c r="AO713" s="130"/>
      <c r="AP713" s="115"/>
      <c r="AQ713" s="115"/>
      <c r="AR713" s="115"/>
      <c r="AS713" s="115"/>
      <c r="AT713" s="115"/>
    </row>
    <row r="714" spans="1:46" ht="39" customHeight="1" x14ac:dyDescent="0.25">
      <c r="A714" s="1468">
        <v>713</v>
      </c>
      <c r="B714" s="141">
        <v>3</v>
      </c>
      <c r="C714" s="356" t="s">
        <v>290</v>
      </c>
      <c r="D714" s="241" t="s">
        <v>134</v>
      </c>
      <c r="E714" s="241"/>
      <c r="F714" s="241"/>
      <c r="G714" s="261" t="s">
        <v>291</v>
      </c>
      <c r="H714" s="262" t="s">
        <v>85</v>
      </c>
      <c r="I714" s="346"/>
      <c r="J714" s="245" t="s">
        <v>556</v>
      </c>
      <c r="K714" s="288" t="s">
        <v>158</v>
      </c>
      <c r="L714" s="288" t="s">
        <v>3678</v>
      </c>
      <c r="M714" s="288" t="s">
        <v>3678</v>
      </c>
      <c r="N714" s="281" t="s">
        <v>4217</v>
      </c>
      <c r="O714" s="1392" t="s">
        <v>3763</v>
      </c>
      <c r="P714" s="684"/>
      <c r="Q714" s="301" t="s">
        <v>87</v>
      </c>
      <c r="R714" s="1003" t="s">
        <v>3762</v>
      </c>
      <c r="S714" s="279">
        <v>38247</v>
      </c>
      <c r="T714" s="684"/>
      <c r="U714" s="251" t="s">
        <v>54</v>
      </c>
      <c r="V714" s="197" t="s">
        <v>4578</v>
      </c>
      <c r="W714" s="250" t="s">
        <v>384</v>
      </c>
      <c r="X714" s="250" t="s">
        <v>5135</v>
      </c>
      <c r="Y714" s="197" t="s">
        <v>4604</v>
      </c>
      <c r="Z714" s="246">
        <v>45237</v>
      </c>
      <c r="AA714" s="246"/>
      <c r="AB714" s="288" t="s">
        <v>4260</v>
      </c>
      <c r="AC714" s="223" t="s">
        <v>946</v>
      </c>
      <c r="AD714" s="299" t="s">
        <v>467</v>
      </c>
      <c r="AE714" s="494">
        <v>45113</v>
      </c>
      <c r="AF714" s="494">
        <v>45478</v>
      </c>
      <c r="AG714" s="1392"/>
      <c r="AH714" s="283"/>
      <c r="AI714" s="296" t="s">
        <v>1351</v>
      </c>
      <c r="AJ714" s="303" t="s">
        <v>136</v>
      </c>
      <c r="AK714" s="241">
        <v>4</v>
      </c>
      <c r="AL714" s="123" t="s">
        <v>474</v>
      </c>
      <c r="AM714" s="123" t="s">
        <v>460</v>
      </c>
      <c r="AN714" s="110" t="s">
        <v>4184</v>
      </c>
      <c r="AO714" s="130"/>
      <c r="AP714" s="115"/>
      <c r="AQ714" s="115"/>
      <c r="AR714" s="115"/>
      <c r="AS714" s="115"/>
      <c r="AT714" s="115"/>
    </row>
    <row r="715" spans="1:46" ht="39" customHeight="1" x14ac:dyDescent="0.25">
      <c r="A715" s="1468">
        <v>714</v>
      </c>
      <c r="B715" s="141">
        <v>3</v>
      </c>
      <c r="C715" s="358" t="s">
        <v>297</v>
      </c>
      <c r="D715" s="241" t="s">
        <v>134</v>
      </c>
      <c r="E715" s="241"/>
      <c r="F715" s="241"/>
      <c r="G715" s="261" t="s">
        <v>298</v>
      </c>
      <c r="H715" s="262" t="s">
        <v>85</v>
      </c>
      <c r="I715" s="346"/>
      <c r="J715" s="245" t="s">
        <v>556</v>
      </c>
      <c r="K715" s="288" t="s">
        <v>158</v>
      </c>
      <c r="L715" s="288" t="s">
        <v>3678</v>
      </c>
      <c r="M715" s="288" t="s">
        <v>3678</v>
      </c>
      <c r="N715" s="281" t="s">
        <v>4217</v>
      </c>
      <c r="O715" s="1392" t="s">
        <v>3771</v>
      </c>
      <c r="P715" s="627"/>
      <c r="Q715" s="301" t="s">
        <v>293</v>
      </c>
      <c r="R715" s="1003" t="s">
        <v>3770</v>
      </c>
      <c r="S715" s="279">
        <v>37547</v>
      </c>
      <c r="T715" s="289"/>
      <c r="U715" s="251" t="s">
        <v>54</v>
      </c>
      <c r="V715" s="245" t="s">
        <v>5800</v>
      </c>
      <c r="W715" s="250" t="s">
        <v>3478</v>
      </c>
      <c r="X715" s="197" t="s">
        <v>475</v>
      </c>
      <c r="Y715" s="949" t="s">
        <v>5799</v>
      </c>
      <c r="Z715" s="246">
        <v>45286</v>
      </c>
      <c r="AA715" s="246"/>
      <c r="AB715" s="288" t="s">
        <v>4292</v>
      </c>
      <c r="AC715" s="223" t="s">
        <v>946</v>
      </c>
      <c r="AD715" s="299" t="s">
        <v>467</v>
      </c>
      <c r="AE715" s="494">
        <v>45105</v>
      </c>
      <c r="AF715" s="494">
        <v>45470</v>
      </c>
      <c r="AG715" s="1392"/>
      <c r="AH715" s="283"/>
      <c r="AI715" s="296" t="s">
        <v>1351</v>
      </c>
      <c r="AJ715" s="303" t="s">
        <v>136</v>
      </c>
      <c r="AK715" s="241">
        <v>4</v>
      </c>
      <c r="AL715" s="123" t="s">
        <v>474</v>
      </c>
      <c r="AM715" s="123" t="s">
        <v>460</v>
      </c>
      <c r="AN715" s="130"/>
      <c r="AO715" s="130"/>
      <c r="AP715" s="115"/>
      <c r="AQ715" s="115"/>
      <c r="AR715" s="115"/>
      <c r="AS715" s="115"/>
      <c r="AT715" s="116"/>
    </row>
    <row r="716" spans="1:46" ht="39" customHeight="1" x14ac:dyDescent="0.25">
      <c r="A716" s="1468">
        <v>715</v>
      </c>
      <c r="B716" s="141">
        <v>2</v>
      </c>
      <c r="C716" s="260" t="s">
        <v>311</v>
      </c>
      <c r="D716" s="241"/>
      <c r="E716" s="241"/>
      <c r="F716" s="241"/>
      <c r="G716" s="261" t="s">
        <v>312</v>
      </c>
      <c r="H716" s="262" t="s">
        <v>85</v>
      </c>
      <c r="I716" s="346"/>
      <c r="J716" s="245" t="s">
        <v>556</v>
      </c>
      <c r="K716" s="684"/>
      <c r="L716" s="299" t="s">
        <v>4004</v>
      </c>
      <c r="M716" s="299" t="s">
        <v>4004</v>
      </c>
      <c r="N716" s="684"/>
      <c r="O716" s="1392" t="s">
        <v>4006</v>
      </c>
      <c r="P716" s="684"/>
      <c r="Q716" s="282" t="s">
        <v>87</v>
      </c>
      <c r="R716" s="1270" t="s">
        <v>3243</v>
      </c>
      <c r="S716" s="279"/>
      <c r="T716" s="684"/>
      <c r="U716" s="251" t="s">
        <v>54</v>
      </c>
      <c r="V716" s="245" t="s">
        <v>5800</v>
      </c>
      <c r="W716" s="250" t="s">
        <v>3478</v>
      </c>
      <c r="X716" s="197" t="s">
        <v>475</v>
      </c>
      <c r="Y716" s="949" t="s">
        <v>5799</v>
      </c>
      <c r="Z716" s="246">
        <v>45286</v>
      </c>
      <c r="AA716" s="684"/>
      <c r="AB716" s="1290"/>
      <c r="AC716" s="223" t="s">
        <v>946</v>
      </c>
      <c r="AD716" s="686"/>
      <c r="AE716" s="494"/>
      <c r="AF716" s="494"/>
      <c r="AG716" s="684"/>
      <c r="AH716" s="684"/>
      <c r="AI716" s="254" t="s">
        <v>1351</v>
      </c>
      <c r="AJ716" s="303" t="s">
        <v>136</v>
      </c>
      <c r="AK716" s="241">
        <v>4</v>
      </c>
      <c r="AL716" s="123" t="s">
        <v>474</v>
      </c>
      <c r="AM716" s="123" t="s">
        <v>460</v>
      </c>
      <c r="AN716" s="130"/>
      <c r="AO716" s="130"/>
      <c r="AP716" s="115"/>
      <c r="AQ716" s="115"/>
      <c r="AR716" s="115"/>
      <c r="AS716" s="115"/>
      <c r="AT716" s="115"/>
    </row>
    <row r="717" spans="1:46" ht="39" customHeight="1" x14ac:dyDescent="0.25">
      <c r="A717" s="1468">
        <v>716</v>
      </c>
      <c r="B717" s="141">
        <v>2</v>
      </c>
      <c r="C717" s="260" t="s">
        <v>317</v>
      </c>
      <c r="D717" s="241"/>
      <c r="E717" s="241"/>
      <c r="F717" s="241"/>
      <c r="G717" s="261" t="s">
        <v>318</v>
      </c>
      <c r="H717" s="262" t="s">
        <v>87</v>
      </c>
      <c r="I717" s="357"/>
      <c r="J717" s="245" t="s">
        <v>561</v>
      </c>
      <c r="K717" s="301"/>
      <c r="L717" s="299" t="s">
        <v>4004</v>
      </c>
      <c r="M717" s="299" t="s">
        <v>4004</v>
      </c>
      <c r="N717" s="281"/>
      <c r="O717" s="216" t="s">
        <v>4007</v>
      </c>
      <c r="P717" s="402"/>
      <c r="Q717" s="282" t="s">
        <v>87</v>
      </c>
      <c r="R717" s="1271" t="s">
        <v>3244</v>
      </c>
      <c r="S717" s="279"/>
      <c r="T717" s="197"/>
      <c r="U717" s="251" t="s">
        <v>54</v>
      </c>
      <c r="V717" s="289"/>
      <c r="W717" s="250" t="s">
        <v>295</v>
      </c>
      <c r="X717" s="685"/>
      <c r="Y717" s="245"/>
      <c r="Z717" s="246"/>
      <c r="AA717" s="246"/>
      <c r="AB717" s="361"/>
      <c r="AC717" s="223" t="s">
        <v>946</v>
      </c>
      <c r="AD717" s="376"/>
      <c r="AE717" s="494"/>
      <c r="AF717" s="494"/>
      <c r="AG717" s="241"/>
      <c r="AH717" s="283"/>
      <c r="AI717" s="254" t="s">
        <v>1351</v>
      </c>
      <c r="AJ717" s="303" t="s">
        <v>136</v>
      </c>
      <c r="AK717" s="241">
        <v>4</v>
      </c>
      <c r="AL717" s="123" t="s">
        <v>474</v>
      </c>
      <c r="AM717" s="123" t="s">
        <v>460</v>
      </c>
      <c r="AN717" s="110"/>
      <c r="AO717" s="110"/>
      <c r="AP717" s="115"/>
      <c r="AQ717" s="115"/>
      <c r="AR717" s="115"/>
      <c r="AS717" s="115"/>
      <c r="AT717" s="115"/>
    </row>
    <row r="718" spans="1:46" ht="39" customHeight="1" x14ac:dyDescent="0.25">
      <c r="A718" s="1468">
        <v>717</v>
      </c>
      <c r="B718" s="146">
        <v>2</v>
      </c>
      <c r="C718" s="260" t="s">
        <v>319</v>
      </c>
      <c r="D718" s="241"/>
      <c r="E718" s="241"/>
      <c r="F718" s="241"/>
      <c r="G718" s="261" t="s">
        <v>320</v>
      </c>
      <c r="H718" s="262" t="s">
        <v>87</v>
      </c>
      <c r="I718" s="357"/>
      <c r="J718" s="245" t="s">
        <v>561</v>
      </c>
      <c r="K718" s="595"/>
      <c r="L718" s="288" t="s">
        <v>5144</v>
      </c>
      <c r="M718" s="288" t="s">
        <v>5144</v>
      </c>
      <c r="N718" s="366"/>
      <c r="O718" s="1392" t="s">
        <v>5221</v>
      </c>
      <c r="P718" s="402"/>
      <c r="Q718" s="380" t="s">
        <v>87</v>
      </c>
      <c r="R718" s="1003" t="s">
        <v>5175</v>
      </c>
      <c r="S718" s="279">
        <v>37942</v>
      </c>
      <c r="T718" s="197"/>
      <c r="U718" s="251" t="s">
        <v>54</v>
      </c>
      <c r="V718" s="245" t="s">
        <v>5171</v>
      </c>
      <c r="W718" s="250" t="s">
        <v>295</v>
      </c>
      <c r="X718" s="197"/>
      <c r="Y718" s="981" t="s">
        <v>5829</v>
      </c>
      <c r="Z718" s="246">
        <v>45260</v>
      </c>
      <c r="AA718" s="246"/>
      <c r="AB718" s="288" t="s">
        <v>5269</v>
      </c>
      <c r="AC718" s="223" t="s">
        <v>946</v>
      </c>
      <c r="AD718" s="245" t="s">
        <v>467</v>
      </c>
      <c r="AE718" s="494">
        <v>45256</v>
      </c>
      <c r="AF718" s="494">
        <v>45621</v>
      </c>
      <c r="AG718" s="241"/>
      <c r="AH718" s="283"/>
      <c r="AI718" s="296" t="s">
        <v>4208</v>
      </c>
      <c r="AJ718" s="303" t="s">
        <v>136</v>
      </c>
      <c r="AK718" s="241">
        <v>4</v>
      </c>
      <c r="AL718" s="123" t="s">
        <v>474</v>
      </c>
      <c r="AM718" s="123" t="s">
        <v>460</v>
      </c>
      <c r="AN718" s="110"/>
      <c r="AO718" s="110"/>
      <c r="AP718" s="115"/>
      <c r="AQ718" s="115"/>
      <c r="AR718" s="115"/>
      <c r="AS718" s="115"/>
      <c r="AT718" s="116"/>
    </row>
    <row r="719" spans="1:46" ht="39" customHeight="1" x14ac:dyDescent="0.25">
      <c r="A719" s="1468">
        <v>718</v>
      </c>
      <c r="B719" s="141">
        <v>2</v>
      </c>
      <c r="C719" s="378" t="s">
        <v>321</v>
      </c>
      <c r="D719" s="303"/>
      <c r="E719" s="241"/>
      <c r="F719" s="241"/>
      <c r="G719" s="261" t="s">
        <v>322</v>
      </c>
      <c r="H719" s="262" t="s">
        <v>87</v>
      </c>
      <c r="I719" s="357"/>
      <c r="J719" s="245" t="s">
        <v>561</v>
      </c>
      <c r="K719" s="257"/>
      <c r="L719" s="281" t="s">
        <v>1676</v>
      </c>
      <c r="M719" s="281" t="s">
        <v>1508</v>
      </c>
      <c r="N719" s="366"/>
      <c r="O719" s="392" t="s">
        <v>2950</v>
      </c>
      <c r="P719" s="402"/>
      <c r="Q719" s="380" t="s">
        <v>87</v>
      </c>
      <c r="R719" s="682" t="s">
        <v>1760</v>
      </c>
      <c r="S719" s="279" t="s">
        <v>4753</v>
      </c>
      <c r="T719" s="197"/>
      <c r="U719" s="251" t="s">
        <v>54</v>
      </c>
      <c r="V719" s="245" t="s">
        <v>5800</v>
      </c>
      <c r="W719" s="250" t="s">
        <v>3478</v>
      </c>
      <c r="X719" s="197" t="s">
        <v>475</v>
      </c>
      <c r="Y719" s="981" t="s">
        <v>5799</v>
      </c>
      <c r="Z719" s="246">
        <v>45286</v>
      </c>
      <c r="AA719" s="246"/>
      <c r="AB719" s="288" t="s">
        <v>4394</v>
      </c>
      <c r="AC719" s="223" t="s">
        <v>946</v>
      </c>
      <c r="AD719" s="376"/>
      <c r="AE719" s="494">
        <v>45112</v>
      </c>
      <c r="AF719" s="494">
        <v>45477</v>
      </c>
      <c r="AG719" s="241"/>
      <c r="AH719" s="283"/>
      <c r="AI719" s="254" t="s">
        <v>1351</v>
      </c>
      <c r="AJ719" s="303" t="s">
        <v>136</v>
      </c>
      <c r="AK719" s="241">
        <v>4</v>
      </c>
      <c r="AL719" s="123" t="s">
        <v>474</v>
      </c>
      <c r="AM719" s="123" t="s">
        <v>460</v>
      </c>
      <c r="AN719" s="110"/>
      <c r="AO719" s="110"/>
      <c r="AP719" s="115"/>
      <c r="AQ719" s="115"/>
      <c r="AR719" s="115"/>
      <c r="AS719" s="115"/>
      <c r="AT719" s="115"/>
    </row>
    <row r="720" spans="1:46" ht="39" customHeight="1" x14ac:dyDescent="0.25">
      <c r="A720" s="1468">
        <v>719</v>
      </c>
      <c r="B720" s="141">
        <v>1</v>
      </c>
      <c r="C720" s="378" t="s">
        <v>323</v>
      </c>
      <c r="D720" s="303"/>
      <c r="E720" s="241"/>
      <c r="F720" s="241"/>
      <c r="G720" s="261" t="s">
        <v>324</v>
      </c>
      <c r="H720" s="262" t="s">
        <v>87</v>
      </c>
      <c r="I720" s="357"/>
      <c r="J720" s="245" t="s">
        <v>561</v>
      </c>
      <c r="K720" s="305"/>
      <c r="L720" s="301" t="s">
        <v>991</v>
      </c>
      <c r="M720" s="301" t="s">
        <v>1113</v>
      </c>
      <c r="N720" s="366"/>
      <c r="O720" s="392" t="s">
        <v>3029</v>
      </c>
      <c r="P720" s="402"/>
      <c r="Q720" s="301" t="s">
        <v>87</v>
      </c>
      <c r="R720" s="381" t="s">
        <v>1368</v>
      </c>
      <c r="S720" s="279">
        <v>37665</v>
      </c>
      <c r="T720" s="197"/>
      <c r="U720" s="251" t="s">
        <v>54</v>
      </c>
      <c r="V720" s="245" t="s">
        <v>5948</v>
      </c>
      <c r="W720" s="250" t="s">
        <v>295</v>
      </c>
      <c r="X720" s="197" t="s">
        <v>475</v>
      </c>
      <c r="Y720" s="981" t="s">
        <v>5950</v>
      </c>
      <c r="Z720" s="246">
        <v>45309</v>
      </c>
      <c r="AA720" s="698"/>
      <c r="AB720" s="288" t="s">
        <v>4395</v>
      </c>
      <c r="AC720" s="223" t="s">
        <v>946</v>
      </c>
      <c r="AD720" s="301"/>
      <c r="AE720" s="494">
        <v>45070</v>
      </c>
      <c r="AF720" s="494">
        <v>45435</v>
      </c>
      <c r="AG720" s="282"/>
      <c r="AH720" s="301"/>
      <c r="AI720" s="254" t="s">
        <v>1351</v>
      </c>
      <c r="AJ720" s="303" t="s">
        <v>136</v>
      </c>
      <c r="AK720" s="241">
        <v>4</v>
      </c>
      <c r="AL720" s="123" t="s">
        <v>474</v>
      </c>
      <c r="AM720" s="123" t="s">
        <v>460</v>
      </c>
      <c r="AN720" s="120"/>
      <c r="AO720" s="4"/>
      <c r="AP720" s="162"/>
      <c r="AQ720" s="164"/>
      <c r="AR720" s="115"/>
      <c r="AS720" s="115"/>
      <c r="AT720" s="115"/>
    </row>
    <row r="721" spans="1:46" ht="39" customHeight="1" x14ac:dyDescent="0.25">
      <c r="A721" s="1468">
        <v>720</v>
      </c>
      <c r="B721" s="141">
        <v>1</v>
      </c>
      <c r="C721" s="260" t="s">
        <v>325</v>
      </c>
      <c r="D721" s="241"/>
      <c r="E721" s="241"/>
      <c r="F721" s="241"/>
      <c r="G721" s="261" t="s">
        <v>324</v>
      </c>
      <c r="H721" s="262" t="s">
        <v>87</v>
      </c>
      <c r="I721" s="357"/>
      <c r="J721" s="245" t="s">
        <v>561</v>
      </c>
      <c r="K721" s="216"/>
      <c r="L721" s="301" t="s">
        <v>1678</v>
      </c>
      <c r="M721" s="281" t="s">
        <v>2783</v>
      </c>
      <c r="N721" s="366"/>
      <c r="O721" s="1392" t="s">
        <v>3076</v>
      </c>
      <c r="P721" s="247"/>
      <c r="Q721" s="301" t="s">
        <v>87</v>
      </c>
      <c r="R721" s="381" t="s">
        <v>1358</v>
      </c>
      <c r="S721" s="279">
        <v>37350</v>
      </c>
      <c r="T721" s="289"/>
      <c r="U721" s="251" t="s">
        <v>54</v>
      </c>
      <c r="V721" s="197" t="s">
        <v>4214</v>
      </c>
      <c r="W721" s="250" t="s">
        <v>4215</v>
      </c>
      <c r="X721" s="250" t="s">
        <v>5135</v>
      </c>
      <c r="Y721" s="949" t="s">
        <v>4216</v>
      </c>
      <c r="Z721" s="289">
        <v>45234</v>
      </c>
      <c r="AA721" s="197"/>
      <c r="AB721" s="250" t="s">
        <v>4393</v>
      </c>
      <c r="AC721" s="223" t="s">
        <v>946</v>
      </c>
      <c r="AD721" s="301"/>
      <c r="AE721" s="494">
        <v>45070</v>
      </c>
      <c r="AF721" s="494">
        <v>45435</v>
      </c>
      <c r="AG721" s="385"/>
      <c r="AH721" s="301"/>
      <c r="AI721" s="254" t="s">
        <v>1351</v>
      </c>
      <c r="AJ721" s="303" t="s">
        <v>136</v>
      </c>
      <c r="AK721" s="241">
        <v>4</v>
      </c>
      <c r="AL721" s="123" t="s">
        <v>474</v>
      </c>
      <c r="AM721" s="123" t="s">
        <v>460</v>
      </c>
      <c r="AN721" s="110"/>
      <c r="AO721" s="110"/>
      <c r="AP721" s="115"/>
      <c r="AQ721" s="115"/>
      <c r="AR721" s="115"/>
      <c r="AS721" s="115"/>
      <c r="AT721" s="115"/>
    </row>
    <row r="722" spans="1:46" ht="39" customHeight="1" x14ac:dyDescent="0.25">
      <c r="A722" s="1468">
        <v>721</v>
      </c>
      <c r="B722" s="117"/>
      <c r="C722" s="324"/>
      <c r="D722" s="664"/>
      <c r="E722" s="664"/>
      <c r="F722" s="664"/>
      <c r="G722" s="227"/>
      <c r="H722" s="228"/>
      <c r="I722" s="228"/>
      <c r="J722" s="229"/>
      <c r="K722" s="227"/>
      <c r="L722" s="229"/>
      <c r="M722" s="229"/>
      <c r="N722" s="229"/>
      <c r="O722" s="216"/>
      <c r="P722" s="230" t="s">
        <v>328</v>
      </c>
      <c r="Q722" s="664"/>
      <c r="R722" s="381"/>
      <c r="S722" s="279"/>
      <c r="T722" s="232"/>
      <c r="U722" s="250"/>
      <c r="V722" s="232"/>
      <c r="W722" s="232"/>
      <c r="X722" s="232"/>
      <c r="Y722" s="232"/>
      <c r="Z722" s="233"/>
      <c r="AA722" s="234"/>
      <c r="AB722" s="235"/>
      <c r="AC722" s="236"/>
      <c r="AD722" s="235"/>
      <c r="AE722" s="494"/>
      <c r="AF722" s="494"/>
      <c r="AG722" s="664"/>
      <c r="AH722" s="238"/>
      <c r="AI722" s="239"/>
      <c r="AJ722" s="303"/>
      <c r="AK722" s="241"/>
      <c r="AL722" s="122"/>
      <c r="AM722" s="122"/>
      <c r="AN722" s="113"/>
      <c r="AO722" s="114"/>
      <c r="AP722" s="115"/>
      <c r="AQ722" s="115"/>
      <c r="AR722" s="115"/>
      <c r="AS722" s="115"/>
      <c r="AT722" s="116"/>
    </row>
    <row r="723" spans="1:46" ht="39" customHeight="1" x14ac:dyDescent="0.25">
      <c r="A723" s="1468">
        <v>722</v>
      </c>
      <c r="B723" s="141">
        <v>10</v>
      </c>
      <c r="C723" s="240" t="s">
        <v>305</v>
      </c>
      <c r="D723" s="242"/>
      <c r="E723" s="242" t="s">
        <v>47</v>
      </c>
      <c r="F723" s="242"/>
      <c r="G723" s="243" t="s">
        <v>91</v>
      </c>
      <c r="H723" s="244" t="s">
        <v>83</v>
      </c>
      <c r="I723" s="340"/>
      <c r="J723" s="245">
        <v>302</v>
      </c>
      <c r="K723" s="277"/>
      <c r="L723" s="441" t="s">
        <v>2564</v>
      </c>
      <c r="M723" s="441" t="s">
        <v>2564</v>
      </c>
      <c r="N723" s="276"/>
      <c r="O723" s="277" t="s">
        <v>3402</v>
      </c>
      <c r="P723" s="801" t="s">
        <v>1411</v>
      </c>
      <c r="Q723" s="978" t="s">
        <v>2053</v>
      </c>
      <c r="R723" s="1163" t="s">
        <v>3401</v>
      </c>
      <c r="S723" s="279">
        <v>33228</v>
      </c>
      <c r="T723" s="907"/>
      <c r="U723" s="251" t="s">
        <v>54</v>
      </c>
      <c r="V723" s="197" t="s">
        <v>3562</v>
      </c>
      <c r="W723" s="197" t="s">
        <v>56</v>
      </c>
      <c r="X723" s="268" t="s">
        <v>57</v>
      </c>
      <c r="Y723" s="197" t="s">
        <v>3563</v>
      </c>
      <c r="Z723" s="246">
        <v>45214</v>
      </c>
      <c r="AA723" s="494"/>
      <c r="AB723" s="487"/>
      <c r="AC723" s="488"/>
      <c r="AD723" s="551"/>
      <c r="AE723" s="881"/>
      <c r="AF723" s="881"/>
      <c r="AG723" s="805"/>
      <c r="AH723" s="879"/>
      <c r="AI723" s="1418"/>
      <c r="AJ723" s="824" t="s">
        <v>62</v>
      </c>
      <c r="AK723" s="242">
        <v>1</v>
      </c>
      <c r="AL723" s="123" t="s">
        <v>474</v>
      </c>
      <c r="AM723" s="123" t="s">
        <v>460</v>
      </c>
      <c r="AN723" s="124"/>
      <c r="AO723" s="124"/>
      <c r="AP723" s="115"/>
      <c r="AQ723" s="115"/>
      <c r="AR723" s="115"/>
      <c r="AS723" s="115"/>
      <c r="AT723" s="115"/>
    </row>
    <row r="724" spans="1:46" ht="39" customHeight="1" x14ac:dyDescent="0.25">
      <c r="A724" s="1468">
        <v>723</v>
      </c>
      <c r="B724" s="117"/>
      <c r="C724" s="324"/>
      <c r="D724" s="664"/>
      <c r="E724" s="664"/>
      <c r="F724" s="664"/>
      <c r="G724" s="227"/>
      <c r="H724" s="228"/>
      <c r="I724" s="228"/>
      <c r="J724" s="229"/>
      <c r="K724" s="227"/>
      <c r="L724" s="229"/>
      <c r="M724" s="229"/>
      <c r="N724" s="229"/>
      <c r="O724" s="216"/>
      <c r="P724" s="230" t="s">
        <v>306</v>
      </c>
      <c r="Q724" s="664"/>
      <c r="R724" s="381"/>
      <c r="S724" s="279"/>
      <c r="T724" s="232"/>
      <c r="U724" s="250"/>
      <c r="V724" s="232"/>
      <c r="W724" s="232"/>
      <c r="X724" s="232"/>
      <c r="Y724" s="232"/>
      <c r="Z724" s="233"/>
      <c r="AA724" s="234"/>
      <c r="AB724" s="235"/>
      <c r="AC724" s="236"/>
      <c r="AD724" s="235"/>
      <c r="AE724" s="494"/>
      <c r="AF724" s="494"/>
      <c r="AG724" s="664"/>
      <c r="AH724" s="238"/>
      <c r="AI724" s="239"/>
      <c r="AJ724" s="303"/>
      <c r="AK724" s="241"/>
      <c r="AL724" s="122"/>
      <c r="AM724" s="122"/>
      <c r="AN724" s="113"/>
      <c r="AO724" s="114"/>
      <c r="AP724" s="115"/>
      <c r="AQ724" s="115"/>
      <c r="AR724" s="115"/>
      <c r="AS724" s="115"/>
      <c r="AT724" s="116"/>
    </row>
    <row r="725" spans="1:46" ht="39" customHeight="1" x14ac:dyDescent="0.25">
      <c r="A725" s="1468">
        <v>724</v>
      </c>
      <c r="B725" s="141">
        <v>7</v>
      </c>
      <c r="C725" s="290" t="s">
        <v>307</v>
      </c>
      <c r="D725" s="291"/>
      <c r="E725" s="291" t="s">
        <v>47</v>
      </c>
      <c r="F725" s="291"/>
      <c r="G725" s="292" t="s">
        <v>308</v>
      </c>
      <c r="H725" s="293" t="s">
        <v>132</v>
      </c>
      <c r="I725" s="371" t="s">
        <v>309</v>
      </c>
      <c r="J725" s="256">
        <v>403</v>
      </c>
      <c r="K725" s="288" t="s">
        <v>158</v>
      </c>
      <c r="L725" s="288" t="s">
        <v>3678</v>
      </c>
      <c r="M725" s="288" t="s">
        <v>3678</v>
      </c>
      <c r="N725" s="281" t="s">
        <v>4217</v>
      </c>
      <c r="O725" s="392" t="s">
        <v>3842</v>
      </c>
      <c r="P725" s="300"/>
      <c r="Q725" s="594" t="s">
        <v>293</v>
      </c>
      <c r="R725" s="1003" t="s">
        <v>3841</v>
      </c>
      <c r="S725" s="279">
        <v>38150</v>
      </c>
      <c r="T725" s="289"/>
      <c r="U725" s="251" t="s">
        <v>54</v>
      </c>
      <c r="V725" s="197" t="s">
        <v>4214</v>
      </c>
      <c r="W725" s="250" t="s">
        <v>4215</v>
      </c>
      <c r="X725" s="250" t="s">
        <v>5135</v>
      </c>
      <c r="Y725" s="949" t="s">
        <v>4216</v>
      </c>
      <c r="Z725" s="289">
        <v>45234</v>
      </c>
      <c r="AA725" s="289"/>
      <c r="AB725" s="288" t="s">
        <v>4320</v>
      </c>
      <c r="AC725" s="223" t="s">
        <v>946</v>
      </c>
      <c r="AD725" s="299" t="s">
        <v>467</v>
      </c>
      <c r="AE725" s="494">
        <v>45117</v>
      </c>
      <c r="AF725" s="494">
        <v>45482</v>
      </c>
      <c r="AG725" s="299"/>
      <c r="AH725" s="299"/>
      <c r="AI725" s="296" t="s">
        <v>1351</v>
      </c>
      <c r="AJ725" s="303" t="s">
        <v>136</v>
      </c>
      <c r="AK725" s="291">
        <v>3</v>
      </c>
      <c r="AL725" s="123" t="s">
        <v>474</v>
      </c>
      <c r="AM725" s="123" t="s">
        <v>460</v>
      </c>
      <c r="AN725" s="130"/>
      <c r="AO725" s="130"/>
      <c r="AP725" s="115"/>
      <c r="AQ725" s="115"/>
      <c r="AR725" s="115"/>
      <c r="AS725" s="115"/>
      <c r="AT725" s="115"/>
    </row>
    <row r="726" spans="1:46" ht="39" customHeight="1" x14ac:dyDescent="0.25">
      <c r="A726" s="1468">
        <v>725</v>
      </c>
      <c r="B726" s="141">
        <v>3</v>
      </c>
      <c r="C726" s="356" t="s">
        <v>290</v>
      </c>
      <c r="D726" s="241" t="s">
        <v>134</v>
      </c>
      <c r="E726" s="241"/>
      <c r="F726" s="241"/>
      <c r="G726" s="261" t="s">
        <v>291</v>
      </c>
      <c r="H726" s="262" t="s">
        <v>85</v>
      </c>
      <c r="I726" s="346"/>
      <c r="J726" s="245" t="s">
        <v>556</v>
      </c>
      <c r="K726" s="288" t="s">
        <v>158</v>
      </c>
      <c r="L726" s="288" t="s">
        <v>3678</v>
      </c>
      <c r="M726" s="288" t="s">
        <v>3678</v>
      </c>
      <c r="N726" s="281" t="s">
        <v>4217</v>
      </c>
      <c r="O726" s="1392" t="s">
        <v>3759</v>
      </c>
      <c r="P726" s="684"/>
      <c r="Q726" s="282" t="s">
        <v>87</v>
      </c>
      <c r="R726" s="1003" t="s">
        <v>3758</v>
      </c>
      <c r="S726" s="279">
        <v>37355</v>
      </c>
      <c r="T726" s="684"/>
      <c r="U726" s="251" t="s">
        <v>54</v>
      </c>
      <c r="V726" s="197" t="s">
        <v>4578</v>
      </c>
      <c r="W726" s="250" t="s">
        <v>384</v>
      </c>
      <c r="X726" s="250" t="s">
        <v>5135</v>
      </c>
      <c r="Y726" s="197" t="s">
        <v>4604</v>
      </c>
      <c r="Z726" s="246">
        <v>45237</v>
      </c>
      <c r="AA726" s="246"/>
      <c r="AB726" s="288" t="s">
        <v>4328</v>
      </c>
      <c r="AC726" s="223" t="s">
        <v>946</v>
      </c>
      <c r="AD726" s="299" t="s">
        <v>467</v>
      </c>
      <c r="AE726" s="494">
        <v>45113</v>
      </c>
      <c r="AF726" s="494">
        <v>45478</v>
      </c>
      <c r="AG726" s="1392"/>
      <c r="AH726" s="283"/>
      <c r="AI726" s="296" t="s">
        <v>1351</v>
      </c>
      <c r="AJ726" s="303" t="s">
        <v>136</v>
      </c>
      <c r="AK726" s="241">
        <v>4</v>
      </c>
      <c r="AL726" s="123" t="s">
        <v>474</v>
      </c>
      <c r="AM726" s="123" t="s">
        <v>460</v>
      </c>
      <c r="AN726" s="110" t="s">
        <v>4184</v>
      </c>
      <c r="AO726" s="130"/>
      <c r="AP726" s="115"/>
      <c r="AQ726" s="115"/>
      <c r="AR726" s="115"/>
      <c r="AS726" s="115"/>
      <c r="AT726" s="115"/>
    </row>
    <row r="727" spans="1:46" ht="39" customHeight="1" x14ac:dyDescent="0.25">
      <c r="A727" s="1468">
        <v>726</v>
      </c>
      <c r="B727" s="141">
        <v>3</v>
      </c>
      <c r="C727" s="358" t="s">
        <v>297</v>
      </c>
      <c r="D727" s="241" t="s">
        <v>134</v>
      </c>
      <c r="E727" s="241"/>
      <c r="F727" s="241"/>
      <c r="G727" s="261" t="s">
        <v>298</v>
      </c>
      <c r="H727" s="262" t="s">
        <v>85</v>
      </c>
      <c r="I727" s="346"/>
      <c r="J727" s="245" t="s">
        <v>556</v>
      </c>
      <c r="K727" s="288" t="s">
        <v>158</v>
      </c>
      <c r="L727" s="288" t="s">
        <v>3678</v>
      </c>
      <c r="M727" s="288" t="s">
        <v>3678</v>
      </c>
      <c r="N727" s="281" t="s">
        <v>4217</v>
      </c>
      <c r="O727" s="1392" t="s">
        <v>3767</v>
      </c>
      <c r="P727" s="627"/>
      <c r="Q727" s="594" t="s">
        <v>85</v>
      </c>
      <c r="R727" s="1003" t="s">
        <v>3766</v>
      </c>
      <c r="S727" s="279">
        <v>37594</v>
      </c>
      <c r="T727" s="289"/>
      <c r="U727" s="251" t="s">
        <v>54</v>
      </c>
      <c r="V727" s="245" t="s">
        <v>4730</v>
      </c>
      <c r="W727" s="250" t="s">
        <v>384</v>
      </c>
      <c r="X727" s="250" t="s">
        <v>5135</v>
      </c>
      <c r="Y727" s="197" t="s">
        <v>4808</v>
      </c>
      <c r="Z727" s="246">
        <v>45243</v>
      </c>
      <c r="AA727" s="246"/>
      <c r="AB727" s="288" t="s">
        <v>4256</v>
      </c>
      <c r="AC727" s="223" t="s">
        <v>946</v>
      </c>
      <c r="AD727" s="299" t="s">
        <v>467</v>
      </c>
      <c r="AE727" s="494">
        <v>45105</v>
      </c>
      <c r="AF727" s="494">
        <v>45470</v>
      </c>
      <c r="AG727" s="1392"/>
      <c r="AH727" s="283"/>
      <c r="AI727" s="296" t="s">
        <v>1351</v>
      </c>
      <c r="AJ727" s="303" t="s">
        <v>136</v>
      </c>
      <c r="AK727" s="241">
        <v>4</v>
      </c>
      <c r="AL727" s="123" t="s">
        <v>474</v>
      </c>
      <c r="AM727" s="123" t="s">
        <v>460</v>
      </c>
      <c r="AN727" s="130"/>
      <c r="AO727" s="130"/>
      <c r="AP727" s="115"/>
      <c r="AQ727" s="115"/>
      <c r="AR727" s="115"/>
      <c r="AS727" s="115"/>
      <c r="AT727" s="116"/>
    </row>
    <row r="728" spans="1:46" ht="39" customHeight="1" x14ac:dyDescent="0.25">
      <c r="A728" s="1468">
        <v>727</v>
      </c>
      <c r="B728" s="141">
        <v>2</v>
      </c>
      <c r="C728" s="260" t="s">
        <v>311</v>
      </c>
      <c r="D728" s="241"/>
      <c r="E728" s="241"/>
      <c r="F728" s="241"/>
      <c r="G728" s="261" t="s">
        <v>312</v>
      </c>
      <c r="H728" s="262" t="s">
        <v>85</v>
      </c>
      <c r="I728" s="346"/>
      <c r="J728" s="245" t="s">
        <v>556</v>
      </c>
      <c r="K728" s="197"/>
      <c r="L728" s="299" t="s">
        <v>3956</v>
      </c>
      <c r="M728" s="299" t="s">
        <v>3956</v>
      </c>
      <c r="N728" s="245"/>
      <c r="O728" s="392" t="s">
        <v>4073</v>
      </c>
      <c r="P728" s="627"/>
      <c r="Q728" s="594" t="s">
        <v>293</v>
      </c>
      <c r="R728" s="999" t="s">
        <v>4213</v>
      </c>
      <c r="S728" s="279">
        <v>38093</v>
      </c>
      <c r="T728" s="289"/>
      <c r="U728" s="251" t="s">
        <v>54</v>
      </c>
      <c r="V728" s="245" t="s">
        <v>5800</v>
      </c>
      <c r="W728" s="250" t="s">
        <v>3478</v>
      </c>
      <c r="X728" s="197" t="s">
        <v>475</v>
      </c>
      <c r="Y728" s="949" t="s">
        <v>5799</v>
      </c>
      <c r="Z728" s="246">
        <v>45286</v>
      </c>
      <c r="AA728" s="281"/>
      <c r="AB728" s="288" t="s">
        <v>4396</v>
      </c>
      <c r="AC728" s="223" t="s">
        <v>946</v>
      </c>
      <c r="AD728" s="245"/>
      <c r="AE728" s="494">
        <v>45111</v>
      </c>
      <c r="AF728" s="494">
        <v>45476</v>
      </c>
      <c r="AG728" s="241"/>
      <c r="AH728" s="253"/>
      <c r="AI728" s="284" t="s">
        <v>1351</v>
      </c>
      <c r="AJ728" s="303" t="s">
        <v>136</v>
      </c>
      <c r="AK728" s="241">
        <v>4</v>
      </c>
      <c r="AL728" s="123" t="s">
        <v>474</v>
      </c>
      <c r="AM728" s="123" t="s">
        <v>460</v>
      </c>
      <c r="AN728" s="130"/>
      <c r="AO728" s="130"/>
      <c r="AP728" s="115"/>
      <c r="AQ728" s="115"/>
      <c r="AR728" s="115"/>
      <c r="AS728" s="115"/>
      <c r="AT728" s="115"/>
    </row>
    <row r="729" spans="1:46" ht="39" customHeight="1" x14ac:dyDescent="0.25">
      <c r="A729" s="1468">
        <v>728</v>
      </c>
      <c r="B729" s="141">
        <v>2</v>
      </c>
      <c r="C729" s="260" t="s">
        <v>317</v>
      </c>
      <c r="D729" s="241"/>
      <c r="E729" s="241"/>
      <c r="F729" s="241"/>
      <c r="G729" s="261" t="s">
        <v>318</v>
      </c>
      <c r="H729" s="262" t="s">
        <v>87</v>
      </c>
      <c r="I729" s="357"/>
      <c r="J729" s="245" t="s">
        <v>561</v>
      </c>
      <c r="K729" s="288"/>
      <c r="L729" s="288" t="s">
        <v>5144</v>
      </c>
      <c r="M729" s="288" t="s">
        <v>5144</v>
      </c>
      <c r="N729" s="281"/>
      <c r="O729" s="1392" t="s">
        <v>5222</v>
      </c>
      <c r="P729" s="374"/>
      <c r="Q729" s="380" t="s">
        <v>87</v>
      </c>
      <c r="R729" s="1003" t="s">
        <v>5176</v>
      </c>
      <c r="S729" s="279">
        <v>37348</v>
      </c>
      <c r="T729" s="257"/>
      <c r="U729" s="251" t="s">
        <v>54</v>
      </c>
      <c r="V729" s="245" t="s">
        <v>5171</v>
      </c>
      <c r="W729" s="250" t="s">
        <v>295</v>
      </c>
      <c r="X729" s="197"/>
      <c r="Y729" s="981" t="s">
        <v>5829</v>
      </c>
      <c r="Z729" s="246">
        <v>45260</v>
      </c>
      <c r="AA729" s="246"/>
      <c r="AB729" s="288" t="s">
        <v>5270</v>
      </c>
      <c r="AC729" s="223" t="s">
        <v>946</v>
      </c>
      <c r="AD729" s="245" t="s">
        <v>467</v>
      </c>
      <c r="AE729" s="494">
        <v>110999</v>
      </c>
      <c r="AF729" s="494">
        <v>111364</v>
      </c>
      <c r="AG729" s="1392"/>
      <c r="AH729" s="283"/>
      <c r="AI729" s="296" t="s">
        <v>4208</v>
      </c>
      <c r="AJ729" s="303" t="s">
        <v>136</v>
      </c>
      <c r="AK729" s="241">
        <v>4</v>
      </c>
      <c r="AL729" s="123" t="s">
        <v>474</v>
      </c>
      <c r="AM729" s="123" t="s">
        <v>460</v>
      </c>
      <c r="AN729" s="110"/>
      <c r="AO729" s="110"/>
      <c r="AP729" s="115"/>
      <c r="AQ729" s="115"/>
      <c r="AR729" s="115"/>
      <c r="AS729" s="115"/>
      <c r="AT729" s="115"/>
    </row>
    <row r="730" spans="1:46" ht="39" customHeight="1" x14ac:dyDescent="0.25">
      <c r="A730" s="1468">
        <v>729</v>
      </c>
      <c r="B730" s="146">
        <v>2</v>
      </c>
      <c r="C730" s="260" t="s">
        <v>319</v>
      </c>
      <c r="D730" s="241"/>
      <c r="E730" s="241"/>
      <c r="F730" s="241"/>
      <c r="G730" s="261" t="s">
        <v>320</v>
      </c>
      <c r="H730" s="262" t="s">
        <v>87</v>
      </c>
      <c r="I730" s="357"/>
      <c r="J730" s="245" t="s">
        <v>561</v>
      </c>
      <c r="K730" s="305"/>
      <c r="L730" s="281" t="s">
        <v>1676</v>
      </c>
      <c r="M730" s="281" t="s">
        <v>1508</v>
      </c>
      <c r="N730" s="366"/>
      <c r="O730" s="392" t="s">
        <v>3011</v>
      </c>
      <c r="P730" s="402"/>
      <c r="Q730" s="282" t="s">
        <v>87</v>
      </c>
      <c r="R730" s="381" t="s">
        <v>1771</v>
      </c>
      <c r="S730" s="279" t="s">
        <v>4754</v>
      </c>
      <c r="T730" s="197"/>
      <c r="U730" s="251" t="s">
        <v>54</v>
      </c>
      <c r="V730" s="245" t="s">
        <v>5800</v>
      </c>
      <c r="W730" s="250" t="s">
        <v>3478</v>
      </c>
      <c r="X730" s="197" t="s">
        <v>475</v>
      </c>
      <c r="Y730" s="949" t="s">
        <v>5799</v>
      </c>
      <c r="Z730" s="246">
        <v>45286</v>
      </c>
      <c r="AA730" s="246"/>
      <c r="AB730" s="296" t="s">
        <v>4397</v>
      </c>
      <c r="AC730" s="223" t="s">
        <v>946</v>
      </c>
      <c r="AD730" s="376"/>
      <c r="AE730" s="494" t="s">
        <v>4345</v>
      </c>
      <c r="AF730" s="494">
        <v>45478</v>
      </c>
      <c r="AG730" s="241"/>
      <c r="AH730" s="283"/>
      <c r="AI730" s="254" t="s">
        <v>1351</v>
      </c>
      <c r="AJ730" s="303" t="s">
        <v>136</v>
      </c>
      <c r="AK730" s="241">
        <v>4</v>
      </c>
      <c r="AL730" s="123" t="s">
        <v>474</v>
      </c>
      <c r="AM730" s="123" t="s">
        <v>460</v>
      </c>
      <c r="AN730" s="110"/>
      <c r="AO730" s="110"/>
      <c r="AP730" s="115"/>
      <c r="AQ730" s="115"/>
      <c r="AR730" s="115"/>
      <c r="AS730" s="115"/>
      <c r="AT730" s="116"/>
    </row>
    <row r="731" spans="1:46" ht="39" customHeight="1" x14ac:dyDescent="0.25">
      <c r="A731" s="1468">
        <v>730</v>
      </c>
      <c r="B731" s="141">
        <v>2</v>
      </c>
      <c r="C731" s="378" t="s">
        <v>321</v>
      </c>
      <c r="D731" s="303"/>
      <c r="E731" s="241"/>
      <c r="F731" s="241"/>
      <c r="G731" s="261" t="s">
        <v>322</v>
      </c>
      <c r="H731" s="262" t="s">
        <v>87</v>
      </c>
      <c r="I731" s="357"/>
      <c r="J731" s="245" t="s">
        <v>561</v>
      </c>
      <c r="K731" s="216"/>
      <c r="L731" s="301" t="s">
        <v>1678</v>
      </c>
      <c r="M731" s="301" t="s">
        <v>991</v>
      </c>
      <c r="N731" s="245"/>
      <c r="O731" s="392" t="s">
        <v>2938</v>
      </c>
      <c r="P731" s="294"/>
      <c r="Q731" s="301" t="s">
        <v>293</v>
      </c>
      <c r="R731" s="427" t="s">
        <v>1354</v>
      </c>
      <c r="S731" s="279">
        <v>37739</v>
      </c>
      <c r="T731" s="197"/>
      <c r="U731" s="251" t="s">
        <v>54</v>
      </c>
      <c r="V731" s="245" t="s">
        <v>4730</v>
      </c>
      <c r="W731" s="250" t="s">
        <v>384</v>
      </c>
      <c r="X731" s="250" t="s">
        <v>5135</v>
      </c>
      <c r="Y731" s="197" t="s">
        <v>4808</v>
      </c>
      <c r="Z731" s="246">
        <v>45243</v>
      </c>
      <c r="AA731" s="252"/>
      <c r="AB731" s="197" t="s">
        <v>4397</v>
      </c>
      <c r="AC731" s="223" t="s">
        <v>4226</v>
      </c>
      <c r="AD731" s="281"/>
      <c r="AE731" s="494">
        <v>45070</v>
      </c>
      <c r="AF731" s="494">
        <v>45435</v>
      </c>
      <c r="AG731" s="241"/>
      <c r="AH731" s="283"/>
      <c r="AI731" s="254" t="s">
        <v>1351</v>
      </c>
      <c r="AJ731" s="303" t="s">
        <v>136</v>
      </c>
      <c r="AK731" s="241">
        <v>4</v>
      </c>
      <c r="AL731" s="123" t="s">
        <v>474</v>
      </c>
      <c r="AM731" s="123" t="s">
        <v>460</v>
      </c>
      <c r="AN731" s="110"/>
      <c r="AO731" s="110"/>
      <c r="AP731" s="115"/>
      <c r="AQ731" s="115"/>
      <c r="AR731" s="115"/>
      <c r="AS731" s="115"/>
      <c r="AT731" s="115"/>
    </row>
    <row r="732" spans="1:46" ht="39" customHeight="1" x14ac:dyDescent="0.25">
      <c r="A732" s="1468">
        <v>731</v>
      </c>
      <c r="B732" s="141">
        <v>1</v>
      </c>
      <c r="C732" s="378" t="s">
        <v>323</v>
      </c>
      <c r="D732" s="303"/>
      <c r="E732" s="241"/>
      <c r="F732" s="241"/>
      <c r="G732" s="261" t="s">
        <v>324</v>
      </c>
      <c r="H732" s="262" t="s">
        <v>87</v>
      </c>
      <c r="I732" s="357"/>
      <c r="J732" s="245" t="s">
        <v>561</v>
      </c>
      <c r="K732" s="257"/>
      <c r="L732" s="301"/>
      <c r="M732" s="301" t="s">
        <v>1824</v>
      </c>
      <c r="N732" s="299"/>
      <c r="O732" s="216" t="s">
        <v>1823</v>
      </c>
      <c r="P732" s="300"/>
      <c r="Q732" s="344" t="s">
        <v>567</v>
      </c>
      <c r="R732" s="982" t="s">
        <v>1822</v>
      </c>
      <c r="S732" s="279">
        <v>37904</v>
      </c>
      <c r="T732" s="289"/>
      <c r="U732" s="250"/>
      <c r="V732" s="197"/>
      <c r="W732" s="197"/>
      <c r="X732" s="197"/>
      <c r="Y732" s="949"/>
      <c r="Z732" s="246"/>
      <c r="AA732" s="289"/>
      <c r="AB732" s="299"/>
      <c r="AC732" s="223"/>
      <c r="AD732" s="281" t="s">
        <v>1862</v>
      </c>
      <c r="AE732" s="494"/>
      <c r="AF732" s="494"/>
      <c r="AG732" s="299"/>
      <c r="AH732" s="299"/>
      <c r="AI732" s="296"/>
      <c r="AJ732" s="348" t="s">
        <v>560</v>
      </c>
      <c r="AK732" s="241">
        <v>4</v>
      </c>
      <c r="AL732" s="123" t="s">
        <v>474</v>
      </c>
      <c r="AM732" s="123" t="s">
        <v>460</v>
      </c>
      <c r="AN732" s="110"/>
      <c r="AO732" s="110"/>
      <c r="AP732" s="115"/>
      <c r="AQ732" s="115"/>
      <c r="AR732" s="115"/>
      <c r="AS732" s="115"/>
      <c r="AT732" s="115"/>
    </row>
    <row r="733" spans="1:46" ht="39" customHeight="1" x14ac:dyDescent="0.25">
      <c r="A733" s="1468">
        <v>732</v>
      </c>
      <c r="B733" s="141">
        <v>1</v>
      </c>
      <c r="C733" s="503" t="s">
        <v>325</v>
      </c>
      <c r="D733" s="471"/>
      <c r="E733" s="471"/>
      <c r="F733" s="471"/>
      <c r="G733" s="472" t="s">
        <v>324</v>
      </c>
      <c r="H733" s="1302" t="s">
        <v>87</v>
      </c>
      <c r="I733" s="473"/>
      <c r="J733" s="264" t="s">
        <v>561</v>
      </c>
      <c r="K733" s="265"/>
      <c r="L733" s="288" t="s">
        <v>5144</v>
      </c>
      <c r="M733" s="288" t="s">
        <v>5144</v>
      </c>
      <c r="N733" s="264"/>
      <c r="O733" s="1392" t="s">
        <v>5223</v>
      </c>
      <c r="P733" s="1037"/>
      <c r="Q733" s="380" t="s">
        <v>87</v>
      </c>
      <c r="R733" s="1003" t="s">
        <v>5177</v>
      </c>
      <c r="S733" s="279">
        <v>37746</v>
      </c>
      <c r="T733" s="268"/>
      <c r="U733" s="251" t="s">
        <v>54</v>
      </c>
      <c r="V733" s="245" t="s">
        <v>5171</v>
      </c>
      <c r="W733" s="250" t="s">
        <v>295</v>
      </c>
      <c r="X733" s="197"/>
      <c r="Y733" s="981" t="s">
        <v>5829</v>
      </c>
      <c r="Z733" s="246">
        <v>45260</v>
      </c>
      <c r="AA733" s="405"/>
      <c r="AB733" s="288" t="s">
        <v>5271</v>
      </c>
      <c r="AC733" s="223" t="s">
        <v>946</v>
      </c>
      <c r="AD733" s="245" t="s">
        <v>467</v>
      </c>
      <c r="AE733" s="494">
        <v>45257</v>
      </c>
      <c r="AF733" s="494">
        <v>45622</v>
      </c>
      <c r="AG733" s="471"/>
      <c r="AH733" s="585"/>
      <c r="AI733" s="296" t="s">
        <v>4208</v>
      </c>
      <c r="AJ733" s="303" t="s">
        <v>136</v>
      </c>
      <c r="AK733" s="471">
        <v>4</v>
      </c>
      <c r="AL733" s="176" t="s">
        <v>474</v>
      </c>
      <c r="AM733" s="176" t="s">
        <v>460</v>
      </c>
      <c r="AN733" s="110"/>
      <c r="AO733" s="179"/>
      <c r="AP733" s="115"/>
      <c r="AQ733" s="115"/>
      <c r="AR733" s="115"/>
      <c r="AS733" s="115"/>
      <c r="AT733" s="115"/>
    </row>
    <row r="734" spans="1:46" ht="39" customHeight="1" x14ac:dyDescent="0.25">
      <c r="A734" s="1468">
        <v>733</v>
      </c>
      <c r="B734" s="987"/>
      <c r="C734" s="989"/>
      <c r="D734" s="664"/>
      <c r="E734" s="664"/>
      <c r="F734" s="664"/>
      <c r="G734" s="227"/>
      <c r="H734" s="228"/>
      <c r="I734" s="228"/>
      <c r="J734" s="229"/>
      <c r="K734" s="227"/>
      <c r="L734" s="229"/>
      <c r="M734" s="229"/>
      <c r="N734" s="229"/>
      <c r="O734" s="309"/>
      <c r="P734" s="230" t="s">
        <v>326</v>
      </c>
      <c r="Q734" s="664"/>
      <c r="R734" s="324"/>
      <c r="S734" s="279"/>
      <c r="T734" s="232"/>
      <c r="U734" s="250"/>
      <c r="V734" s="232"/>
      <c r="W734" s="232"/>
      <c r="X734" s="232"/>
      <c r="Y734" s="232"/>
      <c r="Z734" s="233"/>
      <c r="AA734" s="234"/>
      <c r="AB734" s="235"/>
      <c r="AC734" s="236"/>
      <c r="AD734" s="235"/>
      <c r="AE734" s="494"/>
      <c r="AF734" s="494"/>
      <c r="AG734" s="664"/>
      <c r="AH734" s="238"/>
      <c r="AI734" s="239"/>
      <c r="AJ734" s="576"/>
      <c r="AK734" s="664"/>
      <c r="AL734" s="113"/>
      <c r="AM734" s="113"/>
      <c r="AN734" s="113"/>
      <c r="AO734" s="114"/>
      <c r="AP734" s="115"/>
      <c r="AQ734" s="115"/>
      <c r="AR734" s="115"/>
      <c r="AS734" s="115"/>
      <c r="AT734" s="116"/>
    </row>
    <row r="735" spans="1:46" ht="39" customHeight="1" x14ac:dyDescent="0.25">
      <c r="A735" s="1468">
        <v>734</v>
      </c>
      <c r="B735" s="146">
        <v>5</v>
      </c>
      <c r="C735" s="497" t="s">
        <v>288</v>
      </c>
      <c r="D735" s="498"/>
      <c r="E735" s="498" t="s">
        <v>47</v>
      </c>
      <c r="F735" s="498"/>
      <c r="G735" s="499" t="s">
        <v>289</v>
      </c>
      <c r="H735" s="896" t="s">
        <v>132</v>
      </c>
      <c r="I735" s="709">
        <v>144</v>
      </c>
      <c r="J735" s="734">
        <v>403</v>
      </c>
      <c r="K735" s="756" t="s">
        <v>313</v>
      </c>
      <c r="L735" s="756" t="s">
        <v>3678</v>
      </c>
      <c r="M735" s="756" t="s">
        <v>3678</v>
      </c>
      <c r="N735" s="441" t="s">
        <v>4217</v>
      </c>
      <c r="O735" s="1375" t="s">
        <v>3844</v>
      </c>
      <c r="P735" s="484"/>
      <c r="Q735" s="487" t="s">
        <v>87</v>
      </c>
      <c r="R735" s="1395" t="s">
        <v>3843</v>
      </c>
      <c r="S735" s="279">
        <v>37952</v>
      </c>
      <c r="T735" s="715" t="s">
        <v>66</v>
      </c>
      <c r="U735" s="251" t="s">
        <v>54</v>
      </c>
      <c r="V735" s="245" t="s">
        <v>5800</v>
      </c>
      <c r="W735" s="250" t="s">
        <v>3478</v>
      </c>
      <c r="X735" s="197" t="s">
        <v>475</v>
      </c>
      <c r="Y735" s="949" t="s">
        <v>5799</v>
      </c>
      <c r="Z735" s="246">
        <v>45286</v>
      </c>
      <c r="AA735" s="276"/>
      <c r="AB735" s="756" t="s">
        <v>4325</v>
      </c>
      <c r="AC735" s="488" t="s">
        <v>946</v>
      </c>
      <c r="AD735" s="412" t="s">
        <v>467</v>
      </c>
      <c r="AE735" s="494">
        <v>45105</v>
      </c>
      <c r="AF735" s="494">
        <v>45470</v>
      </c>
      <c r="AG735" s="487"/>
      <c r="AH735" s="489"/>
      <c r="AI735" s="721" t="s">
        <v>1351</v>
      </c>
      <c r="AJ735" s="507" t="s">
        <v>136</v>
      </c>
      <c r="AK735" s="491">
        <v>3</v>
      </c>
      <c r="AL735" s="175" t="s">
        <v>474</v>
      </c>
      <c r="AM735" s="175" t="s">
        <v>460</v>
      </c>
      <c r="AN735" s="130"/>
      <c r="AO735" s="177"/>
      <c r="AP735" s="115"/>
      <c r="AQ735" s="115"/>
      <c r="AR735" s="115"/>
      <c r="AS735" s="115"/>
      <c r="AT735" s="115"/>
    </row>
    <row r="736" spans="1:46" ht="39" customHeight="1" x14ac:dyDescent="0.25">
      <c r="A736" s="1468">
        <v>735</v>
      </c>
      <c r="B736" s="141">
        <v>3</v>
      </c>
      <c r="C736" s="356" t="s">
        <v>290</v>
      </c>
      <c r="D736" s="241" t="s">
        <v>134</v>
      </c>
      <c r="E736" s="241"/>
      <c r="F736" s="241"/>
      <c r="G736" s="261" t="s">
        <v>291</v>
      </c>
      <c r="H736" s="262" t="s">
        <v>85</v>
      </c>
      <c r="I736" s="357"/>
      <c r="J736" s="245" t="s">
        <v>556</v>
      </c>
      <c r="K736" s="288" t="s">
        <v>158</v>
      </c>
      <c r="L736" s="288" t="s">
        <v>3678</v>
      </c>
      <c r="M736" s="288" t="s">
        <v>3678</v>
      </c>
      <c r="N736" s="281" t="s">
        <v>4217</v>
      </c>
      <c r="O736" s="1392" t="s">
        <v>3765</v>
      </c>
      <c r="P736" s="684"/>
      <c r="Q736" s="594" t="s">
        <v>293</v>
      </c>
      <c r="R736" s="1201" t="s">
        <v>3764</v>
      </c>
      <c r="S736" s="279">
        <v>37711</v>
      </c>
      <c r="T736" s="684"/>
      <c r="U736" s="251" t="s">
        <v>54</v>
      </c>
      <c r="V736" s="197" t="s">
        <v>4578</v>
      </c>
      <c r="W736" s="250" t="s">
        <v>384</v>
      </c>
      <c r="X736" s="250" t="s">
        <v>5135</v>
      </c>
      <c r="Y736" s="197" t="s">
        <v>4604</v>
      </c>
      <c r="Z736" s="246">
        <v>45237</v>
      </c>
      <c r="AA736" s="246"/>
      <c r="AB736" s="288" t="s">
        <v>4286</v>
      </c>
      <c r="AC736" s="223" t="s">
        <v>946</v>
      </c>
      <c r="AD736" s="299" t="s">
        <v>467</v>
      </c>
      <c r="AE736" s="494">
        <v>45113</v>
      </c>
      <c r="AF736" s="494">
        <v>45478</v>
      </c>
      <c r="AG736" s="1392"/>
      <c r="AH736" s="283"/>
      <c r="AI736" s="296" t="s">
        <v>1351</v>
      </c>
      <c r="AJ736" s="303" t="s">
        <v>136</v>
      </c>
      <c r="AK736" s="241">
        <v>4</v>
      </c>
      <c r="AL736" s="123" t="s">
        <v>474</v>
      </c>
      <c r="AM736" s="123" t="s">
        <v>460</v>
      </c>
      <c r="AN736" s="110" t="s">
        <v>4184</v>
      </c>
      <c r="AO736" s="110"/>
      <c r="AP736" s="115"/>
      <c r="AQ736" s="115"/>
      <c r="AR736" s="115"/>
      <c r="AS736" s="115"/>
      <c r="AT736" s="115"/>
    </row>
    <row r="737" spans="1:46" ht="39" customHeight="1" x14ac:dyDescent="0.25">
      <c r="A737" s="1468">
        <v>736</v>
      </c>
      <c r="B737" s="141">
        <v>3</v>
      </c>
      <c r="C737" s="358" t="s">
        <v>297</v>
      </c>
      <c r="D737" s="241" t="s">
        <v>134</v>
      </c>
      <c r="E737" s="241"/>
      <c r="F737" s="241"/>
      <c r="G737" s="261" t="s">
        <v>298</v>
      </c>
      <c r="H737" s="262" t="s">
        <v>85</v>
      </c>
      <c r="I737" s="357"/>
      <c r="J737" s="245" t="s">
        <v>556</v>
      </c>
      <c r="K737" s="595"/>
      <c r="L737" s="299" t="s">
        <v>5415</v>
      </c>
      <c r="M737" s="288" t="s">
        <v>5415</v>
      </c>
      <c r="N737" s="366"/>
      <c r="O737" s="1459" t="s">
        <v>5455</v>
      </c>
      <c r="P737" s="402"/>
      <c r="Q737" s="197" t="s">
        <v>87</v>
      </c>
      <c r="R737" s="682" t="s">
        <v>5454</v>
      </c>
      <c r="S737" s="279">
        <v>38638</v>
      </c>
      <c r="T737" s="197"/>
      <c r="U737" s="251" t="s">
        <v>54</v>
      </c>
      <c r="V737" s="299" t="s">
        <v>5415</v>
      </c>
      <c r="W737" s="197" t="s">
        <v>295</v>
      </c>
      <c r="X737" s="197"/>
      <c r="Y737" s="197" t="s">
        <v>5500</v>
      </c>
      <c r="Z737" s="246">
        <v>45266</v>
      </c>
      <c r="AA737" s="246"/>
      <c r="AB737" s="296" t="s">
        <v>5457</v>
      </c>
      <c r="AC737" s="223" t="s">
        <v>482</v>
      </c>
      <c r="AD737" s="376"/>
      <c r="AE737" s="494">
        <v>45261</v>
      </c>
      <c r="AF737" s="494">
        <v>45626</v>
      </c>
      <c r="AG737" s="241"/>
      <c r="AH737" s="283"/>
      <c r="AI737" s="307" t="s">
        <v>4208</v>
      </c>
      <c r="AJ737" s="303" t="s">
        <v>136</v>
      </c>
      <c r="AK737" s="241">
        <v>4</v>
      </c>
      <c r="AL737" s="123" t="s">
        <v>474</v>
      </c>
      <c r="AM737" s="123" t="s">
        <v>460</v>
      </c>
      <c r="AN737" s="110"/>
      <c r="AO737" s="110"/>
      <c r="AP737" s="115"/>
      <c r="AQ737" s="115"/>
      <c r="AR737" s="115"/>
      <c r="AS737" s="115"/>
      <c r="AT737" s="116"/>
    </row>
    <row r="738" spans="1:46" ht="39" customHeight="1" x14ac:dyDescent="0.25">
      <c r="A738" s="1468">
        <v>737</v>
      </c>
      <c r="B738" s="141">
        <v>2</v>
      </c>
      <c r="C738" s="260" t="s">
        <v>311</v>
      </c>
      <c r="D738" s="241"/>
      <c r="E738" s="241"/>
      <c r="F738" s="241"/>
      <c r="G738" s="261" t="s">
        <v>312</v>
      </c>
      <c r="H738" s="262" t="s">
        <v>85</v>
      </c>
      <c r="I738" s="357"/>
      <c r="J738" s="245" t="s">
        <v>556</v>
      </c>
      <c r="K738" s="197"/>
      <c r="L738" s="281" t="s">
        <v>1676</v>
      </c>
      <c r="M738" s="281" t="s">
        <v>1508</v>
      </c>
      <c r="N738" s="366"/>
      <c r="O738" s="392" t="s">
        <v>3020</v>
      </c>
      <c r="P738" s="402"/>
      <c r="Q738" s="282" t="s">
        <v>87</v>
      </c>
      <c r="R738" s="999" t="s">
        <v>1773</v>
      </c>
      <c r="S738" s="279" t="s">
        <v>4755</v>
      </c>
      <c r="T738" s="197"/>
      <c r="U738" s="251" t="s">
        <v>54</v>
      </c>
      <c r="V738" s="245" t="s">
        <v>5800</v>
      </c>
      <c r="W738" s="250" t="s">
        <v>3478</v>
      </c>
      <c r="X738" s="197" t="s">
        <v>475</v>
      </c>
      <c r="Y738" s="949" t="s">
        <v>5799</v>
      </c>
      <c r="Z738" s="246">
        <v>45286</v>
      </c>
      <c r="AA738" s="246"/>
      <c r="AB738" s="296" t="s">
        <v>4398</v>
      </c>
      <c r="AC738" s="223" t="s">
        <v>946</v>
      </c>
      <c r="AD738" s="376"/>
      <c r="AE738" s="494" t="s">
        <v>4354</v>
      </c>
      <c r="AF738" s="494">
        <v>45477</v>
      </c>
      <c r="AG738" s="241"/>
      <c r="AH738" s="283"/>
      <c r="AI738" s="254" t="s">
        <v>1351</v>
      </c>
      <c r="AJ738" s="303" t="s">
        <v>136</v>
      </c>
      <c r="AK738" s="241">
        <v>4</v>
      </c>
      <c r="AL738" s="123" t="s">
        <v>474</v>
      </c>
      <c r="AM738" s="123" t="s">
        <v>460</v>
      </c>
      <c r="AN738" s="110"/>
      <c r="AO738" s="110"/>
      <c r="AP738" s="115"/>
      <c r="AQ738" s="115"/>
      <c r="AR738" s="115"/>
      <c r="AS738" s="115"/>
      <c r="AT738" s="115"/>
    </row>
    <row r="739" spans="1:46" ht="39" customHeight="1" x14ac:dyDescent="0.25">
      <c r="A739" s="1468">
        <v>738</v>
      </c>
      <c r="B739" s="141">
        <v>2</v>
      </c>
      <c r="C739" s="260" t="s">
        <v>317</v>
      </c>
      <c r="D739" s="241"/>
      <c r="E739" s="241"/>
      <c r="F739" s="241"/>
      <c r="G739" s="261" t="s">
        <v>318</v>
      </c>
      <c r="H739" s="262" t="s">
        <v>87</v>
      </c>
      <c r="I739" s="357"/>
      <c r="J739" s="245" t="s">
        <v>561</v>
      </c>
      <c r="K739" s="265"/>
      <c r="L739" s="301"/>
      <c r="M739" s="301"/>
      <c r="N739" s="404"/>
      <c r="O739" s="385" t="s">
        <v>5548</v>
      </c>
      <c r="P739" s="325" t="s">
        <v>1411</v>
      </c>
      <c r="Q739" s="373" t="s">
        <v>87</v>
      </c>
      <c r="R739" s="982" t="s">
        <v>5547</v>
      </c>
      <c r="S739" s="279">
        <v>35037</v>
      </c>
      <c r="T739" s="434"/>
      <c r="U739" s="250"/>
      <c r="V739" s="197"/>
      <c r="W739" s="197" t="s">
        <v>3478</v>
      </c>
      <c r="X739" s="401"/>
      <c r="Y739" s="197"/>
      <c r="Z739" s="246"/>
      <c r="AA739" s="289"/>
      <c r="AB739" s="299"/>
      <c r="AC739" s="223"/>
      <c r="AD739" s="299"/>
      <c r="AE739" s="494"/>
      <c r="AF739" s="494"/>
      <c r="AG739" s="299"/>
      <c r="AH739" s="299"/>
      <c r="AI739" s="254"/>
      <c r="AJ739" s="348" t="s">
        <v>560</v>
      </c>
      <c r="AK739" s="241">
        <v>4</v>
      </c>
      <c r="AL739" s="123" t="s">
        <v>474</v>
      </c>
      <c r="AM739" s="123" t="s">
        <v>460</v>
      </c>
      <c r="AN739" s="110"/>
      <c r="AO739" s="110"/>
      <c r="AP739" s="115"/>
      <c r="AQ739" s="115"/>
      <c r="AR739" s="115"/>
      <c r="AS739" s="115"/>
      <c r="AT739" s="115"/>
    </row>
    <row r="740" spans="1:46" ht="39" customHeight="1" x14ac:dyDescent="0.25">
      <c r="A740" s="1468">
        <v>739</v>
      </c>
      <c r="B740" s="146">
        <v>2</v>
      </c>
      <c r="C740" s="260" t="s">
        <v>319</v>
      </c>
      <c r="D740" s="241"/>
      <c r="E740" s="241"/>
      <c r="F740" s="241"/>
      <c r="G740" s="261" t="s">
        <v>320</v>
      </c>
      <c r="H740" s="262" t="s">
        <v>87</v>
      </c>
      <c r="I740" s="357"/>
      <c r="J740" s="245" t="s">
        <v>561</v>
      </c>
      <c r="K740" s="257"/>
      <c r="L740" s="281" t="s">
        <v>1676</v>
      </c>
      <c r="M740" s="281" t="s">
        <v>1508</v>
      </c>
      <c r="N740" s="366"/>
      <c r="O740" s="392" t="s">
        <v>2930</v>
      </c>
      <c r="P740" s="402"/>
      <c r="Q740" s="301" t="s">
        <v>87</v>
      </c>
      <c r="R740" s="682" t="s">
        <v>1756</v>
      </c>
      <c r="S740" s="279">
        <v>38205</v>
      </c>
      <c r="T740" s="197"/>
      <c r="U740" s="251" t="s">
        <v>54</v>
      </c>
      <c r="V740" s="245" t="s">
        <v>5800</v>
      </c>
      <c r="W740" s="250" t="s">
        <v>3478</v>
      </c>
      <c r="X740" s="197" t="s">
        <v>475</v>
      </c>
      <c r="Y740" s="949" t="s">
        <v>5799</v>
      </c>
      <c r="Z740" s="246">
        <v>45286</v>
      </c>
      <c r="AA740" s="246"/>
      <c r="AB740" s="288" t="s">
        <v>4356</v>
      </c>
      <c r="AC740" s="223" t="s">
        <v>946</v>
      </c>
      <c r="AD740" s="376"/>
      <c r="AE740" s="494">
        <v>45112</v>
      </c>
      <c r="AF740" s="494">
        <v>45477</v>
      </c>
      <c r="AG740" s="241"/>
      <c r="AH740" s="283"/>
      <c r="AI740" s="254" t="s">
        <v>1351</v>
      </c>
      <c r="AJ740" s="303" t="s">
        <v>136</v>
      </c>
      <c r="AK740" s="241">
        <v>4</v>
      </c>
      <c r="AL740" s="123" t="s">
        <v>474</v>
      </c>
      <c r="AM740" s="123" t="s">
        <v>460</v>
      </c>
      <c r="AN740" s="110"/>
      <c r="AO740" s="110"/>
      <c r="AP740" s="115"/>
      <c r="AQ740" s="115"/>
      <c r="AR740" s="115"/>
      <c r="AS740" s="115"/>
      <c r="AT740" s="116"/>
    </row>
    <row r="741" spans="1:46" ht="39" customHeight="1" x14ac:dyDescent="0.25">
      <c r="A741" s="1468">
        <v>740</v>
      </c>
      <c r="B741" s="141">
        <v>2</v>
      </c>
      <c r="C741" s="378" t="s">
        <v>321</v>
      </c>
      <c r="D741" s="303"/>
      <c r="E741" s="241"/>
      <c r="F741" s="241"/>
      <c r="G741" s="261" t="s">
        <v>322</v>
      </c>
      <c r="H741" s="262" t="s">
        <v>87</v>
      </c>
      <c r="I741" s="357"/>
      <c r="J741" s="245" t="s">
        <v>561</v>
      </c>
      <c r="K741" s="197"/>
      <c r="L741" s="299" t="s">
        <v>1508</v>
      </c>
      <c r="M741" s="299" t="s">
        <v>1708</v>
      </c>
      <c r="N741" s="245"/>
      <c r="O741" s="392" t="s">
        <v>2935</v>
      </c>
      <c r="P741" s="627"/>
      <c r="Q741" s="594" t="s">
        <v>293</v>
      </c>
      <c r="R741" s="381" t="s">
        <v>1605</v>
      </c>
      <c r="S741" s="279">
        <v>38465</v>
      </c>
      <c r="T741" s="289"/>
      <c r="U741" s="251" t="s">
        <v>54</v>
      </c>
      <c r="V741" s="245" t="s">
        <v>5800</v>
      </c>
      <c r="W741" s="250" t="s">
        <v>3478</v>
      </c>
      <c r="X741" s="197" t="s">
        <v>475</v>
      </c>
      <c r="Y741" s="949" t="s">
        <v>5799</v>
      </c>
      <c r="Z741" s="246">
        <v>45286</v>
      </c>
      <c r="AA741" s="281"/>
      <c r="AB741" s="288"/>
      <c r="AC741" s="223" t="s">
        <v>946</v>
      </c>
      <c r="AD741" s="245"/>
      <c r="AE741" s="494"/>
      <c r="AF741" s="494"/>
      <c r="AG741" s="241"/>
      <c r="AH741" s="253"/>
      <c r="AI741" s="284" t="s">
        <v>1351</v>
      </c>
      <c r="AJ741" s="303" t="s">
        <v>136</v>
      </c>
      <c r="AK741" s="241">
        <v>4</v>
      </c>
      <c r="AL741" s="123" t="s">
        <v>474</v>
      </c>
      <c r="AM741" s="123" t="s">
        <v>460</v>
      </c>
      <c r="AN741" s="110"/>
      <c r="AO741" s="110"/>
      <c r="AP741" s="115"/>
      <c r="AQ741" s="115"/>
      <c r="AR741" s="115"/>
      <c r="AS741" s="115"/>
      <c r="AT741" s="115"/>
    </row>
    <row r="742" spans="1:46" ht="39" customHeight="1" x14ac:dyDescent="0.25">
      <c r="A742" s="1468">
        <v>741</v>
      </c>
      <c r="B742" s="141">
        <v>1</v>
      </c>
      <c r="C742" s="378" t="s">
        <v>323</v>
      </c>
      <c r="D742" s="303"/>
      <c r="E742" s="241"/>
      <c r="F742" s="241"/>
      <c r="G742" s="261" t="s">
        <v>324</v>
      </c>
      <c r="H742" s="262" t="s">
        <v>87</v>
      </c>
      <c r="I742" s="357"/>
      <c r="J742" s="245" t="s">
        <v>561</v>
      </c>
      <c r="K742" s="955"/>
      <c r="L742" s="288" t="s">
        <v>5144</v>
      </c>
      <c r="M742" s="288" t="s">
        <v>5144</v>
      </c>
      <c r="N742" s="953"/>
      <c r="O742" s="1392" t="s">
        <v>5224</v>
      </c>
      <c r="P742" s="956"/>
      <c r="Q742" s="380" t="s">
        <v>87</v>
      </c>
      <c r="R742" s="1003" t="s">
        <v>5178</v>
      </c>
      <c r="S742" s="279">
        <v>36888</v>
      </c>
      <c r="T742" s="302"/>
      <c r="U742" s="251" t="s">
        <v>54</v>
      </c>
      <c r="V742" s="245" t="s">
        <v>5171</v>
      </c>
      <c r="W742" s="250" t="s">
        <v>295</v>
      </c>
      <c r="X742" s="197"/>
      <c r="Y742" s="981" t="s">
        <v>5829</v>
      </c>
      <c r="Z742" s="246">
        <v>45260</v>
      </c>
      <c r="AA742" s="281"/>
      <c r="AB742" s="288" t="s">
        <v>5272</v>
      </c>
      <c r="AC742" s="223" t="s">
        <v>946</v>
      </c>
      <c r="AD742" s="245" t="s">
        <v>467</v>
      </c>
      <c r="AE742" s="494">
        <v>45256</v>
      </c>
      <c r="AF742" s="494">
        <v>45621</v>
      </c>
      <c r="AG742" s="241"/>
      <c r="AH742" s="253"/>
      <c r="AI742" s="296" t="s">
        <v>4208</v>
      </c>
      <c r="AJ742" s="303" t="s">
        <v>136</v>
      </c>
      <c r="AK742" s="241">
        <v>4</v>
      </c>
      <c r="AL742" s="123" t="s">
        <v>474</v>
      </c>
      <c r="AM742" s="123" t="s">
        <v>460</v>
      </c>
      <c r="AN742" s="110"/>
      <c r="AO742" s="110"/>
      <c r="AP742" s="115"/>
      <c r="AQ742" s="115"/>
      <c r="AR742" s="115"/>
      <c r="AS742" s="115"/>
      <c r="AT742" s="115"/>
    </row>
    <row r="743" spans="1:46" ht="39" customHeight="1" x14ac:dyDescent="0.25">
      <c r="A743" s="1468">
        <v>742</v>
      </c>
      <c r="B743" s="141">
        <v>1</v>
      </c>
      <c r="C743" s="503" t="s">
        <v>325</v>
      </c>
      <c r="D743" s="471"/>
      <c r="E743" s="471"/>
      <c r="F743" s="471"/>
      <c r="G743" s="472" t="s">
        <v>324</v>
      </c>
      <c r="H743" s="1302" t="s">
        <v>87</v>
      </c>
      <c r="I743" s="473"/>
      <c r="J743" s="264" t="s">
        <v>561</v>
      </c>
      <c r="K743" s="265"/>
      <c r="L743" s="394" t="s">
        <v>1953</v>
      </c>
      <c r="M743" s="394" t="s">
        <v>1953</v>
      </c>
      <c r="N743" s="264"/>
      <c r="O743" s="626" t="s">
        <v>3143</v>
      </c>
      <c r="P743" s="1037"/>
      <c r="Q743" s="394" t="s">
        <v>293</v>
      </c>
      <c r="R743" s="1378" t="s">
        <v>1952</v>
      </c>
      <c r="S743" s="279"/>
      <c r="T743" s="268"/>
      <c r="U743" s="251" t="s">
        <v>54</v>
      </c>
      <c r="V743" s="396" t="s">
        <v>5948</v>
      </c>
      <c r="W743" s="197" t="s">
        <v>3478</v>
      </c>
      <c r="X743" s="197" t="s">
        <v>475</v>
      </c>
      <c r="Y743" s="981" t="s">
        <v>5949</v>
      </c>
      <c r="Z743" s="440">
        <v>45309</v>
      </c>
      <c r="AA743" s="405"/>
      <c r="AB743" s="481"/>
      <c r="AC743" s="474" t="s">
        <v>946</v>
      </c>
      <c r="AD743" s="481"/>
      <c r="AE743" s="494"/>
      <c r="AF743" s="494"/>
      <c r="AG743" s="471"/>
      <c r="AH743" s="585"/>
      <c r="AI743" s="719" t="s">
        <v>1351</v>
      </c>
      <c r="AJ743" s="470" t="s">
        <v>136</v>
      </c>
      <c r="AK743" s="471">
        <v>4</v>
      </c>
      <c r="AL743" s="176" t="s">
        <v>474</v>
      </c>
      <c r="AM743" s="176" t="s">
        <v>460</v>
      </c>
      <c r="AN743" s="110"/>
      <c r="AO743" s="179"/>
      <c r="AP743" s="115"/>
      <c r="AQ743" s="115"/>
      <c r="AR743" s="115"/>
      <c r="AS743" s="115"/>
      <c r="AT743" s="115"/>
    </row>
    <row r="744" spans="1:46" ht="39" customHeight="1" x14ac:dyDescent="0.25">
      <c r="A744" s="1468">
        <v>743</v>
      </c>
      <c r="B744" s="987"/>
      <c r="C744" s="989"/>
      <c r="D744" s="664"/>
      <c r="E744" s="664"/>
      <c r="F744" s="664"/>
      <c r="G744" s="227"/>
      <c r="H744" s="228"/>
      <c r="I744" s="228"/>
      <c r="J744" s="229"/>
      <c r="K744" s="227"/>
      <c r="L744" s="309"/>
      <c r="M744" s="309"/>
      <c r="N744" s="229"/>
      <c r="O744" s="309"/>
      <c r="P744" s="230" t="s">
        <v>327</v>
      </c>
      <c r="Q744" s="664"/>
      <c r="R744" s="324"/>
      <c r="S744" s="279"/>
      <c r="T744" s="232"/>
      <c r="U744" s="250"/>
      <c r="V744" s="232"/>
      <c r="W744" s="232"/>
      <c r="X744" s="232"/>
      <c r="Y744" s="232"/>
      <c r="Z744" s="233"/>
      <c r="AA744" s="234"/>
      <c r="AB744" s="235"/>
      <c r="AC744" s="236"/>
      <c r="AD744" s="235"/>
      <c r="AE744" s="494"/>
      <c r="AF744" s="494"/>
      <c r="AG744" s="664"/>
      <c r="AH744" s="238"/>
      <c r="AI744" s="239"/>
      <c r="AJ744" s="576"/>
      <c r="AK744" s="664"/>
      <c r="AL744" s="113"/>
      <c r="AM744" s="113"/>
      <c r="AN744" s="113"/>
      <c r="AO744" s="114"/>
      <c r="AP744" s="115"/>
      <c r="AQ744" s="115"/>
      <c r="AR744" s="115"/>
      <c r="AS744" s="115"/>
      <c r="AT744" s="116"/>
    </row>
    <row r="745" spans="1:46" ht="39" customHeight="1" x14ac:dyDescent="0.25">
      <c r="A745" s="1468">
        <v>744</v>
      </c>
      <c r="B745" s="141">
        <v>2</v>
      </c>
      <c r="C745" s="497" t="s">
        <v>288</v>
      </c>
      <c r="D745" s="498"/>
      <c r="E745" s="498" t="s">
        <v>47</v>
      </c>
      <c r="F745" s="498"/>
      <c r="G745" s="499" t="s">
        <v>289</v>
      </c>
      <c r="H745" s="500" t="s">
        <v>132</v>
      </c>
      <c r="I745" s="344">
        <v>144</v>
      </c>
      <c r="J745" s="734">
        <v>403</v>
      </c>
      <c r="K745" s="288" t="s">
        <v>158</v>
      </c>
      <c r="L745" s="288" t="s">
        <v>3678</v>
      </c>
      <c r="M745" s="288" t="s">
        <v>3678</v>
      </c>
      <c r="N745" s="281" t="s">
        <v>4217</v>
      </c>
      <c r="O745" s="1392" t="s">
        <v>3850</v>
      </c>
      <c r="P745" s="372"/>
      <c r="Q745" s="301" t="s">
        <v>293</v>
      </c>
      <c r="R745" s="1201" t="s">
        <v>3849</v>
      </c>
      <c r="S745" s="279">
        <v>37439</v>
      </c>
      <c r="T745" s="250"/>
      <c r="U745" s="251" t="s">
        <v>54</v>
      </c>
      <c r="V745" s="197" t="s">
        <v>4578</v>
      </c>
      <c r="W745" s="250" t="s">
        <v>384</v>
      </c>
      <c r="X745" s="250" t="s">
        <v>5135</v>
      </c>
      <c r="Y745" s="197" t="s">
        <v>4604</v>
      </c>
      <c r="Z745" s="246">
        <v>45237</v>
      </c>
      <c r="AA745" s="252"/>
      <c r="AB745" s="288" t="s">
        <v>4245</v>
      </c>
      <c r="AC745" s="223" t="s">
        <v>946</v>
      </c>
      <c r="AD745" s="299" t="s">
        <v>467</v>
      </c>
      <c r="AE745" s="494">
        <v>45107</v>
      </c>
      <c r="AF745" s="494">
        <v>45472</v>
      </c>
      <c r="AG745" s="241"/>
      <c r="AH745" s="283"/>
      <c r="AI745" s="296" t="s">
        <v>1351</v>
      </c>
      <c r="AJ745" s="303" t="s">
        <v>136</v>
      </c>
      <c r="AK745" s="498">
        <v>3</v>
      </c>
      <c r="AL745" s="175" t="s">
        <v>474</v>
      </c>
      <c r="AM745" s="175" t="s">
        <v>460</v>
      </c>
      <c r="AN745" s="130"/>
      <c r="AO745" s="177"/>
      <c r="AP745" s="115"/>
      <c r="AQ745" s="115"/>
      <c r="AR745" s="115"/>
      <c r="AS745" s="115"/>
      <c r="AT745" s="115"/>
    </row>
    <row r="746" spans="1:46" ht="39" customHeight="1" x14ac:dyDescent="0.25">
      <c r="A746" s="1468">
        <v>745</v>
      </c>
      <c r="B746" s="141">
        <v>3</v>
      </c>
      <c r="C746" s="356" t="s">
        <v>290</v>
      </c>
      <c r="D746" s="241" t="s">
        <v>134</v>
      </c>
      <c r="E746" s="241"/>
      <c r="F746" s="241"/>
      <c r="G746" s="261" t="s">
        <v>291</v>
      </c>
      <c r="H746" s="262" t="s">
        <v>85</v>
      </c>
      <c r="I746" s="346"/>
      <c r="J746" s="245" t="s">
        <v>556</v>
      </c>
      <c r="K746" s="288" t="s">
        <v>158</v>
      </c>
      <c r="L746" s="288" t="s">
        <v>3678</v>
      </c>
      <c r="M746" s="288" t="s">
        <v>3678</v>
      </c>
      <c r="N746" s="281" t="s">
        <v>4217</v>
      </c>
      <c r="O746" s="1392" t="s">
        <v>3755</v>
      </c>
      <c r="P746" s="684"/>
      <c r="Q746" s="594" t="s">
        <v>293</v>
      </c>
      <c r="R746" s="1201" t="s">
        <v>3754</v>
      </c>
      <c r="S746" s="279">
        <v>37802</v>
      </c>
      <c r="T746" s="684"/>
      <c r="U746" s="251" t="s">
        <v>54</v>
      </c>
      <c r="V746" s="197" t="s">
        <v>4214</v>
      </c>
      <c r="W746" s="250" t="s">
        <v>4215</v>
      </c>
      <c r="X746" s="250" t="s">
        <v>5135</v>
      </c>
      <c r="Y746" s="949" t="s">
        <v>4216</v>
      </c>
      <c r="Z746" s="289">
        <v>45234</v>
      </c>
      <c r="AA746" s="246"/>
      <c r="AB746" s="288" t="s">
        <v>4337</v>
      </c>
      <c r="AC746" s="223" t="s">
        <v>946</v>
      </c>
      <c r="AD746" s="299" t="s">
        <v>467</v>
      </c>
      <c r="AE746" s="494">
        <v>45112</v>
      </c>
      <c r="AF746" s="494">
        <v>45477</v>
      </c>
      <c r="AG746" s="1392"/>
      <c r="AH746" s="283"/>
      <c r="AI746" s="296" t="s">
        <v>1351</v>
      </c>
      <c r="AJ746" s="303" t="s">
        <v>136</v>
      </c>
      <c r="AK746" s="241">
        <v>4</v>
      </c>
      <c r="AL746" s="123" t="s">
        <v>474</v>
      </c>
      <c r="AM746" s="123" t="s">
        <v>460</v>
      </c>
      <c r="AN746" s="110" t="s">
        <v>4184</v>
      </c>
      <c r="AO746" s="130"/>
      <c r="AP746" s="115"/>
      <c r="AQ746" s="115"/>
      <c r="AR746" s="115"/>
      <c r="AS746" s="115"/>
      <c r="AT746" s="115"/>
    </row>
    <row r="747" spans="1:46" ht="39" customHeight="1" x14ac:dyDescent="0.25">
      <c r="A747" s="1468">
        <v>746</v>
      </c>
      <c r="B747" s="141">
        <v>3</v>
      </c>
      <c r="C747" s="358" t="s">
        <v>297</v>
      </c>
      <c r="D747" s="241" t="s">
        <v>134</v>
      </c>
      <c r="E747" s="241"/>
      <c r="F747" s="241"/>
      <c r="G747" s="261" t="s">
        <v>298</v>
      </c>
      <c r="H747" s="262" t="s">
        <v>85</v>
      </c>
      <c r="I747" s="346"/>
      <c r="J747" s="245" t="s">
        <v>556</v>
      </c>
      <c r="K747" s="288" t="s">
        <v>158</v>
      </c>
      <c r="L747" s="288" t="s">
        <v>3678</v>
      </c>
      <c r="M747" s="288" t="s">
        <v>3678</v>
      </c>
      <c r="N747" s="281" t="s">
        <v>4217</v>
      </c>
      <c r="O747" s="1392" t="s">
        <v>3757</v>
      </c>
      <c r="P747" s="374"/>
      <c r="Q747" s="594" t="s">
        <v>293</v>
      </c>
      <c r="R747" s="1201" t="s">
        <v>3756</v>
      </c>
      <c r="S747" s="279">
        <v>38008</v>
      </c>
      <c r="T747" s="257"/>
      <c r="U747" s="251" t="s">
        <v>54</v>
      </c>
      <c r="V747" s="245" t="s">
        <v>5800</v>
      </c>
      <c r="W747" s="250" t="s">
        <v>3478</v>
      </c>
      <c r="X747" s="197" t="s">
        <v>475</v>
      </c>
      <c r="Y747" s="949" t="s">
        <v>5799</v>
      </c>
      <c r="Z747" s="246">
        <v>45286</v>
      </c>
      <c r="AA747" s="246"/>
      <c r="AB747" s="288" t="s">
        <v>4235</v>
      </c>
      <c r="AC747" s="223" t="s">
        <v>946</v>
      </c>
      <c r="AD747" s="299" t="s">
        <v>467</v>
      </c>
      <c r="AE747" s="494">
        <v>45103</v>
      </c>
      <c r="AF747" s="494">
        <v>45468</v>
      </c>
      <c r="AG747" s="1392"/>
      <c r="AH747" s="283"/>
      <c r="AI747" s="296" t="s">
        <v>1351</v>
      </c>
      <c r="AJ747" s="303" t="s">
        <v>136</v>
      </c>
      <c r="AK747" s="241">
        <v>4</v>
      </c>
      <c r="AL747" s="123" t="s">
        <v>474</v>
      </c>
      <c r="AM747" s="123" t="s">
        <v>460</v>
      </c>
      <c r="AN747" s="130"/>
      <c r="AO747" s="130"/>
      <c r="AP747" s="115"/>
      <c r="AQ747" s="115"/>
      <c r="AR747" s="115"/>
      <c r="AS747" s="115"/>
      <c r="AT747" s="116"/>
    </row>
    <row r="748" spans="1:46" ht="39" customHeight="1" x14ac:dyDescent="0.25">
      <c r="A748" s="1468">
        <v>747</v>
      </c>
      <c r="B748" s="141">
        <v>2</v>
      </c>
      <c r="C748" s="260" t="s">
        <v>311</v>
      </c>
      <c r="D748" s="241"/>
      <c r="E748" s="241"/>
      <c r="F748" s="241"/>
      <c r="G748" s="261" t="s">
        <v>312</v>
      </c>
      <c r="H748" s="262" t="s">
        <v>85</v>
      </c>
      <c r="I748" s="346"/>
      <c r="J748" s="245" t="s">
        <v>556</v>
      </c>
      <c r="K748" s="955"/>
      <c r="L748" s="281" t="s">
        <v>1676</v>
      </c>
      <c r="M748" s="281" t="s">
        <v>1508</v>
      </c>
      <c r="N748" s="953"/>
      <c r="O748" s="392" t="s">
        <v>3103</v>
      </c>
      <c r="P748" s="956"/>
      <c r="Q748" s="301" t="s">
        <v>87</v>
      </c>
      <c r="R748" s="1009" t="s">
        <v>1792</v>
      </c>
      <c r="S748" s="279" t="s">
        <v>4756</v>
      </c>
      <c r="T748" s="302"/>
      <c r="U748" s="251" t="s">
        <v>54</v>
      </c>
      <c r="V748" s="245" t="s">
        <v>5800</v>
      </c>
      <c r="W748" s="250" t="s">
        <v>3478</v>
      </c>
      <c r="X748" s="197" t="s">
        <v>475</v>
      </c>
      <c r="Y748" s="949" t="s">
        <v>5799</v>
      </c>
      <c r="Z748" s="246">
        <v>45286</v>
      </c>
      <c r="AA748" s="714"/>
      <c r="AB748" s="288" t="s">
        <v>4399</v>
      </c>
      <c r="AC748" s="223" t="s">
        <v>946</v>
      </c>
      <c r="AD748" s="957"/>
      <c r="AE748" s="494">
        <v>45114</v>
      </c>
      <c r="AF748" s="494">
        <v>45479</v>
      </c>
      <c r="AG748" s="381"/>
      <c r="AH748" s="958"/>
      <c r="AI748" s="254" t="s">
        <v>1351</v>
      </c>
      <c r="AJ748" s="303" t="s">
        <v>136</v>
      </c>
      <c r="AK748" s="241">
        <v>4</v>
      </c>
      <c r="AL748" s="123" t="s">
        <v>474</v>
      </c>
      <c r="AM748" s="123" t="s">
        <v>460</v>
      </c>
      <c r="AN748" s="130"/>
      <c r="AO748" s="130"/>
      <c r="AP748" s="115"/>
      <c r="AQ748" s="115"/>
      <c r="AR748" s="115"/>
      <c r="AS748" s="115"/>
      <c r="AT748" s="115"/>
    </row>
    <row r="749" spans="1:46" ht="39" customHeight="1" x14ac:dyDescent="0.25">
      <c r="A749" s="1468">
        <v>748</v>
      </c>
      <c r="B749" s="141">
        <v>2</v>
      </c>
      <c r="C749" s="260" t="s">
        <v>317</v>
      </c>
      <c r="D749" s="241"/>
      <c r="E749" s="241"/>
      <c r="F749" s="241"/>
      <c r="G749" s="261" t="s">
        <v>318</v>
      </c>
      <c r="H749" s="262" t="s">
        <v>87</v>
      </c>
      <c r="I749" s="364"/>
      <c r="J749" s="245" t="s">
        <v>561</v>
      </c>
      <c r="K749" s="756"/>
      <c r="L749" s="288" t="s">
        <v>5144</v>
      </c>
      <c r="M749" s="288" t="s">
        <v>5144</v>
      </c>
      <c r="N749" s="441"/>
      <c r="O749" s="1392" t="s">
        <v>5225</v>
      </c>
      <c r="P749" s="720"/>
      <c r="Q749" s="380" t="s">
        <v>87</v>
      </c>
      <c r="R749" s="1003" t="s">
        <v>5179</v>
      </c>
      <c r="S749" s="279">
        <v>37474</v>
      </c>
      <c r="T749" s="280"/>
      <c r="U749" s="251" t="s">
        <v>54</v>
      </c>
      <c r="V749" s="245" t="s">
        <v>5171</v>
      </c>
      <c r="W749" s="250" t="s">
        <v>295</v>
      </c>
      <c r="X749" s="197"/>
      <c r="Y749" s="981" t="s">
        <v>5829</v>
      </c>
      <c r="Z749" s="246">
        <v>45260</v>
      </c>
      <c r="AA749" s="486"/>
      <c r="AB749" s="288" t="s">
        <v>4939</v>
      </c>
      <c r="AC749" s="223" t="s">
        <v>946</v>
      </c>
      <c r="AD749" s="245" t="s">
        <v>467</v>
      </c>
      <c r="AE749" s="494">
        <v>45257</v>
      </c>
      <c r="AF749" s="494">
        <v>45622</v>
      </c>
      <c r="AG749" s="476"/>
      <c r="AH749" s="489"/>
      <c r="AI749" s="296" t="s">
        <v>4208</v>
      </c>
      <c r="AJ749" s="303" t="s">
        <v>136</v>
      </c>
      <c r="AK749" s="241">
        <v>4</v>
      </c>
      <c r="AL749" s="123" t="s">
        <v>474</v>
      </c>
      <c r="AM749" s="123" t="s">
        <v>460</v>
      </c>
      <c r="AN749" s="110"/>
      <c r="AO749" s="110"/>
      <c r="AP749" s="115"/>
      <c r="AQ749" s="115"/>
      <c r="AR749" s="115"/>
      <c r="AS749" s="115"/>
      <c r="AT749" s="115"/>
    </row>
    <row r="750" spans="1:46" ht="39" customHeight="1" x14ac:dyDescent="0.25">
      <c r="A750" s="1468">
        <v>749</v>
      </c>
      <c r="B750" s="146">
        <v>2</v>
      </c>
      <c r="C750" s="260" t="s">
        <v>319</v>
      </c>
      <c r="D750" s="241"/>
      <c r="E750" s="241"/>
      <c r="F750" s="241"/>
      <c r="G750" s="261" t="s">
        <v>320</v>
      </c>
      <c r="H750" s="262" t="s">
        <v>87</v>
      </c>
      <c r="I750" s="357"/>
      <c r="J750" s="245" t="s">
        <v>561</v>
      </c>
      <c r="K750" s="250"/>
      <c r="L750" s="281" t="s">
        <v>1676</v>
      </c>
      <c r="M750" s="281" t="s">
        <v>1508</v>
      </c>
      <c r="N750" s="366"/>
      <c r="O750" s="392" t="s">
        <v>3021</v>
      </c>
      <c r="P750" s="402"/>
      <c r="Q750" s="282" t="s">
        <v>87</v>
      </c>
      <c r="R750" s="381" t="s">
        <v>1774</v>
      </c>
      <c r="S750" s="279" t="s">
        <v>4757</v>
      </c>
      <c r="T750" s="197"/>
      <c r="U750" s="251" t="s">
        <v>54</v>
      </c>
      <c r="V750" s="245" t="s">
        <v>5800</v>
      </c>
      <c r="W750" s="250" t="s">
        <v>3478</v>
      </c>
      <c r="X750" s="197" t="s">
        <v>475</v>
      </c>
      <c r="Y750" s="949" t="s">
        <v>5799</v>
      </c>
      <c r="Z750" s="246">
        <v>45286</v>
      </c>
      <c r="AA750" s="246"/>
      <c r="AB750" s="296" t="s">
        <v>4397</v>
      </c>
      <c r="AC750" s="223" t="s">
        <v>946</v>
      </c>
      <c r="AD750" s="376"/>
      <c r="AE750" s="494" t="s">
        <v>4345</v>
      </c>
      <c r="AF750" s="494">
        <v>45478</v>
      </c>
      <c r="AG750" s="241"/>
      <c r="AH750" s="283"/>
      <c r="AI750" s="254" t="s">
        <v>1351</v>
      </c>
      <c r="AJ750" s="303" t="s">
        <v>136</v>
      </c>
      <c r="AK750" s="241">
        <v>4</v>
      </c>
      <c r="AL750" s="123" t="s">
        <v>474</v>
      </c>
      <c r="AM750" s="123" t="s">
        <v>460</v>
      </c>
      <c r="AN750" s="110"/>
      <c r="AO750" s="110"/>
      <c r="AP750" s="115"/>
      <c r="AQ750" s="115"/>
      <c r="AR750" s="115"/>
      <c r="AS750" s="115"/>
      <c r="AT750" s="116"/>
    </row>
    <row r="751" spans="1:46" ht="39" customHeight="1" x14ac:dyDescent="0.25">
      <c r="A751" s="1468">
        <v>750</v>
      </c>
      <c r="B751" s="141">
        <v>2</v>
      </c>
      <c r="C751" s="378" t="s">
        <v>321</v>
      </c>
      <c r="D751" s="303"/>
      <c r="E751" s="241"/>
      <c r="F751" s="241"/>
      <c r="G751" s="261" t="s">
        <v>322</v>
      </c>
      <c r="H751" s="262" t="s">
        <v>87</v>
      </c>
      <c r="I751" s="357"/>
      <c r="J751" s="245" t="s">
        <v>561</v>
      </c>
      <c r="K751" s="288"/>
      <c r="L751" s="288" t="s">
        <v>5144</v>
      </c>
      <c r="M751" s="288" t="s">
        <v>5144</v>
      </c>
      <c r="N751" s="281"/>
      <c r="O751" s="1392" t="s">
        <v>5226</v>
      </c>
      <c r="P751" s="1113"/>
      <c r="Q751" s="380" t="s">
        <v>87</v>
      </c>
      <c r="R751" s="1003" t="s">
        <v>5180</v>
      </c>
      <c r="S751" s="279">
        <v>37525</v>
      </c>
      <c r="T751" s="289"/>
      <c r="U751" s="251" t="s">
        <v>54</v>
      </c>
      <c r="V751" s="245" t="s">
        <v>5171</v>
      </c>
      <c r="W751" s="250" t="s">
        <v>295</v>
      </c>
      <c r="X751" s="197"/>
      <c r="Y751" s="981" t="s">
        <v>5829</v>
      </c>
      <c r="Z751" s="246">
        <v>45260</v>
      </c>
      <c r="AA751" s="246"/>
      <c r="AB751" s="288" t="s">
        <v>5273</v>
      </c>
      <c r="AC751" s="223" t="s">
        <v>946</v>
      </c>
      <c r="AD751" s="245" t="s">
        <v>467</v>
      </c>
      <c r="AE751" s="494">
        <v>45257</v>
      </c>
      <c r="AF751" s="494">
        <v>45622</v>
      </c>
      <c r="AG751" s="1392"/>
      <c r="AH751" s="283"/>
      <c r="AI751" s="296" t="s">
        <v>4208</v>
      </c>
      <c r="AJ751" s="303" t="s">
        <v>136</v>
      </c>
      <c r="AK751" s="241">
        <v>4</v>
      </c>
      <c r="AL751" s="123" t="s">
        <v>474</v>
      </c>
      <c r="AM751" s="123" t="s">
        <v>460</v>
      </c>
      <c r="AN751" s="110"/>
      <c r="AO751" s="110"/>
      <c r="AP751" s="115"/>
      <c r="AQ751" s="115"/>
      <c r="AR751" s="115"/>
      <c r="AS751" s="115"/>
      <c r="AT751" s="115"/>
    </row>
    <row r="752" spans="1:46" ht="39" customHeight="1" x14ac:dyDescent="0.25">
      <c r="A752" s="1468">
        <v>751</v>
      </c>
      <c r="B752" s="141">
        <v>1</v>
      </c>
      <c r="C752" s="378" t="s">
        <v>323</v>
      </c>
      <c r="D752" s="303"/>
      <c r="E752" s="241"/>
      <c r="F752" s="241"/>
      <c r="G752" s="261" t="s">
        <v>324</v>
      </c>
      <c r="H752" s="262" t="s">
        <v>87</v>
      </c>
      <c r="I752" s="357"/>
      <c r="J752" s="245" t="s">
        <v>561</v>
      </c>
      <c r="K752" s="197"/>
      <c r="L752" s="281" t="s">
        <v>1676</v>
      </c>
      <c r="M752" s="281" t="s">
        <v>1508</v>
      </c>
      <c r="N752" s="366"/>
      <c r="O752" s="392" t="s">
        <v>3028</v>
      </c>
      <c r="P752" s="402"/>
      <c r="Q752" s="594" t="s">
        <v>87</v>
      </c>
      <c r="R752" s="381" t="s">
        <v>4020</v>
      </c>
      <c r="S752" s="279" t="s">
        <v>4758</v>
      </c>
      <c r="T752" s="197"/>
      <c r="U752" s="251" t="s">
        <v>54</v>
      </c>
      <c r="V752" s="245" t="s">
        <v>5800</v>
      </c>
      <c r="W752" s="250" t="s">
        <v>3478</v>
      </c>
      <c r="X752" s="197" t="s">
        <v>475</v>
      </c>
      <c r="Y752" s="949" t="s">
        <v>5799</v>
      </c>
      <c r="Z752" s="246">
        <v>45286</v>
      </c>
      <c r="AA752" s="246"/>
      <c r="AB752" s="296" t="s">
        <v>4366</v>
      </c>
      <c r="AC752" s="223" t="s">
        <v>946</v>
      </c>
      <c r="AD752" s="376"/>
      <c r="AE752" s="494" t="s">
        <v>4345</v>
      </c>
      <c r="AF752" s="494">
        <v>45478</v>
      </c>
      <c r="AG752" s="241"/>
      <c r="AH752" s="283"/>
      <c r="AI752" s="254" t="s">
        <v>1351</v>
      </c>
      <c r="AJ752" s="303" t="s">
        <v>136</v>
      </c>
      <c r="AK752" s="241">
        <v>4</v>
      </c>
      <c r="AL752" s="123" t="s">
        <v>474</v>
      </c>
      <c r="AM752" s="123" t="s">
        <v>460</v>
      </c>
      <c r="AN752" s="110"/>
      <c r="AO752" s="110"/>
      <c r="AP752" s="115"/>
      <c r="AQ752" s="115"/>
      <c r="AR752" s="115"/>
      <c r="AS752" s="115"/>
      <c r="AT752" s="115"/>
    </row>
    <row r="753" spans="1:46" ht="39" customHeight="1" x14ac:dyDescent="0.25">
      <c r="A753" s="1468">
        <v>752</v>
      </c>
      <c r="B753" s="141">
        <v>1</v>
      </c>
      <c r="C753" s="260" t="s">
        <v>325</v>
      </c>
      <c r="D753" s="241"/>
      <c r="E753" s="241"/>
      <c r="F753" s="241"/>
      <c r="G753" s="261" t="s">
        <v>324</v>
      </c>
      <c r="H753" s="262" t="s">
        <v>87</v>
      </c>
      <c r="I753" s="357"/>
      <c r="J753" s="245" t="s">
        <v>561</v>
      </c>
      <c r="K753" s="216"/>
      <c r="L753" s="281" t="s">
        <v>1676</v>
      </c>
      <c r="M753" s="281" t="s">
        <v>1508</v>
      </c>
      <c r="N753" s="366"/>
      <c r="O753" s="392" t="s">
        <v>2888</v>
      </c>
      <c r="P753" s="402"/>
      <c r="Q753" s="301" t="s">
        <v>87</v>
      </c>
      <c r="R753" s="682" t="s">
        <v>1751</v>
      </c>
      <c r="S753" s="279" t="s">
        <v>4759</v>
      </c>
      <c r="T753" s="197"/>
      <c r="U753" s="251" t="s">
        <v>54</v>
      </c>
      <c r="V753" s="245" t="s">
        <v>5800</v>
      </c>
      <c r="W753" s="250" t="s">
        <v>3478</v>
      </c>
      <c r="X753" s="197" t="s">
        <v>475</v>
      </c>
      <c r="Y753" s="949" t="s">
        <v>5799</v>
      </c>
      <c r="Z753" s="246">
        <v>45286</v>
      </c>
      <c r="AA753" s="246"/>
      <c r="AB753" s="296" t="s">
        <v>4400</v>
      </c>
      <c r="AC753" s="223" t="s">
        <v>946</v>
      </c>
      <c r="AD753" s="376"/>
      <c r="AE753" s="494" t="s">
        <v>4345</v>
      </c>
      <c r="AF753" s="494">
        <v>45478</v>
      </c>
      <c r="AG753" s="241"/>
      <c r="AH753" s="283"/>
      <c r="AI753" s="254" t="s">
        <v>1351</v>
      </c>
      <c r="AJ753" s="303" t="s">
        <v>136</v>
      </c>
      <c r="AK753" s="241">
        <v>4</v>
      </c>
      <c r="AL753" s="123" t="s">
        <v>474</v>
      </c>
      <c r="AM753" s="123" t="s">
        <v>460</v>
      </c>
      <c r="AN753" s="110"/>
      <c r="AO753" s="110"/>
      <c r="AP753" s="115"/>
      <c r="AQ753" s="115"/>
      <c r="AR753" s="115"/>
      <c r="AS753" s="115"/>
      <c r="AT753" s="115"/>
    </row>
    <row r="754" spans="1:46" ht="39" customHeight="1" x14ac:dyDescent="0.25">
      <c r="A754" s="1468">
        <v>753</v>
      </c>
      <c r="B754" s="117"/>
      <c r="C754" s="324"/>
      <c r="D754" s="664"/>
      <c r="E754" s="664"/>
      <c r="F754" s="664"/>
      <c r="G754" s="227"/>
      <c r="H754" s="228"/>
      <c r="I754" s="228"/>
      <c r="J754" s="229"/>
      <c r="K754" s="227"/>
      <c r="L754" s="229"/>
      <c r="M754" s="229"/>
      <c r="N754" s="229"/>
      <c r="O754" s="216"/>
      <c r="P754" s="230" t="s">
        <v>330</v>
      </c>
      <c r="Q754" s="664"/>
      <c r="R754" s="324"/>
      <c r="S754" s="279"/>
      <c r="T754" s="232"/>
      <c r="U754" s="250"/>
      <c r="V754" s="232"/>
      <c r="W754" s="232"/>
      <c r="X754" s="232"/>
      <c r="Y754" s="232"/>
      <c r="Z754" s="233"/>
      <c r="AA754" s="234"/>
      <c r="AB754" s="235"/>
      <c r="AC754" s="236"/>
      <c r="AD754" s="235"/>
      <c r="AE754" s="494"/>
      <c r="AF754" s="494"/>
      <c r="AG754" s="664"/>
      <c r="AH754" s="238"/>
      <c r="AI754" s="239"/>
      <c r="AJ754" s="303"/>
      <c r="AK754" s="241"/>
      <c r="AL754" s="122"/>
      <c r="AM754" s="122"/>
      <c r="AN754" s="113"/>
      <c r="AO754" s="114"/>
      <c r="AP754" s="115"/>
      <c r="AQ754" s="115"/>
      <c r="AR754" s="115"/>
      <c r="AS754" s="115"/>
      <c r="AT754" s="116"/>
    </row>
    <row r="755" spans="1:46" ht="39" customHeight="1" x14ac:dyDescent="0.25">
      <c r="A755" s="1468">
        <v>754</v>
      </c>
      <c r="B755" s="141">
        <v>10</v>
      </c>
      <c r="C755" s="240" t="s">
        <v>305</v>
      </c>
      <c r="D755" s="242"/>
      <c r="E755" s="242" t="s">
        <v>47</v>
      </c>
      <c r="F755" s="242"/>
      <c r="G755" s="243" t="s">
        <v>91</v>
      </c>
      <c r="H755" s="244" t="s">
        <v>83</v>
      </c>
      <c r="I755" s="340"/>
      <c r="J755" s="245">
        <v>302</v>
      </c>
      <c r="K755" s="197" t="s">
        <v>50</v>
      </c>
      <c r="L755" s="276" t="s">
        <v>3472</v>
      </c>
      <c r="M755" s="276" t="s">
        <v>3472</v>
      </c>
      <c r="N755" s="276"/>
      <c r="O755" s="216" t="s">
        <v>3384</v>
      </c>
      <c r="P755" s="300"/>
      <c r="Q755" s="338" t="s">
        <v>83</v>
      </c>
      <c r="R755" s="1242" t="s">
        <v>3383</v>
      </c>
      <c r="S755" s="279">
        <v>35663</v>
      </c>
      <c r="T755" s="280"/>
      <c r="U755" s="197"/>
      <c r="V755" s="250"/>
      <c r="W755" s="197"/>
      <c r="X755" s="289"/>
      <c r="Y755" s="288"/>
      <c r="Z755" s="252"/>
      <c r="AA755" s="252"/>
      <c r="AB755" s="276"/>
      <c r="AC755" s="488"/>
      <c r="AD755" s="276"/>
      <c r="AE755" s="494"/>
      <c r="AF755" s="494"/>
      <c r="AG755" s="476"/>
      <c r="AH755" s="871"/>
      <c r="AI755" s="721"/>
      <c r="AJ755" s="755" t="s">
        <v>62</v>
      </c>
      <c r="AK755" s="242">
        <v>1</v>
      </c>
      <c r="AL755" s="123" t="s">
        <v>474</v>
      </c>
      <c r="AM755" s="123" t="s">
        <v>460</v>
      </c>
      <c r="AN755" s="124"/>
      <c r="AO755" s="124"/>
      <c r="AP755" s="115"/>
      <c r="AQ755" s="115"/>
      <c r="AR755" s="115"/>
      <c r="AS755" s="115"/>
      <c r="AT755" s="115"/>
    </row>
    <row r="756" spans="1:46" ht="39" customHeight="1" x14ac:dyDescent="0.25">
      <c r="A756" s="1468">
        <v>755</v>
      </c>
      <c r="B756" s="117"/>
      <c r="C756" s="324"/>
      <c r="D756" s="664"/>
      <c r="E756" s="664"/>
      <c r="F756" s="664"/>
      <c r="G756" s="227"/>
      <c r="H756" s="228"/>
      <c r="I756" s="228"/>
      <c r="J756" s="229"/>
      <c r="K756" s="227"/>
      <c r="L756" s="229"/>
      <c r="M756" s="229"/>
      <c r="N756" s="229"/>
      <c r="O756" s="216"/>
      <c r="P756" s="230" t="s">
        <v>306</v>
      </c>
      <c r="Q756" s="664"/>
      <c r="R756" s="381"/>
      <c r="S756" s="279"/>
      <c r="T756" s="232"/>
      <c r="U756" s="250"/>
      <c r="V756" s="232"/>
      <c r="W756" s="232"/>
      <c r="X756" s="232"/>
      <c r="Y756" s="232"/>
      <c r="Z756" s="233"/>
      <c r="AA756" s="234"/>
      <c r="AB756" s="235"/>
      <c r="AC756" s="236"/>
      <c r="AD756" s="235"/>
      <c r="AE756" s="494"/>
      <c r="AF756" s="494"/>
      <c r="AG756" s="664"/>
      <c r="AH756" s="238"/>
      <c r="AI756" s="239"/>
      <c r="AJ756" s="303"/>
      <c r="AK756" s="241"/>
      <c r="AL756" s="122"/>
      <c r="AM756" s="122"/>
      <c r="AN756" s="113"/>
      <c r="AO756" s="114"/>
      <c r="AP756" s="115"/>
      <c r="AQ756" s="115"/>
      <c r="AR756" s="115"/>
      <c r="AS756" s="115"/>
      <c r="AT756" s="116"/>
    </row>
    <row r="757" spans="1:46" ht="39" customHeight="1" x14ac:dyDescent="0.25">
      <c r="A757" s="1468">
        <v>756</v>
      </c>
      <c r="B757" s="146">
        <v>7</v>
      </c>
      <c r="C757" s="290" t="s">
        <v>307</v>
      </c>
      <c r="D757" s="291"/>
      <c r="E757" s="291" t="s">
        <v>47</v>
      </c>
      <c r="F757" s="291"/>
      <c r="G757" s="292" t="s">
        <v>308</v>
      </c>
      <c r="H757" s="370" t="s">
        <v>132</v>
      </c>
      <c r="I757" s="371" t="s">
        <v>309</v>
      </c>
      <c r="J757" s="256">
        <v>403</v>
      </c>
      <c r="K757" s="257" t="s">
        <v>4571</v>
      </c>
      <c r="L757" s="288" t="s">
        <v>3678</v>
      </c>
      <c r="M757" s="288" t="s">
        <v>3678</v>
      </c>
      <c r="N757" s="281" t="s">
        <v>4217</v>
      </c>
      <c r="O757" s="1273" t="s">
        <v>3836</v>
      </c>
      <c r="P757" s="300"/>
      <c r="Q757" s="301" t="s">
        <v>87</v>
      </c>
      <c r="R757" s="1201" t="s">
        <v>3856</v>
      </c>
      <c r="S757" s="279">
        <v>37760</v>
      </c>
      <c r="T757" s="289"/>
      <c r="U757" s="251" t="s">
        <v>54</v>
      </c>
      <c r="V757" s="197" t="s">
        <v>4578</v>
      </c>
      <c r="W757" s="250" t="s">
        <v>384</v>
      </c>
      <c r="X757" s="250" t="s">
        <v>5135</v>
      </c>
      <c r="Y757" s="197" t="s">
        <v>4604</v>
      </c>
      <c r="Z757" s="246">
        <v>45237</v>
      </c>
      <c r="AA757" s="289"/>
      <c r="AB757" s="288" t="s">
        <v>4334</v>
      </c>
      <c r="AC757" s="223" t="s">
        <v>946</v>
      </c>
      <c r="AD757" s="299" t="s">
        <v>467</v>
      </c>
      <c r="AE757" s="494">
        <v>45100</v>
      </c>
      <c r="AF757" s="494">
        <v>45465</v>
      </c>
      <c r="AG757" s="299"/>
      <c r="AH757" s="299"/>
      <c r="AI757" s="296" t="s">
        <v>1351</v>
      </c>
      <c r="AJ757" s="303" t="s">
        <v>136</v>
      </c>
      <c r="AK757" s="291">
        <v>3</v>
      </c>
      <c r="AL757" s="123" t="s">
        <v>474</v>
      </c>
      <c r="AM757" s="123" t="s">
        <v>460</v>
      </c>
      <c r="AN757" s="130"/>
      <c r="AO757" s="130"/>
      <c r="AP757" s="115"/>
      <c r="AQ757" s="115"/>
      <c r="AR757" s="115"/>
      <c r="AS757" s="115"/>
      <c r="AT757" s="115"/>
    </row>
    <row r="758" spans="1:46" ht="39" customHeight="1" x14ac:dyDescent="0.25">
      <c r="A758" s="1468">
        <v>757</v>
      </c>
      <c r="B758" s="141">
        <v>3</v>
      </c>
      <c r="C758" s="356" t="s">
        <v>290</v>
      </c>
      <c r="D758" s="241" t="s">
        <v>134</v>
      </c>
      <c r="E758" s="241"/>
      <c r="F758" s="241"/>
      <c r="G758" s="261" t="s">
        <v>291</v>
      </c>
      <c r="H758" s="262" t="s">
        <v>85</v>
      </c>
      <c r="I758" s="371"/>
      <c r="J758" s="245" t="s">
        <v>556</v>
      </c>
      <c r="K758" s="288" t="s">
        <v>158</v>
      </c>
      <c r="L758" s="288" t="s">
        <v>3678</v>
      </c>
      <c r="M758" s="288" t="s">
        <v>3678</v>
      </c>
      <c r="N758" s="281" t="s">
        <v>4217</v>
      </c>
      <c r="O758" s="1392" t="s">
        <v>3747</v>
      </c>
      <c r="P758" s="684"/>
      <c r="Q758" s="301" t="s">
        <v>293</v>
      </c>
      <c r="R758" s="1201" t="s">
        <v>3746</v>
      </c>
      <c r="S758" s="279">
        <v>37972</v>
      </c>
      <c r="T758" s="684"/>
      <c r="U758" s="251" t="s">
        <v>54</v>
      </c>
      <c r="V758" s="245" t="s">
        <v>5800</v>
      </c>
      <c r="W758" s="250" t="s">
        <v>3478</v>
      </c>
      <c r="X758" s="197" t="s">
        <v>475</v>
      </c>
      <c r="Y758" s="949" t="s">
        <v>5799</v>
      </c>
      <c r="Z758" s="246">
        <v>45286</v>
      </c>
      <c r="AA758" s="246"/>
      <c r="AB758" s="288" t="s">
        <v>4290</v>
      </c>
      <c r="AC758" s="223" t="s">
        <v>946</v>
      </c>
      <c r="AD758" s="299" t="s">
        <v>467</v>
      </c>
      <c r="AE758" s="494">
        <v>45106</v>
      </c>
      <c r="AF758" s="494">
        <v>45471</v>
      </c>
      <c r="AG758" s="1392"/>
      <c r="AH758" s="283"/>
      <c r="AI758" s="296" t="s">
        <v>1351</v>
      </c>
      <c r="AJ758" s="303" t="s">
        <v>136</v>
      </c>
      <c r="AK758" s="241">
        <v>4</v>
      </c>
      <c r="AL758" s="123" t="s">
        <v>474</v>
      </c>
      <c r="AM758" s="123" t="s">
        <v>460</v>
      </c>
      <c r="AN758" s="110" t="s">
        <v>4184</v>
      </c>
      <c r="AO758" s="130"/>
      <c r="AP758" s="115"/>
      <c r="AQ758" s="115"/>
      <c r="AR758" s="115"/>
      <c r="AS758" s="115"/>
      <c r="AT758" s="115"/>
    </row>
    <row r="759" spans="1:46" ht="39" customHeight="1" x14ac:dyDescent="0.25">
      <c r="A759" s="1468">
        <v>758</v>
      </c>
      <c r="B759" s="141">
        <v>3</v>
      </c>
      <c r="C759" s="358" t="s">
        <v>297</v>
      </c>
      <c r="D759" s="241" t="s">
        <v>134</v>
      </c>
      <c r="E759" s="241"/>
      <c r="F759" s="241"/>
      <c r="G759" s="261" t="s">
        <v>298</v>
      </c>
      <c r="H759" s="262" t="s">
        <v>85</v>
      </c>
      <c r="I759" s="371"/>
      <c r="J759" s="245" t="s">
        <v>556</v>
      </c>
      <c r="K759" s="288" t="s">
        <v>158</v>
      </c>
      <c r="L759" s="288" t="s">
        <v>3678</v>
      </c>
      <c r="M759" s="288" t="s">
        <v>3678</v>
      </c>
      <c r="N759" s="281" t="s">
        <v>4217</v>
      </c>
      <c r="O759" s="1392" t="s">
        <v>3753</v>
      </c>
      <c r="P759" s="374"/>
      <c r="Q759" s="380" t="s">
        <v>87</v>
      </c>
      <c r="R759" s="1003" t="s">
        <v>3752</v>
      </c>
      <c r="S759" s="279">
        <v>38232</v>
      </c>
      <c r="T759" s="257"/>
      <c r="U759" s="251" t="s">
        <v>54</v>
      </c>
      <c r="V759" s="197" t="s">
        <v>4214</v>
      </c>
      <c r="W759" s="250" t="s">
        <v>4215</v>
      </c>
      <c r="X759" s="250" t="s">
        <v>5135</v>
      </c>
      <c r="Y759" s="949" t="s">
        <v>4216</v>
      </c>
      <c r="Z759" s="289">
        <v>45234</v>
      </c>
      <c r="AA759" s="246"/>
      <c r="AB759" s="288" t="s">
        <v>4294</v>
      </c>
      <c r="AC759" s="223" t="s">
        <v>946</v>
      </c>
      <c r="AD759" s="299" t="s">
        <v>467</v>
      </c>
      <c r="AE759" s="494">
        <v>45105</v>
      </c>
      <c r="AF759" s="494">
        <v>45470</v>
      </c>
      <c r="AG759" s="1392"/>
      <c r="AH759" s="283"/>
      <c r="AI759" s="296" t="s">
        <v>1351</v>
      </c>
      <c r="AJ759" s="303" t="s">
        <v>136</v>
      </c>
      <c r="AK759" s="241">
        <v>4</v>
      </c>
      <c r="AL759" s="123" t="s">
        <v>474</v>
      </c>
      <c r="AM759" s="123" t="s">
        <v>460</v>
      </c>
      <c r="AN759" s="130"/>
      <c r="AO759" s="130"/>
      <c r="AP759" s="115"/>
      <c r="AQ759" s="115"/>
      <c r="AR759" s="115"/>
      <c r="AS759" s="115"/>
      <c r="AT759" s="116"/>
    </row>
    <row r="760" spans="1:46" ht="39" customHeight="1" x14ac:dyDescent="0.25">
      <c r="A760" s="1468">
        <v>759</v>
      </c>
      <c r="B760" s="141">
        <v>2</v>
      </c>
      <c r="C760" s="260" t="s">
        <v>311</v>
      </c>
      <c r="D760" s="241"/>
      <c r="E760" s="241"/>
      <c r="F760" s="241"/>
      <c r="G760" s="261" t="s">
        <v>312</v>
      </c>
      <c r="H760" s="262" t="s">
        <v>85</v>
      </c>
      <c r="I760" s="371"/>
      <c r="J760" s="245" t="s">
        <v>556</v>
      </c>
      <c r="K760" s="257"/>
      <c r="L760" s="299" t="s">
        <v>1508</v>
      </c>
      <c r="M760" s="299" t="s">
        <v>1708</v>
      </c>
      <c r="N760" s="245"/>
      <c r="O760" s="392" t="s">
        <v>2985</v>
      </c>
      <c r="P760" s="627"/>
      <c r="Q760" s="594" t="s">
        <v>293</v>
      </c>
      <c r="R760" s="999" t="s">
        <v>1651</v>
      </c>
      <c r="S760" s="279">
        <v>35831</v>
      </c>
      <c r="T760" s="289"/>
      <c r="U760" s="251" t="s">
        <v>54</v>
      </c>
      <c r="V760" s="245" t="s">
        <v>5800</v>
      </c>
      <c r="W760" s="250" t="s">
        <v>3478</v>
      </c>
      <c r="X760" s="197" t="s">
        <v>475</v>
      </c>
      <c r="Y760" s="949" t="s">
        <v>5799</v>
      </c>
      <c r="Z760" s="246">
        <v>45286</v>
      </c>
      <c r="AA760" s="281"/>
      <c r="AB760" s="1239" t="s">
        <v>4401</v>
      </c>
      <c r="AC760" s="223" t="s">
        <v>482</v>
      </c>
      <c r="AD760" s="245"/>
      <c r="AE760" s="494">
        <v>45114</v>
      </c>
      <c r="AF760" s="494">
        <v>45479</v>
      </c>
      <c r="AG760" s="241"/>
      <c r="AH760" s="253"/>
      <c r="AI760" s="284" t="s">
        <v>1351</v>
      </c>
      <c r="AJ760" s="303" t="s">
        <v>136</v>
      </c>
      <c r="AK760" s="241">
        <v>4</v>
      </c>
      <c r="AL760" s="123" t="s">
        <v>474</v>
      </c>
      <c r="AM760" s="123" t="s">
        <v>460</v>
      </c>
      <c r="AN760" s="130"/>
      <c r="AO760" s="130"/>
      <c r="AP760" s="115"/>
      <c r="AQ760" s="115"/>
      <c r="AR760" s="115"/>
      <c r="AS760" s="115"/>
      <c r="AT760" s="115"/>
    </row>
    <row r="761" spans="1:46" ht="39" customHeight="1" x14ac:dyDescent="0.25">
      <c r="A761" s="1468">
        <v>760</v>
      </c>
      <c r="B761" s="141">
        <v>2</v>
      </c>
      <c r="C761" s="260" t="s">
        <v>317</v>
      </c>
      <c r="D761" s="241"/>
      <c r="E761" s="241"/>
      <c r="F761" s="241"/>
      <c r="G761" s="261" t="s">
        <v>318</v>
      </c>
      <c r="H761" s="262" t="s">
        <v>87</v>
      </c>
      <c r="I761" s="357"/>
      <c r="J761" s="245" t="s">
        <v>561</v>
      </c>
      <c r="K761" s="288"/>
      <c r="L761" s="299" t="s">
        <v>1508</v>
      </c>
      <c r="M761" s="299" t="s">
        <v>1708</v>
      </c>
      <c r="N761" s="245"/>
      <c r="O761" s="392" t="s">
        <v>3030</v>
      </c>
      <c r="P761" s="627"/>
      <c r="Q761" s="301" t="s">
        <v>293</v>
      </c>
      <c r="R761" s="683" t="s">
        <v>1623</v>
      </c>
      <c r="S761" s="279">
        <v>37468</v>
      </c>
      <c r="T761" s="289"/>
      <c r="U761" s="251" t="s">
        <v>54</v>
      </c>
      <c r="V761" s="245" t="s">
        <v>5800</v>
      </c>
      <c r="W761" s="250" t="s">
        <v>3478</v>
      </c>
      <c r="X761" s="197" t="s">
        <v>475</v>
      </c>
      <c r="Y761" s="949" t="s">
        <v>5799</v>
      </c>
      <c r="Z761" s="246">
        <v>45286</v>
      </c>
      <c r="AA761" s="281"/>
      <c r="AB761" s="197" t="s">
        <v>4402</v>
      </c>
      <c r="AC761" s="223" t="s">
        <v>946</v>
      </c>
      <c r="AD761" s="245"/>
      <c r="AE761" s="494">
        <v>45114</v>
      </c>
      <c r="AF761" s="494">
        <v>45479</v>
      </c>
      <c r="AG761" s="241"/>
      <c r="AH761" s="253"/>
      <c r="AI761" s="284" t="s">
        <v>1351</v>
      </c>
      <c r="AJ761" s="303" t="s">
        <v>136</v>
      </c>
      <c r="AK761" s="241">
        <v>4</v>
      </c>
      <c r="AL761" s="123" t="s">
        <v>474</v>
      </c>
      <c r="AM761" s="123" t="s">
        <v>460</v>
      </c>
      <c r="AN761" s="110"/>
      <c r="AO761" s="110"/>
      <c r="AP761" s="115"/>
      <c r="AQ761" s="115"/>
      <c r="AR761" s="115"/>
      <c r="AS761" s="115"/>
      <c r="AT761" s="115"/>
    </row>
    <row r="762" spans="1:46" ht="39" customHeight="1" x14ac:dyDescent="0.25">
      <c r="A762" s="1468">
        <v>761</v>
      </c>
      <c r="B762" s="146">
        <v>2</v>
      </c>
      <c r="C762" s="260" t="s">
        <v>319</v>
      </c>
      <c r="D762" s="241"/>
      <c r="E762" s="241"/>
      <c r="F762" s="241"/>
      <c r="G762" s="261" t="s">
        <v>320</v>
      </c>
      <c r="H762" s="262" t="s">
        <v>87</v>
      </c>
      <c r="I762" s="364"/>
      <c r="J762" s="245" t="s">
        <v>561</v>
      </c>
      <c r="K762" s="216"/>
      <c r="L762" s="299" t="s">
        <v>1508</v>
      </c>
      <c r="M762" s="299" t="s">
        <v>1708</v>
      </c>
      <c r="N762" s="245"/>
      <c r="O762" s="392" t="s">
        <v>3036</v>
      </c>
      <c r="P762" s="627"/>
      <c r="Q762" s="301" t="s">
        <v>293</v>
      </c>
      <c r="R762" s="1271" t="s">
        <v>1666</v>
      </c>
      <c r="S762" s="279"/>
      <c r="T762" s="289"/>
      <c r="U762" s="251" t="s">
        <v>54</v>
      </c>
      <c r="V762" s="245" t="s">
        <v>5948</v>
      </c>
      <c r="W762" s="250" t="s">
        <v>295</v>
      </c>
      <c r="X762" s="197" t="s">
        <v>475</v>
      </c>
      <c r="Y762" s="981" t="s">
        <v>5950</v>
      </c>
      <c r="Z762" s="246">
        <v>45309</v>
      </c>
      <c r="AA762" s="281"/>
      <c r="AB762" s="245"/>
      <c r="AC762" s="223" t="s">
        <v>946</v>
      </c>
      <c r="AD762" s="245"/>
      <c r="AE762" s="494"/>
      <c r="AF762" s="494"/>
      <c r="AG762" s="241"/>
      <c r="AH762" s="253"/>
      <c r="AI762" s="284" t="s">
        <v>1351</v>
      </c>
      <c r="AJ762" s="303" t="s">
        <v>136</v>
      </c>
      <c r="AK762" s="241">
        <v>4</v>
      </c>
      <c r="AL762" s="123" t="s">
        <v>474</v>
      </c>
      <c r="AM762" s="123" t="s">
        <v>460</v>
      </c>
      <c r="AN762" s="110"/>
      <c r="AO762" s="110"/>
      <c r="AP762" s="115"/>
      <c r="AQ762" s="115"/>
      <c r="AR762" s="115"/>
      <c r="AS762" s="115"/>
      <c r="AT762" s="116"/>
    </row>
    <row r="763" spans="1:46" ht="39" customHeight="1" x14ac:dyDescent="0.25">
      <c r="A763" s="1468">
        <v>762</v>
      </c>
      <c r="B763" s="141">
        <v>2</v>
      </c>
      <c r="C763" s="378" t="s">
        <v>321</v>
      </c>
      <c r="D763" s="303"/>
      <c r="E763" s="241"/>
      <c r="F763" s="241"/>
      <c r="G763" s="261" t="s">
        <v>322</v>
      </c>
      <c r="H763" s="262" t="s">
        <v>87</v>
      </c>
      <c r="I763" s="357"/>
      <c r="J763" s="245" t="s">
        <v>561</v>
      </c>
      <c r="K763" s="216"/>
      <c r="L763" s="299" t="s">
        <v>1508</v>
      </c>
      <c r="M763" s="299" t="s">
        <v>1708</v>
      </c>
      <c r="N763" s="245"/>
      <c r="O763" s="392" t="s">
        <v>3061</v>
      </c>
      <c r="P763" s="627"/>
      <c r="Q763" s="594" t="s">
        <v>293</v>
      </c>
      <c r="R763" s="381" t="s">
        <v>1625</v>
      </c>
      <c r="S763" s="279" t="s">
        <v>4760</v>
      </c>
      <c r="T763" s="289"/>
      <c r="U763" s="250"/>
      <c r="V763" s="197"/>
      <c r="W763" s="197"/>
      <c r="X763" s="197"/>
      <c r="Y763" s="197"/>
      <c r="Z763" s="246"/>
      <c r="AA763" s="281"/>
      <c r="AB763" s="307" t="s">
        <v>4403</v>
      </c>
      <c r="AC763" s="223" t="s">
        <v>946</v>
      </c>
      <c r="AD763" s="245"/>
      <c r="AE763" s="494" t="s">
        <v>4354</v>
      </c>
      <c r="AF763" s="494">
        <v>45477</v>
      </c>
      <c r="AG763" s="241"/>
      <c r="AH763" s="253"/>
      <c r="AI763" s="284" t="s">
        <v>1351</v>
      </c>
      <c r="AJ763" s="303" t="s">
        <v>136</v>
      </c>
      <c r="AK763" s="241">
        <v>4</v>
      </c>
      <c r="AL763" s="123" t="s">
        <v>474</v>
      </c>
      <c r="AM763" s="123" t="s">
        <v>460</v>
      </c>
      <c r="AN763" s="110"/>
      <c r="AO763" s="110"/>
      <c r="AP763" s="115"/>
      <c r="AQ763" s="115"/>
      <c r="AR763" s="115"/>
      <c r="AS763" s="115"/>
      <c r="AT763" s="115"/>
    </row>
    <row r="764" spans="1:46" ht="39" customHeight="1" x14ac:dyDescent="0.25">
      <c r="A764" s="1468">
        <v>763</v>
      </c>
      <c r="B764" s="141">
        <v>1</v>
      </c>
      <c r="C764" s="378" t="s">
        <v>323</v>
      </c>
      <c r="D764" s="303"/>
      <c r="E764" s="241"/>
      <c r="F764" s="241"/>
      <c r="G764" s="261" t="s">
        <v>324</v>
      </c>
      <c r="H764" s="262" t="s">
        <v>87</v>
      </c>
      <c r="I764" s="357"/>
      <c r="J764" s="245" t="s">
        <v>561</v>
      </c>
      <c r="K764" s="595"/>
      <c r="L764" s="299" t="s">
        <v>1508</v>
      </c>
      <c r="M764" s="299" t="s">
        <v>1708</v>
      </c>
      <c r="N764" s="245"/>
      <c r="O764" s="392" t="s">
        <v>3034</v>
      </c>
      <c r="P764" s="627"/>
      <c r="Q764" s="301" t="s">
        <v>293</v>
      </c>
      <c r="R764" s="683" t="s">
        <v>1654</v>
      </c>
      <c r="S764" s="279">
        <v>36313</v>
      </c>
      <c r="T764" s="289"/>
      <c r="U764" s="251" t="s">
        <v>54</v>
      </c>
      <c r="V764" s="245" t="s">
        <v>5800</v>
      </c>
      <c r="W764" s="250" t="s">
        <v>3478</v>
      </c>
      <c r="X764" s="197" t="s">
        <v>475</v>
      </c>
      <c r="Y764" s="949" t="s">
        <v>5799</v>
      </c>
      <c r="Z764" s="246">
        <v>45286</v>
      </c>
      <c r="AA764" s="281"/>
      <c r="AB764" s="288" t="s">
        <v>4404</v>
      </c>
      <c r="AC764" s="223" t="s">
        <v>482</v>
      </c>
      <c r="AD764" s="245"/>
      <c r="AE764" s="494">
        <v>45114</v>
      </c>
      <c r="AF764" s="494">
        <v>45479</v>
      </c>
      <c r="AG764" s="241"/>
      <c r="AH764" s="253"/>
      <c r="AI764" s="284" t="s">
        <v>1351</v>
      </c>
      <c r="AJ764" s="303" t="s">
        <v>136</v>
      </c>
      <c r="AK764" s="241">
        <v>4</v>
      </c>
      <c r="AL764" s="123" t="s">
        <v>474</v>
      </c>
      <c r="AM764" s="123" t="s">
        <v>460</v>
      </c>
      <c r="AN764" s="110"/>
      <c r="AO764" s="110"/>
      <c r="AP764" s="115"/>
      <c r="AQ764" s="115"/>
      <c r="AR764" s="115"/>
      <c r="AS764" s="115"/>
      <c r="AT764" s="115"/>
    </row>
    <row r="765" spans="1:46" ht="39" customHeight="1" x14ac:dyDescent="0.25">
      <c r="A765" s="1468">
        <v>764</v>
      </c>
      <c r="B765" s="141">
        <v>1</v>
      </c>
      <c r="C765" s="260" t="s">
        <v>325</v>
      </c>
      <c r="D765" s="241"/>
      <c r="E765" s="241"/>
      <c r="F765" s="241"/>
      <c r="G765" s="261" t="s">
        <v>324</v>
      </c>
      <c r="H765" s="262" t="s">
        <v>87</v>
      </c>
      <c r="I765" s="357"/>
      <c r="J765" s="245" t="s">
        <v>561</v>
      </c>
      <c r="K765" s="288"/>
      <c r="L765" s="288" t="s">
        <v>5144</v>
      </c>
      <c r="M765" s="288" t="s">
        <v>5144</v>
      </c>
      <c r="N765" s="281"/>
      <c r="O765" s="1392" t="s">
        <v>5227</v>
      </c>
      <c r="P765" s="374"/>
      <c r="Q765" s="380" t="s">
        <v>87</v>
      </c>
      <c r="R765" s="1003" t="s">
        <v>5181</v>
      </c>
      <c r="S765" s="279">
        <v>38151</v>
      </c>
      <c r="T765" s="257"/>
      <c r="U765" s="251" t="s">
        <v>54</v>
      </c>
      <c r="V765" s="245" t="s">
        <v>5171</v>
      </c>
      <c r="W765" s="250" t="s">
        <v>295</v>
      </c>
      <c r="X765" s="197"/>
      <c r="Y765" s="981" t="s">
        <v>5829</v>
      </c>
      <c r="Z765" s="246">
        <v>45260</v>
      </c>
      <c r="AA765" s="246"/>
      <c r="AB765" s="288" t="s">
        <v>5274</v>
      </c>
      <c r="AC765" s="223" t="s">
        <v>946</v>
      </c>
      <c r="AD765" s="245" t="s">
        <v>467</v>
      </c>
      <c r="AE765" s="494">
        <v>45256</v>
      </c>
      <c r="AF765" s="494">
        <v>45621</v>
      </c>
      <c r="AG765" s="1392"/>
      <c r="AH765" s="283"/>
      <c r="AI765" s="296" t="s">
        <v>4208</v>
      </c>
      <c r="AJ765" s="303" t="s">
        <v>136</v>
      </c>
      <c r="AK765" s="241">
        <v>4</v>
      </c>
      <c r="AL765" s="123" t="s">
        <v>474</v>
      </c>
      <c r="AM765" s="123" t="s">
        <v>460</v>
      </c>
      <c r="AN765" s="110"/>
      <c r="AO765" s="110"/>
      <c r="AP765" s="115"/>
      <c r="AQ765" s="115"/>
      <c r="AR765" s="115"/>
      <c r="AS765" s="115"/>
      <c r="AT765" s="115"/>
    </row>
    <row r="766" spans="1:46" ht="39" customHeight="1" x14ac:dyDescent="0.25">
      <c r="A766" s="1468">
        <v>765</v>
      </c>
      <c r="B766" s="117"/>
      <c r="C766" s="324"/>
      <c r="D766" s="664"/>
      <c r="E766" s="664"/>
      <c r="F766" s="664"/>
      <c r="G766" s="227"/>
      <c r="H766" s="228"/>
      <c r="I766" s="228"/>
      <c r="J766" s="229"/>
      <c r="K766" s="227"/>
      <c r="L766" s="229"/>
      <c r="M766" s="229"/>
      <c r="N766" s="229"/>
      <c r="O766" s="216"/>
      <c r="P766" s="230" t="s">
        <v>326</v>
      </c>
      <c r="Q766" s="664"/>
      <c r="R766" s="381"/>
      <c r="S766" s="279"/>
      <c r="T766" s="232"/>
      <c r="U766" s="250"/>
      <c r="V766" s="232"/>
      <c r="W766" s="232"/>
      <c r="X766" s="232"/>
      <c r="Y766" s="232"/>
      <c r="Z766" s="233"/>
      <c r="AA766" s="234"/>
      <c r="AB766" s="235"/>
      <c r="AC766" s="236"/>
      <c r="AD766" s="235"/>
      <c r="AE766" s="494"/>
      <c r="AF766" s="494"/>
      <c r="AG766" s="664"/>
      <c r="AH766" s="238"/>
      <c r="AI766" s="239"/>
      <c r="AJ766" s="303"/>
      <c r="AK766" s="241"/>
      <c r="AL766" s="122"/>
      <c r="AM766" s="122"/>
      <c r="AN766" s="113"/>
      <c r="AO766" s="114"/>
      <c r="AP766" s="115"/>
      <c r="AQ766" s="115"/>
      <c r="AR766" s="115"/>
      <c r="AS766" s="115"/>
      <c r="AT766" s="116"/>
    </row>
    <row r="767" spans="1:46" ht="39" customHeight="1" x14ac:dyDescent="0.25">
      <c r="A767" s="1468">
        <v>766</v>
      </c>
      <c r="B767" s="141">
        <v>5</v>
      </c>
      <c r="C767" s="290" t="s">
        <v>288</v>
      </c>
      <c r="D767" s="291"/>
      <c r="E767" s="291" t="s">
        <v>47</v>
      </c>
      <c r="F767" s="291"/>
      <c r="G767" s="292" t="s">
        <v>289</v>
      </c>
      <c r="H767" s="293" t="s">
        <v>132</v>
      </c>
      <c r="I767" s="344">
        <v>144</v>
      </c>
      <c r="J767" s="256">
        <v>403</v>
      </c>
      <c r="K767" s="288" t="s">
        <v>158</v>
      </c>
      <c r="L767" s="288" t="s">
        <v>3678</v>
      </c>
      <c r="M767" s="288" t="s">
        <v>3678</v>
      </c>
      <c r="N767" s="281" t="s">
        <v>4217</v>
      </c>
      <c r="O767" s="1392" t="s">
        <v>3835</v>
      </c>
      <c r="P767" s="351"/>
      <c r="Q767" s="487" t="s">
        <v>87</v>
      </c>
      <c r="R767" s="1201" t="s">
        <v>3834</v>
      </c>
      <c r="S767" s="279">
        <v>37634</v>
      </c>
      <c r="T767" s="197"/>
      <c r="U767" s="251" t="s">
        <v>54</v>
      </c>
      <c r="V767" s="197" t="s">
        <v>4578</v>
      </c>
      <c r="W767" s="250" t="s">
        <v>384</v>
      </c>
      <c r="X767" s="250" t="s">
        <v>5135</v>
      </c>
      <c r="Y767" s="197" t="s">
        <v>4604</v>
      </c>
      <c r="Z767" s="246">
        <v>45237</v>
      </c>
      <c r="AA767" s="250"/>
      <c r="AB767" s="288" t="s">
        <v>4305</v>
      </c>
      <c r="AC767" s="223" t="s">
        <v>4220</v>
      </c>
      <c r="AD767" s="299" t="s">
        <v>467</v>
      </c>
      <c r="AE767" s="494">
        <v>45093</v>
      </c>
      <c r="AF767" s="494">
        <v>45458</v>
      </c>
      <c r="AG767" s="241"/>
      <c r="AH767" s="283"/>
      <c r="AI767" s="296" t="s">
        <v>1351</v>
      </c>
      <c r="AJ767" s="303" t="s">
        <v>136</v>
      </c>
      <c r="AK767" s="348">
        <v>3</v>
      </c>
      <c r="AL767" s="123" t="s">
        <v>474</v>
      </c>
      <c r="AM767" s="123" t="s">
        <v>460</v>
      </c>
      <c r="AN767" s="130"/>
      <c r="AO767" s="130"/>
      <c r="AP767" s="115"/>
      <c r="AQ767" s="115"/>
      <c r="AR767" s="115"/>
      <c r="AS767" s="115"/>
      <c r="AT767" s="115"/>
    </row>
    <row r="768" spans="1:46" ht="39" customHeight="1" x14ac:dyDescent="0.25">
      <c r="A768" s="1468">
        <v>767</v>
      </c>
      <c r="B768" s="141">
        <v>3</v>
      </c>
      <c r="C768" s="356" t="s">
        <v>290</v>
      </c>
      <c r="D768" s="241" t="s">
        <v>134</v>
      </c>
      <c r="E768" s="241"/>
      <c r="F768" s="241"/>
      <c r="G768" s="261" t="s">
        <v>291</v>
      </c>
      <c r="H768" s="262" t="s">
        <v>85</v>
      </c>
      <c r="I768" s="346"/>
      <c r="J768" s="245" t="s">
        <v>556</v>
      </c>
      <c r="K768" s="288" t="s">
        <v>158</v>
      </c>
      <c r="L768" s="288" t="s">
        <v>3678</v>
      </c>
      <c r="M768" s="288" t="s">
        <v>3678</v>
      </c>
      <c r="N768" s="281" t="s">
        <v>4217</v>
      </c>
      <c r="O768" s="392" t="s">
        <v>3769</v>
      </c>
      <c r="P768" s="402"/>
      <c r="Q768" s="301" t="s">
        <v>293</v>
      </c>
      <c r="R768" s="1003" t="s">
        <v>3768</v>
      </c>
      <c r="S768" s="279">
        <v>38302</v>
      </c>
      <c r="T768" s="306"/>
      <c r="U768" s="251" t="s">
        <v>54</v>
      </c>
      <c r="V768" s="197" t="s">
        <v>4578</v>
      </c>
      <c r="W768" s="250" t="s">
        <v>384</v>
      </c>
      <c r="X768" s="250" t="s">
        <v>5135</v>
      </c>
      <c r="Y768" s="197" t="s">
        <v>4604</v>
      </c>
      <c r="Z768" s="246">
        <v>45237</v>
      </c>
      <c r="AA768" s="246"/>
      <c r="AB768" s="288" t="s">
        <v>4288</v>
      </c>
      <c r="AC768" s="223" t="s">
        <v>946</v>
      </c>
      <c r="AD768" s="299" t="s">
        <v>467</v>
      </c>
      <c r="AE768" s="494">
        <v>45113</v>
      </c>
      <c r="AF768" s="494">
        <v>45478</v>
      </c>
      <c r="AG768" s="392"/>
      <c r="AH768" s="283"/>
      <c r="AI768" s="296" t="s">
        <v>1351</v>
      </c>
      <c r="AJ768" s="303" t="s">
        <v>136</v>
      </c>
      <c r="AK768" s="241">
        <v>4</v>
      </c>
      <c r="AL768" s="123" t="s">
        <v>474</v>
      </c>
      <c r="AM768" s="123" t="s">
        <v>460</v>
      </c>
      <c r="AN768" s="110" t="s">
        <v>4184</v>
      </c>
      <c r="AO768" s="130"/>
      <c r="AP768" s="115"/>
      <c r="AQ768" s="115"/>
      <c r="AR768" s="115"/>
      <c r="AS768" s="115"/>
      <c r="AT768" s="115"/>
    </row>
    <row r="769" spans="1:46" ht="39" customHeight="1" x14ac:dyDescent="0.25">
      <c r="A769" s="1468">
        <v>768</v>
      </c>
      <c r="B769" s="141">
        <v>3</v>
      </c>
      <c r="C769" s="358" t="s">
        <v>297</v>
      </c>
      <c r="D769" s="241" t="s">
        <v>134</v>
      </c>
      <c r="E769" s="241"/>
      <c r="F769" s="241"/>
      <c r="G769" s="261" t="s">
        <v>298</v>
      </c>
      <c r="H769" s="262" t="s">
        <v>85</v>
      </c>
      <c r="I769" s="346"/>
      <c r="J769" s="245" t="s">
        <v>556</v>
      </c>
      <c r="K769" s="288" t="s">
        <v>158</v>
      </c>
      <c r="L769" s="288" t="s">
        <v>3678</v>
      </c>
      <c r="M769" s="288" t="s">
        <v>3678</v>
      </c>
      <c r="N769" s="281" t="s">
        <v>4217</v>
      </c>
      <c r="O769" s="1392" t="s">
        <v>3775</v>
      </c>
      <c r="P769" s="374"/>
      <c r="Q769" s="301" t="s">
        <v>293</v>
      </c>
      <c r="R769" s="1003" t="s">
        <v>3774</v>
      </c>
      <c r="S769" s="279">
        <v>38336</v>
      </c>
      <c r="T769" s="250"/>
      <c r="U769" s="251" t="s">
        <v>54</v>
      </c>
      <c r="V769" s="197" t="s">
        <v>4214</v>
      </c>
      <c r="W769" s="250" t="s">
        <v>4215</v>
      </c>
      <c r="X769" s="250" t="s">
        <v>5135</v>
      </c>
      <c r="Y769" s="949" t="s">
        <v>4216</v>
      </c>
      <c r="Z769" s="289">
        <v>45234</v>
      </c>
      <c r="AA769" s="246"/>
      <c r="AB769" s="288" t="s">
        <v>4289</v>
      </c>
      <c r="AC769" s="223" t="s">
        <v>1475</v>
      </c>
      <c r="AD769" s="299" t="s">
        <v>467</v>
      </c>
      <c r="AE769" s="494">
        <v>45108</v>
      </c>
      <c r="AF769" s="494">
        <v>45473</v>
      </c>
      <c r="AG769" s="1392"/>
      <c r="AH769" s="283"/>
      <c r="AI769" s="296" t="s">
        <v>1351</v>
      </c>
      <c r="AJ769" s="303" t="s">
        <v>136</v>
      </c>
      <c r="AK769" s="241">
        <v>4</v>
      </c>
      <c r="AL769" s="123" t="s">
        <v>474</v>
      </c>
      <c r="AM769" s="123" t="s">
        <v>460</v>
      </c>
      <c r="AN769" s="130"/>
      <c r="AO769" s="130"/>
      <c r="AP769" s="115"/>
      <c r="AQ769" s="115"/>
      <c r="AR769" s="115"/>
      <c r="AS769" s="115"/>
      <c r="AT769" s="116"/>
    </row>
    <row r="770" spans="1:46" ht="39" customHeight="1" x14ac:dyDescent="0.25">
      <c r="A770" s="1468">
        <v>769</v>
      </c>
      <c r="B770" s="141">
        <v>2</v>
      </c>
      <c r="C770" s="260" t="s">
        <v>311</v>
      </c>
      <c r="D770" s="241"/>
      <c r="E770" s="241"/>
      <c r="F770" s="241"/>
      <c r="G770" s="261" t="s">
        <v>312</v>
      </c>
      <c r="H770" s="262" t="s">
        <v>85</v>
      </c>
      <c r="I770" s="346"/>
      <c r="J770" s="245" t="s">
        <v>556</v>
      </c>
      <c r="K770" s="307"/>
      <c r="L770" s="299" t="s">
        <v>1508</v>
      </c>
      <c r="M770" s="299" t="s">
        <v>1708</v>
      </c>
      <c r="N770" s="245"/>
      <c r="O770" s="392" t="s">
        <v>2876</v>
      </c>
      <c r="P770" s="627"/>
      <c r="Q770" s="594" t="s">
        <v>293</v>
      </c>
      <c r="R770" s="999" t="s">
        <v>1643</v>
      </c>
      <c r="S770" s="279">
        <v>36332</v>
      </c>
      <c r="T770" s="289"/>
      <c r="U770" s="251" t="s">
        <v>54</v>
      </c>
      <c r="V770" s="245" t="s">
        <v>5800</v>
      </c>
      <c r="W770" s="250" t="s">
        <v>3478</v>
      </c>
      <c r="X770" s="197" t="s">
        <v>475</v>
      </c>
      <c r="Y770" s="981" t="s">
        <v>5799</v>
      </c>
      <c r="Z770" s="246">
        <v>45286</v>
      </c>
      <c r="AA770" s="281"/>
      <c r="AB770" s="288" t="s">
        <v>4404</v>
      </c>
      <c r="AC770" s="223" t="s">
        <v>482</v>
      </c>
      <c r="AD770" s="245"/>
      <c r="AE770" s="494">
        <v>45114</v>
      </c>
      <c r="AF770" s="494">
        <v>45479</v>
      </c>
      <c r="AG770" s="241"/>
      <c r="AH770" s="253"/>
      <c r="AI770" s="284" t="s">
        <v>1351</v>
      </c>
      <c r="AJ770" s="303" t="s">
        <v>136</v>
      </c>
      <c r="AK770" s="241">
        <v>4</v>
      </c>
      <c r="AL770" s="123" t="s">
        <v>474</v>
      </c>
      <c r="AM770" s="123" t="s">
        <v>460</v>
      </c>
      <c r="AN770" s="130"/>
      <c r="AO770" s="130"/>
      <c r="AP770" s="115"/>
      <c r="AQ770" s="115"/>
      <c r="AR770" s="115"/>
      <c r="AS770" s="115"/>
      <c r="AT770" s="115"/>
    </row>
    <row r="771" spans="1:46" ht="39" customHeight="1" x14ac:dyDescent="0.25">
      <c r="A771" s="1468">
        <v>770</v>
      </c>
      <c r="B771" s="141">
        <v>2</v>
      </c>
      <c r="C771" s="260" t="s">
        <v>317</v>
      </c>
      <c r="D771" s="241"/>
      <c r="E771" s="241"/>
      <c r="F771" s="241"/>
      <c r="G771" s="261" t="s">
        <v>318</v>
      </c>
      <c r="H771" s="262" t="s">
        <v>87</v>
      </c>
      <c r="I771" s="357"/>
      <c r="J771" s="245" t="s">
        <v>561</v>
      </c>
      <c r="K771" s="197"/>
      <c r="L771" s="299" t="s">
        <v>5415</v>
      </c>
      <c r="M771" s="288" t="s">
        <v>5415</v>
      </c>
      <c r="N771" s="245"/>
      <c r="O771" s="392" t="s">
        <v>5459</v>
      </c>
      <c r="P771" s="706"/>
      <c r="Q771" s="197" t="s">
        <v>87</v>
      </c>
      <c r="R771" s="682" t="s">
        <v>5458</v>
      </c>
      <c r="S771" s="279">
        <v>38649</v>
      </c>
      <c r="T771" s="289"/>
      <c r="U771" s="251" t="s">
        <v>54</v>
      </c>
      <c r="V771" s="299" t="s">
        <v>5415</v>
      </c>
      <c r="W771" s="197" t="s">
        <v>295</v>
      </c>
      <c r="X771" s="197"/>
      <c r="Y771" s="197" t="s">
        <v>5500</v>
      </c>
      <c r="Z771" s="246">
        <v>45266</v>
      </c>
      <c r="AA771" s="281"/>
      <c r="AB771" s="307" t="s">
        <v>5457</v>
      </c>
      <c r="AC771" s="223" t="s">
        <v>482</v>
      </c>
      <c r="AD771" s="245"/>
      <c r="AE771" s="494">
        <v>45261</v>
      </c>
      <c r="AF771" s="494">
        <v>45626</v>
      </c>
      <c r="AG771" s="241"/>
      <c r="AH771" s="253"/>
      <c r="AI771" s="307" t="s">
        <v>4208</v>
      </c>
      <c r="AJ771" s="303" t="s">
        <v>136</v>
      </c>
      <c r="AK771" s="241">
        <v>4</v>
      </c>
      <c r="AL771" s="123" t="s">
        <v>474</v>
      </c>
      <c r="AM771" s="123" t="s">
        <v>460</v>
      </c>
      <c r="AN771" s="110"/>
      <c r="AO771" s="110"/>
      <c r="AP771" s="115"/>
      <c r="AQ771" s="115"/>
      <c r="AR771" s="115"/>
      <c r="AS771" s="115"/>
      <c r="AT771" s="115"/>
    </row>
    <row r="772" spans="1:46" ht="39" customHeight="1" x14ac:dyDescent="0.25">
      <c r="A772" s="1468">
        <v>771</v>
      </c>
      <c r="B772" s="146">
        <v>2</v>
      </c>
      <c r="C772" s="260" t="s">
        <v>319</v>
      </c>
      <c r="D772" s="241"/>
      <c r="E772" s="241"/>
      <c r="F772" s="241"/>
      <c r="G772" s="261" t="s">
        <v>320</v>
      </c>
      <c r="H772" s="262" t="s">
        <v>87</v>
      </c>
      <c r="I772" s="357"/>
      <c r="J772" s="245" t="s">
        <v>561</v>
      </c>
      <c r="K772" s="216"/>
      <c r="L772" s="299" t="s">
        <v>1508</v>
      </c>
      <c r="M772" s="299" t="s">
        <v>1708</v>
      </c>
      <c r="N772" s="245"/>
      <c r="O772" s="392" t="s">
        <v>3032</v>
      </c>
      <c r="P772" s="627"/>
      <c r="Q772" s="594" t="s">
        <v>293</v>
      </c>
      <c r="R772" s="381" t="s">
        <v>1655</v>
      </c>
      <c r="S772" s="279">
        <v>37946</v>
      </c>
      <c r="T772" s="289"/>
      <c r="U772" s="251" t="s">
        <v>54</v>
      </c>
      <c r="V772" s="197" t="s">
        <v>4578</v>
      </c>
      <c r="W772" s="250" t="s">
        <v>384</v>
      </c>
      <c r="X772" s="250" t="s">
        <v>5135</v>
      </c>
      <c r="Y772" s="197" t="s">
        <v>4604</v>
      </c>
      <c r="Z772" s="246">
        <v>45237</v>
      </c>
      <c r="AA772" s="281"/>
      <c r="AB772" s="288" t="s">
        <v>4406</v>
      </c>
      <c r="AC772" s="223" t="s">
        <v>482</v>
      </c>
      <c r="AD772" s="245"/>
      <c r="AE772" s="494">
        <v>45114</v>
      </c>
      <c r="AF772" s="494">
        <v>45479</v>
      </c>
      <c r="AG772" s="241"/>
      <c r="AH772" s="253"/>
      <c r="AI772" s="284" t="s">
        <v>1351</v>
      </c>
      <c r="AJ772" s="303" t="s">
        <v>136</v>
      </c>
      <c r="AK772" s="241">
        <v>4</v>
      </c>
      <c r="AL772" s="123" t="s">
        <v>474</v>
      </c>
      <c r="AM772" s="123" t="s">
        <v>460</v>
      </c>
      <c r="AN772" s="110"/>
      <c r="AO772" s="110"/>
      <c r="AP772" s="115"/>
      <c r="AQ772" s="115"/>
      <c r="AR772" s="115"/>
      <c r="AS772" s="115"/>
      <c r="AT772" s="116"/>
    </row>
    <row r="773" spans="1:46" ht="39" customHeight="1" x14ac:dyDescent="0.25">
      <c r="A773" s="1468">
        <v>772</v>
      </c>
      <c r="B773" s="141">
        <v>2</v>
      </c>
      <c r="C773" s="378" t="s">
        <v>321</v>
      </c>
      <c r="D773" s="303"/>
      <c r="E773" s="241"/>
      <c r="F773" s="241"/>
      <c r="G773" s="261" t="s">
        <v>322</v>
      </c>
      <c r="H773" s="262" t="s">
        <v>87</v>
      </c>
      <c r="I773" s="364"/>
      <c r="J773" s="245" t="s">
        <v>561</v>
      </c>
      <c r="K773" s="257"/>
      <c r="L773" s="299" t="s">
        <v>1508</v>
      </c>
      <c r="M773" s="299" t="s">
        <v>1708</v>
      </c>
      <c r="N773" s="245"/>
      <c r="O773" s="392" t="s">
        <v>2928</v>
      </c>
      <c r="P773" s="627"/>
      <c r="Q773" s="594" t="s">
        <v>293</v>
      </c>
      <c r="R773" s="381" t="s">
        <v>1649</v>
      </c>
      <c r="S773" s="279">
        <v>37887</v>
      </c>
      <c r="T773" s="289"/>
      <c r="U773" s="251" t="s">
        <v>54</v>
      </c>
      <c r="V773" s="245" t="s">
        <v>5800</v>
      </c>
      <c r="W773" s="250" t="s">
        <v>3478</v>
      </c>
      <c r="X773" s="197" t="s">
        <v>475</v>
      </c>
      <c r="Y773" s="981" t="s">
        <v>5799</v>
      </c>
      <c r="Z773" s="246">
        <v>45286</v>
      </c>
      <c r="AA773" s="281"/>
      <c r="AB773" s="1183" t="s">
        <v>4407</v>
      </c>
      <c r="AC773" s="223" t="s">
        <v>482</v>
      </c>
      <c r="AD773" s="245"/>
      <c r="AE773" s="494">
        <v>45114</v>
      </c>
      <c r="AF773" s="494">
        <v>45479</v>
      </c>
      <c r="AG773" s="241"/>
      <c r="AH773" s="253"/>
      <c r="AI773" s="284" t="s">
        <v>1351</v>
      </c>
      <c r="AJ773" s="303" t="s">
        <v>136</v>
      </c>
      <c r="AK773" s="241">
        <v>4</v>
      </c>
      <c r="AL773" s="123" t="s">
        <v>474</v>
      </c>
      <c r="AM773" s="123" t="s">
        <v>460</v>
      </c>
      <c r="AN773" s="110"/>
      <c r="AO773" s="110"/>
      <c r="AP773" s="115"/>
      <c r="AQ773" s="115"/>
      <c r="AR773" s="115"/>
      <c r="AS773" s="115"/>
      <c r="AT773" s="115"/>
    </row>
    <row r="774" spans="1:46" ht="39" customHeight="1" x14ac:dyDescent="0.25">
      <c r="A774" s="1468">
        <v>773</v>
      </c>
      <c r="B774" s="141">
        <v>1</v>
      </c>
      <c r="C774" s="378" t="s">
        <v>323</v>
      </c>
      <c r="D774" s="303"/>
      <c r="E774" s="241"/>
      <c r="F774" s="241"/>
      <c r="G774" s="261" t="s">
        <v>324</v>
      </c>
      <c r="H774" s="262" t="s">
        <v>87</v>
      </c>
      <c r="I774" s="357"/>
      <c r="J774" s="245" t="s">
        <v>561</v>
      </c>
      <c r="K774" s="216"/>
      <c r="L774" s="299" t="s">
        <v>1508</v>
      </c>
      <c r="M774" s="299" t="s">
        <v>1708</v>
      </c>
      <c r="N774" s="245"/>
      <c r="O774" s="392" t="s">
        <v>2878</v>
      </c>
      <c r="P774" s="627"/>
      <c r="Q774" s="594" t="s">
        <v>293</v>
      </c>
      <c r="R774" s="381" t="s">
        <v>1644</v>
      </c>
      <c r="S774" s="279">
        <v>38393</v>
      </c>
      <c r="T774" s="289"/>
      <c r="U774" s="251" t="s">
        <v>54</v>
      </c>
      <c r="V774" s="245" t="s">
        <v>5800</v>
      </c>
      <c r="W774" s="250" t="s">
        <v>3478</v>
      </c>
      <c r="X774" s="197" t="s">
        <v>475</v>
      </c>
      <c r="Y774" s="981" t="s">
        <v>5799</v>
      </c>
      <c r="Z774" s="246">
        <v>45286</v>
      </c>
      <c r="AA774" s="281"/>
      <c r="AB774" s="1183" t="s">
        <v>4408</v>
      </c>
      <c r="AC774" s="223" t="s">
        <v>482</v>
      </c>
      <c r="AD774" s="245"/>
      <c r="AE774" s="494">
        <v>45114</v>
      </c>
      <c r="AF774" s="494">
        <v>45479</v>
      </c>
      <c r="AG774" s="241"/>
      <c r="AH774" s="253"/>
      <c r="AI774" s="284" t="s">
        <v>1351</v>
      </c>
      <c r="AJ774" s="303" t="s">
        <v>136</v>
      </c>
      <c r="AK774" s="241">
        <v>4</v>
      </c>
      <c r="AL774" s="123" t="s">
        <v>474</v>
      </c>
      <c r="AM774" s="123" t="s">
        <v>460</v>
      </c>
      <c r="AN774" s="110"/>
      <c r="AO774" s="110"/>
      <c r="AP774" s="115"/>
      <c r="AQ774" s="115"/>
      <c r="AR774" s="115"/>
      <c r="AS774" s="115"/>
      <c r="AT774" s="115"/>
    </row>
    <row r="775" spans="1:46" ht="39" customHeight="1" x14ac:dyDescent="0.25">
      <c r="A775" s="1468">
        <v>774</v>
      </c>
      <c r="B775" s="141">
        <v>1</v>
      </c>
      <c r="C775" s="260" t="s">
        <v>325</v>
      </c>
      <c r="D775" s="241"/>
      <c r="E775" s="241"/>
      <c r="F775" s="241"/>
      <c r="G775" s="261" t="s">
        <v>324</v>
      </c>
      <c r="H775" s="262" t="s">
        <v>87</v>
      </c>
      <c r="I775" s="357"/>
      <c r="J775" s="245" t="s">
        <v>561</v>
      </c>
      <c r="K775" s="216"/>
      <c r="L775" s="299" t="s">
        <v>1508</v>
      </c>
      <c r="M775" s="299" t="s">
        <v>1708</v>
      </c>
      <c r="N775" s="245"/>
      <c r="O775" s="392" t="s">
        <v>2882</v>
      </c>
      <c r="P775" s="627"/>
      <c r="Q775" s="594" t="s">
        <v>293</v>
      </c>
      <c r="R775" s="381" t="s">
        <v>1707</v>
      </c>
      <c r="S775" s="279">
        <v>37404</v>
      </c>
      <c r="T775" s="289"/>
      <c r="U775" s="250" t="s">
        <v>54</v>
      </c>
      <c r="V775" s="197" t="s">
        <v>6193</v>
      </c>
      <c r="W775" s="250" t="s">
        <v>295</v>
      </c>
      <c r="X775" s="197" t="s">
        <v>475</v>
      </c>
      <c r="Y775" s="197" t="s">
        <v>6197</v>
      </c>
      <c r="Z775" s="246">
        <v>45324</v>
      </c>
      <c r="AA775" s="281"/>
      <c r="AB775" s="1183" t="s">
        <v>4401</v>
      </c>
      <c r="AC775" s="223" t="s">
        <v>482</v>
      </c>
      <c r="AD775" s="245"/>
      <c r="AE775" s="494">
        <v>45114</v>
      </c>
      <c r="AF775" s="494">
        <v>45479</v>
      </c>
      <c r="AG775" s="241"/>
      <c r="AH775" s="253"/>
      <c r="AI775" s="284" t="s">
        <v>1351</v>
      </c>
      <c r="AJ775" s="303" t="s">
        <v>136</v>
      </c>
      <c r="AK775" s="241">
        <v>4</v>
      </c>
      <c r="AL775" s="123" t="s">
        <v>474</v>
      </c>
      <c r="AM775" s="123" t="s">
        <v>460</v>
      </c>
      <c r="AN775" s="110"/>
      <c r="AO775" s="110"/>
      <c r="AP775" s="115"/>
      <c r="AQ775" s="115"/>
      <c r="AR775" s="115"/>
      <c r="AS775" s="115"/>
      <c r="AT775" s="115"/>
    </row>
    <row r="776" spans="1:46" ht="39" customHeight="1" x14ac:dyDescent="0.25">
      <c r="A776" s="1468">
        <v>775</v>
      </c>
      <c r="B776" s="117"/>
      <c r="C776" s="324"/>
      <c r="D776" s="664"/>
      <c r="E776" s="664"/>
      <c r="F776" s="664"/>
      <c r="G776" s="227"/>
      <c r="H776" s="228"/>
      <c r="I776" s="228"/>
      <c r="J776" s="229"/>
      <c r="K776" s="227"/>
      <c r="L776" s="229"/>
      <c r="M776" s="229"/>
      <c r="N776" s="229"/>
      <c r="O776" s="216"/>
      <c r="P776" s="230" t="s">
        <v>327</v>
      </c>
      <c r="Q776" s="664"/>
      <c r="R776" s="381"/>
      <c r="S776" s="279"/>
      <c r="T776" s="232"/>
      <c r="U776" s="250"/>
      <c r="V776" s="232"/>
      <c r="W776" s="232"/>
      <c r="X776" s="232"/>
      <c r="Y776" s="232"/>
      <c r="Z776" s="233"/>
      <c r="AA776" s="234"/>
      <c r="AB776" s="235"/>
      <c r="AC776" s="236"/>
      <c r="AD776" s="235"/>
      <c r="AE776" s="494"/>
      <c r="AF776" s="494"/>
      <c r="AG776" s="664"/>
      <c r="AH776" s="238"/>
      <c r="AI776" s="239"/>
      <c r="AJ776" s="303"/>
      <c r="AK776" s="241"/>
      <c r="AL776" s="122"/>
      <c r="AM776" s="122"/>
      <c r="AN776" s="113"/>
      <c r="AO776" s="114"/>
      <c r="AP776" s="115"/>
      <c r="AQ776" s="115"/>
      <c r="AR776" s="115"/>
      <c r="AS776" s="115"/>
      <c r="AT776" s="116"/>
    </row>
    <row r="777" spans="1:46" ht="39" customHeight="1" x14ac:dyDescent="0.25">
      <c r="A777" s="1468">
        <v>776</v>
      </c>
      <c r="B777" s="141">
        <v>5</v>
      </c>
      <c r="C777" s="290" t="s">
        <v>288</v>
      </c>
      <c r="D777" s="291"/>
      <c r="E777" s="291" t="s">
        <v>47</v>
      </c>
      <c r="F777" s="291"/>
      <c r="G777" s="292" t="s">
        <v>289</v>
      </c>
      <c r="H777" s="293" t="s">
        <v>132</v>
      </c>
      <c r="I777" s="344">
        <v>144</v>
      </c>
      <c r="J777" s="256">
        <v>403</v>
      </c>
      <c r="K777" s="756" t="s">
        <v>4571</v>
      </c>
      <c r="L777" s="756" t="s">
        <v>3678</v>
      </c>
      <c r="M777" s="756" t="s">
        <v>3678</v>
      </c>
      <c r="N777" s="441" t="s">
        <v>4217</v>
      </c>
      <c r="O777" s="1393" t="s">
        <v>3846</v>
      </c>
      <c r="P777" s="720"/>
      <c r="Q777" s="397" t="s">
        <v>87</v>
      </c>
      <c r="R777" s="1395" t="s">
        <v>3845</v>
      </c>
      <c r="S777" s="279">
        <v>37641</v>
      </c>
      <c r="T777" s="280"/>
      <c r="U777" s="251" t="s">
        <v>54</v>
      </c>
      <c r="V777" s="280" t="s">
        <v>4214</v>
      </c>
      <c r="W777" s="443" t="s">
        <v>4215</v>
      </c>
      <c r="X777" s="250" t="s">
        <v>5135</v>
      </c>
      <c r="Y777" s="1237" t="s">
        <v>4216</v>
      </c>
      <c r="Z777" s="399">
        <v>45234</v>
      </c>
      <c r="AA777" s="486"/>
      <c r="AB777" s="756" t="s">
        <v>4282</v>
      </c>
      <c r="AC777" s="488" t="s">
        <v>946</v>
      </c>
      <c r="AD777" s="412" t="s">
        <v>467</v>
      </c>
      <c r="AE777" s="494">
        <v>45103</v>
      </c>
      <c r="AF777" s="494">
        <v>45468</v>
      </c>
      <c r="AG777" s="476"/>
      <c r="AH777" s="489"/>
      <c r="AI777" s="721" t="s">
        <v>1351</v>
      </c>
      <c r="AJ777" s="507" t="s">
        <v>136</v>
      </c>
      <c r="AK777" s="348">
        <v>3</v>
      </c>
      <c r="AL777" s="123" t="s">
        <v>474</v>
      </c>
      <c r="AM777" s="123" t="s">
        <v>460</v>
      </c>
      <c r="AN777" s="130"/>
      <c r="AO777" s="130"/>
      <c r="AP777" s="115"/>
      <c r="AQ777" s="115"/>
      <c r="AR777" s="115"/>
      <c r="AS777" s="115"/>
      <c r="AT777" s="115"/>
    </row>
    <row r="778" spans="1:46" ht="39" customHeight="1" x14ac:dyDescent="0.25">
      <c r="A778" s="1468">
        <v>777</v>
      </c>
      <c r="B778" s="141">
        <v>3</v>
      </c>
      <c r="C778" s="356" t="s">
        <v>290</v>
      </c>
      <c r="D778" s="241" t="s">
        <v>134</v>
      </c>
      <c r="E778" s="241"/>
      <c r="F778" s="241"/>
      <c r="G778" s="261" t="s">
        <v>291</v>
      </c>
      <c r="H778" s="262" t="s">
        <v>85</v>
      </c>
      <c r="I778" s="346"/>
      <c r="J778" s="245" t="s">
        <v>556</v>
      </c>
      <c r="K778" s="288" t="s">
        <v>158</v>
      </c>
      <c r="L778" s="288" t="s">
        <v>3678</v>
      </c>
      <c r="M778" s="288" t="s">
        <v>3678</v>
      </c>
      <c r="N778" s="281" t="s">
        <v>4217</v>
      </c>
      <c r="O778" s="1392" t="s">
        <v>3739</v>
      </c>
      <c r="P778" s="1113"/>
      <c r="Q778" s="487" t="s">
        <v>87</v>
      </c>
      <c r="R778" s="1201" t="s">
        <v>3738</v>
      </c>
      <c r="S778" s="279">
        <v>37909</v>
      </c>
      <c r="T778" s="289"/>
      <c r="U778" s="251" t="s">
        <v>54</v>
      </c>
      <c r="V778" s="245" t="s">
        <v>5800</v>
      </c>
      <c r="W778" s="250" t="s">
        <v>3478</v>
      </c>
      <c r="X778" s="197" t="s">
        <v>475</v>
      </c>
      <c r="Y778" s="981" t="s">
        <v>5799</v>
      </c>
      <c r="Z778" s="246">
        <v>45286</v>
      </c>
      <c r="AA778" s="246"/>
      <c r="AB778" s="288" t="s">
        <v>4281</v>
      </c>
      <c r="AC778" s="223" t="s">
        <v>946</v>
      </c>
      <c r="AD778" s="299" t="s">
        <v>467</v>
      </c>
      <c r="AE778" s="494">
        <v>45102</v>
      </c>
      <c r="AF778" s="494">
        <v>45467</v>
      </c>
      <c r="AG778" s="1392"/>
      <c r="AH778" s="283"/>
      <c r="AI778" s="296" t="s">
        <v>1351</v>
      </c>
      <c r="AJ778" s="303" t="s">
        <v>136</v>
      </c>
      <c r="AK778" s="241">
        <v>4</v>
      </c>
      <c r="AL778" s="123" t="s">
        <v>474</v>
      </c>
      <c r="AM778" s="123" t="s">
        <v>460</v>
      </c>
      <c r="AN778" s="110" t="s">
        <v>4184</v>
      </c>
      <c r="AO778" s="130"/>
      <c r="AP778" s="115"/>
      <c r="AQ778" s="115"/>
      <c r="AR778" s="115"/>
      <c r="AS778" s="115"/>
      <c r="AT778" s="115"/>
    </row>
    <row r="779" spans="1:46" ht="39" customHeight="1" x14ac:dyDescent="0.25">
      <c r="A779" s="1468">
        <v>778</v>
      </c>
      <c r="B779" s="141">
        <v>3</v>
      </c>
      <c r="C779" s="358" t="s">
        <v>297</v>
      </c>
      <c r="D779" s="241" t="s">
        <v>134</v>
      </c>
      <c r="E779" s="241"/>
      <c r="F779" s="241"/>
      <c r="G779" s="261" t="s">
        <v>298</v>
      </c>
      <c r="H779" s="262" t="s">
        <v>85</v>
      </c>
      <c r="I779" s="346"/>
      <c r="J779" s="245" t="s">
        <v>556</v>
      </c>
      <c r="K779" s="288" t="s">
        <v>158</v>
      </c>
      <c r="L779" s="288" t="s">
        <v>3678</v>
      </c>
      <c r="M779" s="288" t="s">
        <v>3678</v>
      </c>
      <c r="N779" s="281" t="s">
        <v>4217</v>
      </c>
      <c r="O779" s="216" t="s">
        <v>3743</v>
      </c>
      <c r="P779" s="1114"/>
      <c r="Q779" s="397" t="s">
        <v>87</v>
      </c>
      <c r="R779" s="1201" t="s">
        <v>3742</v>
      </c>
      <c r="S779" s="279">
        <v>38053</v>
      </c>
      <c r="T779" s="684"/>
      <c r="U779" s="251" t="s">
        <v>54</v>
      </c>
      <c r="V779" s="245" t="s">
        <v>5948</v>
      </c>
      <c r="W779" s="250" t="s">
        <v>295</v>
      </c>
      <c r="X779" s="197" t="s">
        <v>475</v>
      </c>
      <c r="Y779" s="981" t="s">
        <v>5950</v>
      </c>
      <c r="Z779" s="246">
        <v>45309</v>
      </c>
      <c r="AA779" s="246"/>
      <c r="AB779" s="288" t="s">
        <v>4254</v>
      </c>
      <c r="AC779" s="223" t="s">
        <v>946</v>
      </c>
      <c r="AD779" s="299" t="s">
        <v>467</v>
      </c>
      <c r="AE779" s="494">
        <v>45106</v>
      </c>
      <c r="AF779" s="494">
        <v>45471</v>
      </c>
      <c r="AG779" s="1392"/>
      <c r="AH779" s="283"/>
      <c r="AI779" s="296" t="s">
        <v>1351</v>
      </c>
      <c r="AJ779" s="303" t="s">
        <v>136</v>
      </c>
      <c r="AK779" s="241">
        <v>4</v>
      </c>
      <c r="AL779" s="123" t="s">
        <v>474</v>
      </c>
      <c r="AM779" s="123" t="s">
        <v>460</v>
      </c>
      <c r="AN779" s="130"/>
      <c r="AO779" s="130"/>
      <c r="AP779" s="115"/>
      <c r="AQ779" s="115"/>
      <c r="AR779" s="115"/>
      <c r="AS779" s="115"/>
      <c r="AT779" s="116"/>
    </row>
    <row r="780" spans="1:46" ht="39" customHeight="1" x14ac:dyDescent="0.25">
      <c r="A780" s="1468">
        <v>779</v>
      </c>
      <c r="B780" s="141">
        <v>2</v>
      </c>
      <c r="C780" s="260" t="s">
        <v>311</v>
      </c>
      <c r="D780" s="241"/>
      <c r="E780" s="241"/>
      <c r="F780" s="241"/>
      <c r="G780" s="261" t="s">
        <v>312</v>
      </c>
      <c r="H780" s="262" t="s">
        <v>85</v>
      </c>
      <c r="I780" s="346"/>
      <c r="J780" s="245" t="s">
        <v>556</v>
      </c>
      <c r="K780" s="595"/>
      <c r="L780" s="299" t="s">
        <v>1508</v>
      </c>
      <c r="M780" s="299" t="s">
        <v>1708</v>
      </c>
      <c r="N780" s="245"/>
      <c r="O780" s="392" t="s">
        <v>2889</v>
      </c>
      <c r="P780" s="627"/>
      <c r="Q780" s="301" t="s">
        <v>293</v>
      </c>
      <c r="R780" s="1010" t="s">
        <v>1646</v>
      </c>
      <c r="S780" s="279">
        <v>38344</v>
      </c>
      <c r="T780" s="289"/>
      <c r="U780" s="251" t="s">
        <v>54</v>
      </c>
      <c r="V780" s="245" t="s">
        <v>5800</v>
      </c>
      <c r="W780" s="250" t="s">
        <v>3478</v>
      </c>
      <c r="X780" s="197" t="s">
        <v>475</v>
      </c>
      <c r="Y780" s="981" t="s">
        <v>5799</v>
      </c>
      <c r="Z780" s="246">
        <v>45286</v>
      </c>
      <c r="AA780" s="281"/>
      <c r="AB780" s="1183" t="s">
        <v>4401</v>
      </c>
      <c r="AC780" s="223" t="s">
        <v>482</v>
      </c>
      <c r="AD780" s="245"/>
      <c r="AE780" s="494">
        <v>45114</v>
      </c>
      <c r="AF780" s="494">
        <v>45479</v>
      </c>
      <c r="AG780" s="241"/>
      <c r="AH780" s="253"/>
      <c r="AI780" s="284" t="s">
        <v>1351</v>
      </c>
      <c r="AJ780" s="303" t="s">
        <v>136</v>
      </c>
      <c r="AK780" s="241">
        <v>4</v>
      </c>
      <c r="AL780" s="123" t="s">
        <v>474</v>
      </c>
      <c r="AM780" s="123" t="s">
        <v>460</v>
      </c>
      <c r="AN780" s="130"/>
      <c r="AO780" s="130"/>
      <c r="AP780" s="115"/>
      <c r="AQ780" s="115"/>
      <c r="AR780" s="115"/>
      <c r="AS780" s="115"/>
      <c r="AT780" s="115"/>
    </row>
    <row r="781" spans="1:46" ht="39" customHeight="1" x14ac:dyDescent="0.25">
      <c r="A781" s="1468">
        <v>780</v>
      </c>
      <c r="B781" s="141">
        <v>2</v>
      </c>
      <c r="C781" s="260" t="s">
        <v>317</v>
      </c>
      <c r="D781" s="241"/>
      <c r="E781" s="241"/>
      <c r="F781" s="241"/>
      <c r="G781" s="261" t="s">
        <v>318</v>
      </c>
      <c r="H781" s="262" t="s">
        <v>87</v>
      </c>
      <c r="I781" s="357"/>
      <c r="J781" s="245" t="s">
        <v>561</v>
      </c>
      <c r="K781" s="250"/>
      <c r="L781" s="299" t="s">
        <v>1508</v>
      </c>
      <c r="M781" s="299" t="s">
        <v>1708</v>
      </c>
      <c r="N781" s="245"/>
      <c r="O781" s="392" t="s">
        <v>2932</v>
      </c>
      <c r="P781" s="627"/>
      <c r="Q781" s="594" t="s">
        <v>293</v>
      </c>
      <c r="R781" s="1267" t="s">
        <v>1650</v>
      </c>
      <c r="S781" s="279"/>
      <c r="T781" s="289"/>
      <c r="U781" s="251" t="s">
        <v>54</v>
      </c>
      <c r="V781" s="197" t="s">
        <v>4578</v>
      </c>
      <c r="W781" s="250" t="s">
        <v>384</v>
      </c>
      <c r="X781" s="250" t="s">
        <v>5135</v>
      </c>
      <c r="Y781" s="197" t="s">
        <v>4604</v>
      </c>
      <c r="Z781" s="246">
        <v>45237</v>
      </c>
      <c r="AA781" s="281"/>
      <c r="AB781" s="245"/>
      <c r="AC781" s="223" t="s">
        <v>946</v>
      </c>
      <c r="AD781" s="245"/>
      <c r="AE781" s="494"/>
      <c r="AF781" s="494"/>
      <c r="AG781" s="241"/>
      <c r="AH781" s="253"/>
      <c r="AI781" s="284" t="s">
        <v>1351</v>
      </c>
      <c r="AJ781" s="303" t="s">
        <v>136</v>
      </c>
      <c r="AK781" s="241">
        <v>4</v>
      </c>
      <c r="AL781" s="123" t="s">
        <v>474</v>
      </c>
      <c r="AM781" s="123" t="s">
        <v>460</v>
      </c>
      <c r="AN781" s="110"/>
      <c r="AO781" s="110"/>
      <c r="AP781" s="115"/>
      <c r="AQ781" s="115"/>
      <c r="AR781" s="115"/>
      <c r="AS781" s="115"/>
      <c r="AT781" s="115"/>
    </row>
    <row r="782" spans="1:46" ht="39" customHeight="1" x14ac:dyDescent="0.25">
      <c r="A782" s="1468">
        <v>781</v>
      </c>
      <c r="B782" s="146">
        <v>2</v>
      </c>
      <c r="C782" s="260" t="s">
        <v>319</v>
      </c>
      <c r="D782" s="241"/>
      <c r="E782" s="241"/>
      <c r="F782" s="241"/>
      <c r="G782" s="261" t="s">
        <v>320</v>
      </c>
      <c r="H782" s="262" t="s">
        <v>87</v>
      </c>
      <c r="I782" s="357"/>
      <c r="J782" s="245" t="s">
        <v>561</v>
      </c>
      <c r="K782" s="265"/>
      <c r="L782" s="289" t="s">
        <v>3906</v>
      </c>
      <c r="M782" s="289" t="s">
        <v>3906</v>
      </c>
      <c r="N782" s="366"/>
      <c r="O782" s="392" t="s">
        <v>3908</v>
      </c>
      <c r="P782" s="402" t="s">
        <v>1828</v>
      </c>
      <c r="Q782" s="344" t="s">
        <v>293</v>
      </c>
      <c r="R782" s="982" t="s">
        <v>3907</v>
      </c>
      <c r="S782" s="279">
        <v>28132</v>
      </c>
      <c r="T782" s="197"/>
      <c r="U782" s="251" t="s">
        <v>54</v>
      </c>
      <c r="V782" s="197" t="s">
        <v>5512</v>
      </c>
      <c r="W782" s="250" t="s">
        <v>56</v>
      </c>
      <c r="X782" s="197" t="s">
        <v>57</v>
      </c>
      <c r="Y782" s="197" t="s">
        <v>5726</v>
      </c>
      <c r="Z782" s="246">
        <v>45272</v>
      </c>
      <c r="AA782" s="252"/>
      <c r="AB782" s="361"/>
      <c r="AC782" s="223"/>
      <c r="AD782" s="376"/>
      <c r="AE782" s="494"/>
      <c r="AF782" s="494"/>
      <c r="AG782" s="241"/>
      <c r="AH782" s="283"/>
      <c r="AI782" s="254"/>
      <c r="AJ782" s="348" t="s">
        <v>560</v>
      </c>
      <c r="AK782" s="241">
        <v>4</v>
      </c>
      <c r="AL782" s="123" t="s">
        <v>474</v>
      </c>
      <c r="AM782" s="123" t="s">
        <v>460</v>
      </c>
      <c r="AN782" s="110"/>
      <c r="AO782" s="110"/>
      <c r="AP782" s="115"/>
      <c r="AQ782" s="115"/>
      <c r="AR782" s="115"/>
      <c r="AS782" s="115"/>
      <c r="AT782" s="116"/>
    </row>
    <row r="783" spans="1:46" ht="39" customHeight="1" x14ac:dyDescent="0.25">
      <c r="A783" s="1468">
        <v>782</v>
      </c>
      <c r="B783" s="141">
        <v>2</v>
      </c>
      <c r="C783" s="378" t="s">
        <v>321</v>
      </c>
      <c r="D783" s="303"/>
      <c r="E783" s="241"/>
      <c r="F783" s="241"/>
      <c r="G783" s="261" t="s">
        <v>322</v>
      </c>
      <c r="H783" s="262" t="s">
        <v>87</v>
      </c>
      <c r="I783" s="357"/>
      <c r="J783" s="245" t="s">
        <v>561</v>
      </c>
      <c r="K783" s="216"/>
      <c r="L783" s="299" t="s">
        <v>1508</v>
      </c>
      <c r="M783" s="299" t="s">
        <v>1708</v>
      </c>
      <c r="N783" s="245"/>
      <c r="O783" s="392" t="s">
        <v>3156</v>
      </c>
      <c r="P783" s="627"/>
      <c r="Q783" s="594" t="s">
        <v>293</v>
      </c>
      <c r="R783" s="381" t="s">
        <v>1661</v>
      </c>
      <c r="S783" s="279">
        <v>38476</v>
      </c>
      <c r="T783" s="289"/>
      <c r="U783" s="251" t="s">
        <v>54</v>
      </c>
      <c r="V783" s="245" t="s">
        <v>5800</v>
      </c>
      <c r="W783" s="250" t="s">
        <v>3478</v>
      </c>
      <c r="X783" s="197" t="s">
        <v>475</v>
      </c>
      <c r="Y783" s="981" t="s">
        <v>5799</v>
      </c>
      <c r="Z783" s="246">
        <v>45286</v>
      </c>
      <c r="AA783" s="281"/>
      <c r="AB783" s="250" t="s">
        <v>4409</v>
      </c>
      <c r="AC783" s="223" t="s">
        <v>482</v>
      </c>
      <c r="AD783" s="245"/>
      <c r="AE783" s="494">
        <v>45114</v>
      </c>
      <c r="AF783" s="494">
        <v>45479</v>
      </c>
      <c r="AG783" s="241"/>
      <c r="AH783" s="253"/>
      <c r="AI783" s="284" t="s">
        <v>1351</v>
      </c>
      <c r="AJ783" s="303" t="s">
        <v>136</v>
      </c>
      <c r="AK783" s="241">
        <v>4</v>
      </c>
      <c r="AL783" s="123" t="s">
        <v>474</v>
      </c>
      <c r="AM783" s="123" t="s">
        <v>460</v>
      </c>
      <c r="AN783" s="110"/>
      <c r="AO783" s="110"/>
      <c r="AP783" s="115"/>
      <c r="AQ783" s="115"/>
      <c r="AR783" s="115"/>
      <c r="AS783" s="115"/>
      <c r="AT783" s="115"/>
    </row>
    <row r="784" spans="1:46" ht="39" customHeight="1" x14ac:dyDescent="0.25">
      <c r="A784" s="1468">
        <v>783</v>
      </c>
      <c r="B784" s="141">
        <v>1</v>
      </c>
      <c r="C784" s="378" t="s">
        <v>323</v>
      </c>
      <c r="D784" s="303"/>
      <c r="E784" s="241"/>
      <c r="F784" s="241"/>
      <c r="G784" s="261" t="s">
        <v>324</v>
      </c>
      <c r="H784" s="262" t="s">
        <v>87</v>
      </c>
      <c r="I784" s="364"/>
      <c r="J784" s="245" t="s">
        <v>561</v>
      </c>
      <c r="K784" s="301"/>
      <c r="L784" s="299" t="s">
        <v>1508</v>
      </c>
      <c r="M784" s="299" t="s">
        <v>1708</v>
      </c>
      <c r="N784" s="245"/>
      <c r="O784" s="392" t="s">
        <v>2993</v>
      </c>
      <c r="P784" s="627"/>
      <c r="Q784" s="594" t="s">
        <v>293</v>
      </c>
      <c r="R784" s="381" t="s">
        <v>1652</v>
      </c>
      <c r="S784" s="279">
        <v>38198</v>
      </c>
      <c r="T784" s="289"/>
      <c r="U784" s="251" t="s">
        <v>54</v>
      </c>
      <c r="V784" s="197" t="s">
        <v>4578</v>
      </c>
      <c r="W784" s="250" t="s">
        <v>384</v>
      </c>
      <c r="X784" s="250" t="s">
        <v>5135</v>
      </c>
      <c r="Y784" s="197" t="s">
        <v>4604</v>
      </c>
      <c r="Z784" s="246">
        <v>45237</v>
      </c>
      <c r="AA784" s="281"/>
      <c r="AB784" s="1183" t="s">
        <v>4410</v>
      </c>
      <c r="AC784" s="223" t="s">
        <v>482</v>
      </c>
      <c r="AD784" s="245"/>
      <c r="AE784" s="494">
        <v>45114</v>
      </c>
      <c r="AF784" s="494">
        <v>45479</v>
      </c>
      <c r="AG784" s="241"/>
      <c r="AH784" s="253"/>
      <c r="AI784" s="284" t="s">
        <v>1351</v>
      </c>
      <c r="AJ784" s="303" t="s">
        <v>136</v>
      </c>
      <c r="AK784" s="241">
        <v>4</v>
      </c>
      <c r="AL784" s="123" t="s">
        <v>474</v>
      </c>
      <c r="AM784" s="123" t="s">
        <v>460</v>
      </c>
      <c r="AN784" s="110"/>
      <c r="AO784" s="110"/>
      <c r="AP784" s="115"/>
      <c r="AQ784" s="115"/>
      <c r="AR784" s="115"/>
      <c r="AS784" s="115"/>
      <c r="AT784" s="115"/>
    </row>
    <row r="785" spans="1:46" ht="39" customHeight="1" x14ac:dyDescent="0.25">
      <c r="A785" s="1468">
        <v>784</v>
      </c>
      <c r="B785" s="141">
        <v>1</v>
      </c>
      <c r="C785" s="260" t="s">
        <v>325</v>
      </c>
      <c r="D785" s="241"/>
      <c r="E785" s="241"/>
      <c r="F785" s="241"/>
      <c r="G785" s="261" t="s">
        <v>324</v>
      </c>
      <c r="H785" s="262" t="s">
        <v>87</v>
      </c>
      <c r="I785" s="357"/>
      <c r="J785" s="245" t="s">
        <v>561</v>
      </c>
      <c r="K785" s="595"/>
      <c r="L785" s="299" t="s">
        <v>1508</v>
      </c>
      <c r="M785" s="299" t="s">
        <v>1708</v>
      </c>
      <c r="N785" s="245"/>
      <c r="O785" s="392" t="s">
        <v>2883</v>
      </c>
      <c r="P785" s="627"/>
      <c r="Q785" s="301" t="s">
        <v>293</v>
      </c>
      <c r="R785" s="683" t="s">
        <v>1645</v>
      </c>
      <c r="S785" s="279">
        <v>37627</v>
      </c>
      <c r="T785" s="289"/>
      <c r="U785" s="251" t="s">
        <v>54</v>
      </c>
      <c r="V785" s="245" t="s">
        <v>5800</v>
      </c>
      <c r="W785" s="250" t="s">
        <v>3478</v>
      </c>
      <c r="X785" s="197" t="s">
        <v>475</v>
      </c>
      <c r="Y785" s="981" t="s">
        <v>5799</v>
      </c>
      <c r="Z785" s="246">
        <v>45286</v>
      </c>
      <c r="AA785" s="281"/>
      <c r="AB785" s="288" t="s">
        <v>4411</v>
      </c>
      <c r="AC785" s="223" t="s">
        <v>482</v>
      </c>
      <c r="AD785" s="245"/>
      <c r="AE785" s="494">
        <v>45114</v>
      </c>
      <c r="AF785" s="494">
        <v>45479</v>
      </c>
      <c r="AG785" s="241"/>
      <c r="AH785" s="253"/>
      <c r="AI785" s="284" t="s">
        <v>1351</v>
      </c>
      <c r="AJ785" s="303" t="s">
        <v>136</v>
      </c>
      <c r="AK785" s="241">
        <v>4</v>
      </c>
      <c r="AL785" s="123" t="s">
        <v>474</v>
      </c>
      <c r="AM785" s="123" t="s">
        <v>460</v>
      </c>
      <c r="AN785" s="110"/>
      <c r="AO785" s="110"/>
      <c r="AP785" s="115"/>
      <c r="AQ785" s="115"/>
      <c r="AR785" s="115"/>
      <c r="AS785" s="115"/>
      <c r="AT785" s="115"/>
    </row>
    <row r="786" spans="1:46" ht="39" customHeight="1" x14ac:dyDescent="0.25">
      <c r="A786" s="1468">
        <v>785</v>
      </c>
      <c r="B786" s="117"/>
      <c r="C786" s="324"/>
      <c r="D786" s="664"/>
      <c r="E786" s="664"/>
      <c r="F786" s="664"/>
      <c r="G786" s="227"/>
      <c r="H786" s="228"/>
      <c r="I786" s="228"/>
      <c r="J786" s="229"/>
      <c r="K786" s="227"/>
      <c r="L786" s="229"/>
      <c r="M786" s="229"/>
      <c r="N786" s="229"/>
      <c r="O786" s="216"/>
      <c r="P786" s="230" t="s">
        <v>476</v>
      </c>
      <c r="Q786" s="664"/>
      <c r="R786" s="381"/>
      <c r="S786" s="279"/>
      <c r="T786" s="232"/>
      <c r="U786" s="250"/>
      <c r="V786" s="232"/>
      <c r="W786" s="232"/>
      <c r="X786" s="232"/>
      <c r="Y786" s="232"/>
      <c r="Z786" s="233"/>
      <c r="AA786" s="234"/>
      <c r="AB786" s="235"/>
      <c r="AC786" s="236"/>
      <c r="AD786" s="235"/>
      <c r="AE786" s="494"/>
      <c r="AF786" s="494"/>
      <c r="AG786" s="664"/>
      <c r="AH786" s="238"/>
      <c r="AI786" s="239"/>
      <c r="AJ786" s="303"/>
      <c r="AK786" s="241"/>
      <c r="AL786" s="122"/>
      <c r="AM786" s="122"/>
      <c r="AN786" s="113"/>
      <c r="AO786" s="114"/>
      <c r="AP786" s="115"/>
      <c r="AQ786" s="115"/>
      <c r="AR786" s="115"/>
      <c r="AS786" s="115"/>
      <c r="AT786" s="116"/>
    </row>
    <row r="787" spans="1:46" ht="39" customHeight="1" x14ac:dyDescent="0.25">
      <c r="A787" s="1468">
        <v>786</v>
      </c>
      <c r="B787" s="119" t="s">
        <v>276</v>
      </c>
      <c r="C787" s="240" t="s">
        <v>277</v>
      </c>
      <c r="D787" s="282"/>
      <c r="E787" s="338" t="s">
        <v>47</v>
      </c>
      <c r="F787" s="282"/>
      <c r="G787" s="339" t="s">
        <v>91</v>
      </c>
      <c r="H787" s="340" t="s">
        <v>78</v>
      </c>
      <c r="I787" s="340"/>
      <c r="J787" s="245">
        <v>300</v>
      </c>
      <c r="K787" s="197" t="s">
        <v>50</v>
      </c>
      <c r="L787" s="1479" t="s">
        <v>1854</v>
      </c>
      <c r="M787" s="1479" t="s">
        <v>1854</v>
      </c>
      <c r="N787" s="1479"/>
      <c r="O787" s="950" t="s">
        <v>1916</v>
      </c>
      <c r="P787" s="287" t="s">
        <v>1828</v>
      </c>
      <c r="Q787" s="326" t="s">
        <v>78</v>
      </c>
      <c r="R787" s="990" t="s">
        <v>1915</v>
      </c>
      <c r="S787" s="279">
        <v>27725</v>
      </c>
      <c r="T787" s="1278"/>
      <c r="U787" s="250"/>
      <c r="V787" s="197"/>
      <c r="W787" s="250" t="s">
        <v>3478</v>
      </c>
      <c r="X787" s="197"/>
      <c r="Y787" s="197"/>
      <c r="Z787" s="246"/>
      <c r="AA787" s="246"/>
      <c r="AB787" s="1292"/>
      <c r="AC787" s="1278"/>
      <c r="AD787" s="1279"/>
      <c r="AE787" s="494"/>
      <c r="AF787" s="494"/>
      <c r="AG787" s="1278"/>
      <c r="AH787" s="1278"/>
      <c r="AI787" s="1479"/>
      <c r="AJ787" s="255" t="s">
        <v>62</v>
      </c>
      <c r="AK787" s="242">
        <v>1</v>
      </c>
      <c r="AL787" s="123" t="s">
        <v>477</v>
      </c>
      <c r="AM787" s="123" t="s">
        <v>460</v>
      </c>
      <c r="AN787" s="124"/>
      <c r="AO787" s="124"/>
      <c r="AP787" s="115"/>
      <c r="AQ787" s="115"/>
      <c r="AR787" s="115"/>
      <c r="AS787" s="115"/>
      <c r="AT787" s="115"/>
    </row>
    <row r="788" spans="1:46" ht="39" customHeight="1" x14ac:dyDescent="0.25">
      <c r="A788" s="1468">
        <v>787</v>
      </c>
      <c r="B788" s="119">
        <v>12</v>
      </c>
      <c r="C788" s="240" t="s">
        <v>279</v>
      </c>
      <c r="D788" s="282"/>
      <c r="E788" s="338" t="s">
        <v>47</v>
      </c>
      <c r="F788" s="282"/>
      <c r="G788" s="339" t="s">
        <v>280</v>
      </c>
      <c r="H788" s="244" t="s">
        <v>83</v>
      </c>
      <c r="I788" s="340"/>
      <c r="J788" s="245">
        <v>302</v>
      </c>
      <c r="K788" s="197" t="s">
        <v>50</v>
      </c>
      <c r="L788" s="281" t="s">
        <v>2010</v>
      </c>
      <c r="M788" s="281" t="s">
        <v>2010</v>
      </c>
      <c r="N788" s="281"/>
      <c r="O788" s="216" t="s">
        <v>2011</v>
      </c>
      <c r="P788" s="247"/>
      <c r="Q788" s="326" t="s">
        <v>83</v>
      </c>
      <c r="R788" s="990" t="s">
        <v>2009</v>
      </c>
      <c r="S788" s="279">
        <v>29227</v>
      </c>
      <c r="T788" s="197"/>
      <c r="U788" s="250"/>
      <c r="V788" s="197"/>
      <c r="W788" s="250" t="s">
        <v>3478</v>
      </c>
      <c r="X788" s="197"/>
      <c r="Y788" s="197"/>
      <c r="Z788" s="246"/>
      <c r="AA788" s="1190"/>
      <c r="AB788" s="281"/>
      <c r="AC788" s="223"/>
      <c r="AD788" s="281"/>
      <c r="AE788" s="494"/>
      <c r="AF788" s="494"/>
      <c r="AG788" s="241"/>
      <c r="AH788" s="283"/>
      <c r="AI788" s="296"/>
      <c r="AJ788" s="255" t="s">
        <v>62</v>
      </c>
      <c r="AK788" s="242">
        <v>1</v>
      </c>
      <c r="AL788" s="123" t="s">
        <v>477</v>
      </c>
      <c r="AM788" s="123" t="s">
        <v>460</v>
      </c>
      <c r="AN788" s="124"/>
      <c r="AO788" s="124"/>
      <c r="AP788" s="115"/>
      <c r="AQ788" s="115"/>
      <c r="AR788" s="115"/>
      <c r="AS788" s="115"/>
      <c r="AT788" s="115"/>
    </row>
    <row r="789" spans="1:46" ht="39" customHeight="1" x14ac:dyDescent="0.25">
      <c r="A789" s="1468">
        <v>788</v>
      </c>
      <c r="B789" s="131">
        <v>9</v>
      </c>
      <c r="C789" s="311" t="s">
        <v>281</v>
      </c>
      <c r="D789" s="282"/>
      <c r="E789" s="353" t="s">
        <v>47</v>
      </c>
      <c r="F789" s="282"/>
      <c r="G789" s="445" t="s">
        <v>282</v>
      </c>
      <c r="H789" s="350" t="s">
        <v>283</v>
      </c>
      <c r="I789" s="350"/>
      <c r="J789" s="281">
        <v>410</v>
      </c>
      <c r="K789" s="216"/>
      <c r="L789" s="281" t="s">
        <v>4636</v>
      </c>
      <c r="M789" s="281" t="s">
        <v>4636</v>
      </c>
      <c r="N789" s="245"/>
      <c r="O789" s="216" t="s">
        <v>4635</v>
      </c>
      <c r="P789" s="287" t="s">
        <v>1828</v>
      </c>
      <c r="Q789" s="353" t="s">
        <v>663</v>
      </c>
      <c r="R789" s="1140" t="s">
        <v>4634</v>
      </c>
      <c r="S789" s="279">
        <v>26336</v>
      </c>
      <c r="T789" s="250"/>
      <c r="U789" s="250"/>
      <c r="V789" s="197"/>
      <c r="W789" s="197" t="s">
        <v>3478</v>
      </c>
      <c r="X789" s="268"/>
      <c r="Y789" s="197"/>
      <c r="Z789" s="246"/>
      <c r="AA789" s="252"/>
      <c r="AB789" s="281"/>
      <c r="AC789" s="223"/>
      <c r="AD789" s="281"/>
      <c r="AE789" s="494"/>
      <c r="AF789" s="494"/>
      <c r="AG789" s="241"/>
      <c r="AH789" s="283"/>
      <c r="AI789" s="422"/>
      <c r="AJ789" s="317" t="s">
        <v>47</v>
      </c>
      <c r="AK789" s="312">
        <v>2</v>
      </c>
      <c r="AL789" s="123" t="s">
        <v>477</v>
      </c>
      <c r="AM789" s="123" t="s">
        <v>460</v>
      </c>
      <c r="AN789" s="144"/>
      <c r="AO789" s="144"/>
      <c r="AP789" s="115"/>
      <c r="AQ789" s="115"/>
      <c r="AR789" s="115"/>
      <c r="AS789" s="115"/>
      <c r="AT789" s="115"/>
    </row>
    <row r="790" spans="1:46" ht="39" customHeight="1" x14ac:dyDescent="0.25">
      <c r="A790" s="1468">
        <v>789</v>
      </c>
      <c r="B790" s="131">
        <v>9</v>
      </c>
      <c r="C790" s="311" t="s">
        <v>284</v>
      </c>
      <c r="D790" s="282"/>
      <c r="E790" s="353" t="s">
        <v>47</v>
      </c>
      <c r="F790" s="282"/>
      <c r="G790" s="445" t="s">
        <v>285</v>
      </c>
      <c r="H790" s="350" t="s">
        <v>283</v>
      </c>
      <c r="I790" s="350"/>
      <c r="J790" s="281">
        <v>410</v>
      </c>
      <c r="K790" s="216"/>
      <c r="L790" s="252" t="s">
        <v>1999</v>
      </c>
      <c r="M790" s="252" t="s">
        <v>1999</v>
      </c>
      <c r="N790" s="281"/>
      <c r="O790" s="392" t="s">
        <v>2000</v>
      </c>
      <c r="P790" s="402" t="s">
        <v>1828</v>
      </c>
      <c r="Q790" s="317" t="s">
        <v>153</v>
      </c>
      <c r="R790" s="1170" t="s">
        <v>2001</v>
      </c>
      <c r="S790" s="279">
        <v>26353</v>
      </c>
      <c r="T790" s="197"/>
      <c r="U790" s="250"/>
      <c r="V790" s="197"/>
      <c r="W790" s="250" t="s">
        <v>3478</v>
      </c>
      <c r="X790" s="197"/>
      <c r="Y790" s="197"/>
      <c r="Z790" s="246"/>
      <c r="AA790" s="246"/>
      <c r="AB790" s="282"/>
      <c r="AC790" s="223"/>
      <c r="AD790" s="282"/>
      <c r="AE790" s="494"/>
      <c r="AF790" s="494"/>
      <c r="AG790" s="241"/>
      <c r="AH790" s="283"/>
      <c r="AI790" s="296"/>
      <c r="AJ790" s="317" t="s">
        <v>47</v>
      </c>
      <c r="AK790" s="312">
        <v>2</v>
      </c>
      <c r="AL790" s="123" t="s">
        <v>477</v>
      </c>
      <c r="AM790" s="123" t="s">
        <v>460</v>
      </c>
      <c r="AN790" s="133"/>
      <c r="AO790" s="133"/>
      <c r="AP790" s="115"/>
      <c r="AQ790" s="115"/>
      <c r="AR790" s="115"/>
      <c r="AS790" s="115"/>
      <c r="AT790" s="115"/>
    </row>
    <row r="791" spans="1:46" ht="39" customHeight="1" x14ac:dyDescent="0.25">
      <c r="A791" s="1468">
        <v>790</v>
      </c>
      <c r="B791" s="131">
        <v>6</v>
      </c>
      <c r="C791" s="311" t="s">
        <v>286</v>
      </c>
      <c r="D791" s="282"/>
      <c r="E791" s="353" t="s">
        <v>47</v>
      </c>
      <c r="F791" s="282"/>
      <c r="G791" s="445" t="s">
        <v>287</v>
      </c>
      <c r="H791" s="350" t="s">
        <v>153</v>
      </c>
      <c r="I791" s="350"/>
      <c r="J791" s="256">
        <v>400</v>
      </c>
      <c r="K791" s="288"/>
      <c r="L791" s="301"/>
      <c r="M791" s="301"/>
      <c r="N791" s="281"/>
      <c r="O791" s="216"/>
      <c r="P791" s="300"/>
      <c r="Q791" s="594"/>
      <c r="R791" s="1188" t="s">
        <v>66</v>
      </c>
      <c r="S791" s="279"/>
      <c r="T791" s="289"/>
      <c r="U791" s="250"/>
      <c r="V791" s="245"/>
      <c r="W791" s="250"/>
      <c r="X791" s="197"/>
      <c r="Y791" s="245"/>
      <c r="Z791" s="246"/>
      <c r="AA791" s="289"/>
      <c r="AB791" s="1236"/>
      <c r="AC791" s="223"/>
      <c r="AD791" s="299"/>
      <c r="AE791" s="494"/>
      <c r="AF791" s="494"/>
      <c r="AG791" s="299"/>
      <c r="AH791" s="299"/>
      <c r="AI791" s="296"/>
      <c r="AJ791" s="303"/>
      <c r="AK791" s="312">
        <v>2</v>
      </c>
      <c r="AL791" s="123" t="s">
        <v>477</v>
      </c>
      <c r="AM791" s="123" t="s">
        <v>460</v>
      </c>
      <c r="AN791" s="133"/>
      <c r="AO791" s="133"/>
      <c r="AP791" s="115"/>
      <c r="AQ791" s="115"/>
      <c r="AR791" s="115"/>
      <c r="AS791" s="115"/>
      <c r="AT791" s="115"/>
    </row>
    <row r="792" spans="1:46" ht="39" customHeight="1" x14ac:dyDescent="0.25">
      <c r="A792" s="1468">
        <v>791</v>
      </c>
      <c r="B792" s="158">
        <v>5</v>
      </c>
      <c r="C792" s="290" t="s">
        <v>288</v>
      </c>
      <c r="D792" s="344"/>
      <c r="E792" s="344" t="s">
        <v>47</v>
      </c>
      <c r="F792" s="344"/>
      <c r="G792" s="292" t="s">
        <v>289</v>
      </c>
      <c r="H792" s="371" t="s">
        <v>132</v>
      </c>
      <c r="I792" s="344">
        <v>144</v>
      </c>
      <c r="J792" s="256">
        <v>403</v>
      </c>
      <c r="K792" s="288" t="s">
        <v>158</v>
      </c>
      <c r="L792" s="301" t="s">
        <v>3678</v>
      </c>
      <c r="M792" s="301" t="s">
        <v>3678</v>
      </c>
      <c r="N792" s="281" t="s">
        <v>4217</v>
      </c>
      <c r="O792" s="216" t="s">
        <v>3884</v>
      </c>
      <c r="P792" s="300"/>
      <c r="Q792" s="594" t="s">
        <v>87</v>
      </c>
      <c r="R792" s="1188" t="s">
        <v>3883</v>
      </c>
      <c r="S792" s="279">
        <v>37636</v>
      </c>
      <c r="T792" s="289"/>
      <c r="U792" s="250"/>
      <c r="V792" s="245"/>
      <c r="W792" s="250" t="s">
        <v>4618</v>
      </c>
      <c r="X792" s="197"/>
      <c r="Y792" s="245"/>
      <c r="Z792" s="246"/>
      <c r="AA792" s="289"/>
      <c r="AB792" s="1236" t="s">
        <v>4303</v>
      </c>
      <c r="AC792" s="223" t="s">
        <v>946</v>
      </c>
      <c r="AD792" s="299" t="s">
        <v>467</v>
      </c>
      <c r="AE792" s="494">
        <v>45104</v>
      </c>
      <c r="AF792" s="494">
        <v>45469</v>
      </c>
      <c r="AG792" s="299"/>
      <c r="AH792" s="299"/>
      <c r="AI792" s="296" t="s">
        <v>1351</v>
      </c>
      <c r="AJ792" s="303" t="s">
        <v>136</v>
      </c>
      <c r="AK792" s="348">
        <v>3</v>
      </c>
      <c r="AL792" s="123" t="s">
        <v>477</v>
      </c>
      <c r="AM792" s="123" t="s">
        <v>460</v>
      </c>
      <c r="AN792" s="130"/>
      <c r="AO792" s="130"/>
      <c r="AP792" s="115"/>
      <c r="AQ792" s="115"/>
      <c r="AR792" s="115"/>
      <c r="AS792" s="115"/>
      <c r="AT792" s="115"/>
    </row>
    <row r="793" spans="1:46" ht="39" customHeight="1" x14ac:dyDescent="0.25">
      <c r="A793" s="1468">
        <v>792</v>
      </c>
      <c r="B793" s="141">
        <v>3</v>
      </c>
      <c r="C793" s="356" t="s">
        <v>290</v>
      </c>
      <c r="D793" s="282" t="s">
        <v>134</v>
      </c>
      <c r="E793" s="282"/>
      <c r="F793" s="282"/>
      <c r="G793" s="261" t="s">
        <v>291</v>
      </c>
      <c r="H793" s="262" t="s">
        <v>85</v>
      </c>
      <c r="I793" s="357"/>
      <c r="J793" s="245" t="s">
        <v>556</v>
      </c>
      <c r="K793" s="288" t="s">
        <v>158</v>
      </c>
      <c r="L793" s="288" t="s">
        <v>3678</v>
      </c>
      <c r="M793" s="288" t="s">
        <v>3678</v>
      </c>
      <c r="N793" s="281" t="s">
        <v>4217</v>
      </c>
      <c r="O793" s="392" t="s">
        <v>3777</v>
      </c>
      <c r="P793" s="320"/>
      <c r="Q793" s="301" t="s">
        <v>87</v>
      </c>
      <c r="R793" s="1188" t="s">
        <v>3776</v>
      </c>
      <c r="S793" s="279">
        <v>38308</v>
      </c>
      <c r="T793" s="223"/>
      <c r="U793" s="251" t="s">
        <v>54</v>
      </c>
      <c r="V793" s="245" t="s">
        <v>3904</v>
      </c>
      <c r="W793" s="250" t="s">
        <v>295</v>
      </c>
      <c r="X793" s="197" t="s">
        <v>475</v>
      </c>
      <c r="Y793" s="245" t="s">
        <v>3975</v>
      </c>
      <c r="Z793" s="246">
        <v>45224</v>
      </c>
      <c r="AA793" s="246"/>
      <c r="AB793" s="288" t="s">
        <v>4317</v>
      </c>
      <c r="AC793" s="223" t="s">
        <v>946</v>
      </c>
      <c r="AD793" s="299" t="s">
        <v>467</v>
      </c>
      <c r="AE793" s="494">
        <v>45104</v>
      </c>
      <c r="AF793" s="494">
        <v>45469</v>
      </c>
      <c r="AG793" s="392"/>
      <c r="AH793" s="283"/>
      <c r="AI793" s="296" t="s">
        <v>1351</v>
      </c>
      <c r="AJ793" s="303" t="s">
        <v>136</v>
      </c>
      <c r="AK793" s="241">
        <v>4</v>
      </c>
      <c r="AL793" s="123" t="s">
        <v>477</v>
      </c>
      <c r="AM793" s="123" t="s">
        <v>460</v>
      </c>
      <c r="AN793" s="110" t="s">
        <v>4184</v>
      </c>
      <c r="AO793" s="110"/>
      <c r="AP793" s="115"/>
      <c r="AQ793" s="115"/>
      <c r="AR793" s="115"/>
      <c r="AS793" s="115"/>
      <c r="AT793" s="115"/>
    </row>
    <row r="794" spans="1:46" ht="39" customHeight="1" x14ac:dyDescent="0.25">
      <c r="A794" s="1468">
        <v>793</v>
      </c>
      <c r="B794" s="141">
        <v>3</v>
      </c>
      <c r="C794" s="358" t="s">
        <v>297</v>
      </c>
      <c r="D794" s="282" t="s">
        <v>134</v>
      </c>
      <c r="E794" s="282"/>
      <c r="F794" s="282"/>
      <c r="G794" s="447" t="s">
        <v>298</v>
      </c>
      <c r="H794" s="262" t="s">
        <v>85</v>
      </c>
      <c r="I794" s="364"/>
      <c r="J794" s="245" t="s">
        <v>556</v>
      </c>
      <c r="K794" s="288" t="s">
        <v>158</v>
      </c>
      <c r="L794" s="288" t="s">
        <v>3678</v>
      </c>
      <c r="M794" s="288" t="s">
        <v>3678</v>
      </c>
      <c r="N794" s="281" t="s">
        <v>4217</v>
      </c>
      <c r="O794" s="392" t="s">
        <v>3779</v>
      </c>
      <c r="P794" s="374"/>
      <c r="Q794" s="301" t="s">
        <v>87</v>
      </c>
      <c r="R794" s="1188" t="s">
        <v>3778</v>
      </c>
      <c r="S794" s="279">
        <v>38183</v>
      </c>
      <c r="T794" s="257"/>
      <c r="U794" s="251" t="s">
        <v>54</v>
      </c>
      <c r="V794" s="245" t="s">
        <v>3904</v>
      </c>
      <c r="W794" s="250" t="s">
        <v>295</v>
      </c>
      <c r="X794" s="197" t="s">
        <v>475</v>
      </c>
      <c r="Y794" s="245" t="s">
        <v>3975</v>
      </c>
      <c r="Z794" s="246">
        <v>45224</v>
      </c>
      <c r="AA794" s="246"/>
      <c r="AB794" s="288" t="s">
        <v>4237</v>
      </c>
      <c r="AC794" s="223" t="s">
        <v>946</v>
      </c>
      <c r="AD794" s="299" t="s">
        <v>467</v>
      </c>
      <c r="AE794" s="494">
        <v>45103</v>
      </c>
      <c r="AF794" s="494">
        <v>45468</v>
      </c>
      <c r="AG794" s="392"/>
      <c r="AH794" s="283"/>
      <c r="AI794" s="296" t="s">
        <v>1351</v>
      </c>
      <c r="AJ794" s="303" t="s">
        <v>136</v>
      </c>
      <c r="AK794" s="241">
        <v>4</v>
      </c>
      <c r="AL794" s="123" t="s">
        <v>477</v>
      </c>
      <c r="AM794" s="123" t="s">
        <v>460</v>
      </c>
      <c r="AN794" s="110"/>
      <c r="AO794" s="110"/>
      <c r="AP794" s="115"/>
      <c r="AQ794" s="115"/>
      <c r="AR794" s="115"/>
      <c r="AS794" s="115"/>
      <c r="AT794" s="116"/>
    </row>
    <row r="795" spans="1:46" ht="39" customHeight="1" x14ac:dyDescent="0.25">
      <c r="A795" s="1468">
        <v>794</v>
      </c>
      <c r="B795" s="117">
        <v>2</v>
      </c>
      <c r="C795" s="260" t="s">
        <v>299</v>
      </c>
      <c r="D795" s="282"/>
      <c r="E795" s="282"/>
      <c r="F795" s="282"/>
      <c r="G795" s="447" t="s">
        <v>300</v>
      </c>
      <c r="H795" s="262" t="s">
        <v>87</v>
      </c>
      <c r="I795" s="357"/>
      <c r="J795" s="245" t="s">
        <v>561</v>
      </c>
      <c r="K795" s="305"/>
      <c r="L795" s="281" t="s">
        <v>1676</v>
      </c>
      <c r="M795" s="281" t="s">
        <v>1508</v>
      </c>
      <c r="N795" s="366"/>
      <c r="O795" s="392" t="s">
        <v>3112</v>
      </c>
      <c r="P795" s="402"/>
      <c r="Q795" s="301" t="s">
        <v>87</v>
      </c>
      <c r="R795" s="1006" t="s">
        <v>1794</v>
      </c>
      <c r="S795" s="279" t="s">
        <v>616</v>
      </c>
      <c r="T795" s="197"/>
      <c r="U795" s="251" t="s">
        <v>54</v>
      </c>
      <c r="V795" s="245"/>
      <c r="W795" s="250" t="s">
        <v>295</v>
      </c>
      <c r="X795" s="197"/>
      <c r="Y795" s="245"/>
      <c r="Z795" s="246"/>
      <c r="AA795" s="246"/>
      <c r="AB795" s="296" t="s">
        <v>4412</v>
      </c>
      <c r="AC795" s="223" t="s">
        <v>946</v>
      </c>
      <c r="AD795" s="376"/>
      <c r="AE795" s="494" t="s">
        <v>4359</v>
      </c>
      <c r="AF795" s="494">
        <v>45477</v>
      </c>
      <c r="AG795" s="241"/>
      <c r="AH795" s="283"/>
      <c r="AI795" s="254" t="s">
        <v>1351</v>
      </c>
      <c r="AJ795" s="303" t="s">
        <v>136</v>
      </c>
      <c r="AK795" s="241">
        <v>4</v>
      </c>
      <c r="AL795" s="123" t="s">
        <v>477</v>
      </c>
      <c r="AM795" s="123" t="s">
        <v>460</v>
      </c>
      <c r="AN795" s="110"/>
      <c r="AO795" s="110"/>
      <c r="AP795" s="115"/>
      <c r="AQ795" s="115"/>
      <c r="AR795" s="115"/>
      <c r="AS795" s="115"/>
      <c r="AT795" s="115"/>
    </row>
    <row r="796" spans="1:46" ht="39" customHeight="1" x14ac:dyDescent="0.25">
      <c r="A796" s="1468">
        <v>795</v>
      </c>
      <c r="B796" s="117">
        <v>2</v>
      </c>
      <c r="C796" s="260" t="s">
        <v>86</v>
      </c>
      <c r="D796" s="282"/>
      <c r="E796" s="282"/>
      <c r="F796" s="282"/>
      <c r="G796" s="447" t="s">
        <v>303</v>
      </c>
      <c r="H796" s="262" t="s">
        <v>87</v>
      </c>
      <c r="I796" s="357"/>
      <c r="J796" s="245" t="s">
        <v>561</v>
      </c>
      <c r="K796" s="216" t="s">
        <v>313</v>
      </c>
      <c r="L796" s="299" t="s">
        <v>5058</v>
      </c>
      <c r="M796" s="299" t="s">
        <v>5058</v>
      </c>
      <c r="N796" s="245"/>
      <c r="O796" s="1377" t="s">
        <v>5110</v>
      </c>
      <c r="P796" s="1312"/>
      <c r="Q796" s="1377" t="s">
        <v>87</v>
      </c>
      <c r="R796" s="1003" t="s">
        <v>5109</v>
      </c>
      <c r="S796" s="279">
        <v>38276</v>
      </c>
      <c r="T796" s="289"/>
      <c r="U796" s="251" t="s">
        <v>54</v>
      </c>
      <c r="V796" s="299" t="s">
        <v>5058</v>
      </c>
      <c r="W796" s="250" t="s">
        <v>295</v>
      </c>
      <c r="X796" s="197"/>
      <c r="Y796" s="245"/>
      <c r="Z796" s="246">
        <v>45253</v>
      </c>
      <c r="AA796" s="245"/>
      <c r="AB796" s="288" t="s">
        <v>5107</v>
      </c>
      <c r="AC796" s="223" t="s">
        <v>946</v>
      </c>
      <c r="AD796" s="245" t="s">
        <v>467</v>
      </c>
      <c r="AE796" s="494">
        <v>45251</v>
      </c>
      <c r="AF796" s="494">
        <v>45616</v>
      </c>
      <c r="AG796" s="241"/>
      <c r="AH796" s="253"/>
      <c r="AI796" s="254" t="s">
        <v>4208</v>
      </c>
      <c r="AJ796" s="303" t="s">
        <v>136</v>
      </c>
      <c r="AK796" s="241">
        <v>4</v>
      </c>
      <c r="AL796" s="123" t="s">
        <v>477</v>
      </c>
      <c r="AM796" s="123" t="s">
        <v>460</v>
      </c>
      <c r="AN796" s="110"/>
      <c r="AO796" s="110"/>
      <c r="AP796" s="115"/>
      <c r="AQ796" s="115"/>
      <c r="AR796" s="115"/>
      <c r="AS796" s="115"/>
      <c r="AT796" s="115"/>
    </row>
    <row r="797" spans="1:46" ht="39" customHeight="1" x14ac:dyDescent="0.25">
      <c r="A797" s="1468">
        <v>796</v>
      </c>
      <c r="B797" s="117"/>
      <c r="C797" s="324"/>
      <c r="D797" s="664"/>
      <c r="E797" s="664"/>
      <c r="F797" s="664"/>
      <c r="G797" s="227"/>
      <c r="H797" s="228"/>
      <c r="I797" s="228"/>
      <c r="J797" s="229"/>
      <c r="K797" s="227"/>
      <c r="L797" s="229"/>
      <c r="M797" s="229"/>
      <c r="N797" s="229"/>
      <c r="O797" s="309"/>
      <c r="P797" s="230" t="s">
        <v>304</v>
      </c>
      <c r="Q797" s="664"/>
      <c r="R797" s="260"/>
      <c r="S797" s="279"/>
      <c r="T797" s="232"/>
      <c r="U797" s="250"/>
      <c r="V797" s="232"/>
      <c r="W797" s="232"/>
      <c r="X797" s="232"/>
      <c r="Y797" s="232"/>
      <c r="Z797" s="233"/>
      <c r="AA797" s="234"/>
      <c r="AB797" s="235"/>
      <c r="AC797" s="236"/>
      <c r="AD797" s="235"/>
      <c r="AE797" s="494"/>
      <c r="AF797" s="494"/>
      <c r="AG797" s="664"/>
      <c r="AH797" s="238"/>
      <c r="AI797" s="239"/>
      <c r="AJ797" s="303"/>
      <c r="AK797" s="241"/>
      <c r="AL797" s="122"/>
      <c r="AM797" s="122"/>
      <c r="AN797" s="113"/>
      <c r="AO797" s="114"/>
      <c r="AP797" s="115"/>
      <c r="AQ797" s="115"/>
      <c r="AR797" s="115"/>
      <c r="AS797" s="115"/>
      <c r="AT797" s="116"/>
    </row>
    <row r="798" spans="1:46" ht="39" customHeight="1" x14ac:dyDescent="0.25">
      <c r="A798" s="1468">
        <v>797</v>
      </c>
      <c r="B798" s="119">
        <v>10</v>
      </c>
      <c r="C798" s="240" t="s">
        <v>305</v>
      </c>
      <c r="D798" s="282"/>
      <c r="E798" s="338" t="s">
        <v>47</v>
      </c>
      <c r="F798" s="282"/>
      <c r="G798" s="339" t="s">
        <v>91</v>
      </c>
      <c r="H798" s="244" t="s">
        <v>83</v>
      </c>
      <c r="I798" s="340"/>
      <c r="J798" s="245">
        <v>302</v>
      </c>
      <c r="K798" s="366"/>
      <c r="L798" s="1476" t="s">
        <v>2386</v>
      </c>
      <c r="M798" s="1476" t="s">
        <v>2386</v>
      </c>
      <c r="N798" s="366"/>
      <c r="O798" s="1476" t="s">
        <v>3284</v>
      </c>
      <c r="P798" s="627"/>
      <c r="Q798" s="338" t="s">
        <v>2053</v>
      </c>
      <c r="R798" s="990" t="s">
        <v>2868</v>
      </c>
      <c r="S798" s="279">
        <v>36957</v>
      </c>
      <c r="T798" s="366"/>
      <c r="U798" s="250"/>
      <c r="V798" s="197"/>
      <c r="W798" s="197" t="s">
        <v>3478</v>
      </c>
      <c r="X798" s="197"/>
      <c r="Y798" s="197"/>
      <c r="Z798" s="246"/>
      <c r="AA798" s="246"/>
      <c r="AB798" s="1289"/>
      <c r="AC798" s="366"/>
      <c r="AD798" s="658"/>
      <c r="AE798" s="494"/>
      <c r="AF798" s="494"/>
      <c r="AG798" s="366"/>
      <c r="AH798" s="366"/>
      <c r="AI798" s="1476"/>
      <c r="AJ798" s="255" t="s">
        <v>62</v>
      </c>
      <c r="AK798" s="242">
        <v>1</v>
      </c>
      <c r="AL798" s="123" t="s">
        <v>477</v>
      </c>
      <c r="AM798" s="123" t="s">
        <v>460</v>
      </c>
      <c r="AN798" s="124"/>
      <c r="AO798" s="124"/>
      <c r="AP798" s="115"/>
      <c r="AQ798" s="115"/>
      <c r="AR798" s="115"/>
      <c r="AS798" s="115"/>
      <c r="AT798" s="115"/>
    </row>
    <row r="799" spans="1:46" ht="39" customHeight="1" x14ac:dyDescent="0.25">
      <c r="A799" s="1468">
        <v>798</v>
      </c>
      <c r="B799" s="117"/>
      <c r="C799" s="324"/>
      <c r="D799" s="664"/>
      <c r="E799" s="664"/>
      <c r="F799" s="664"/>
      <c r="G799" s="227"/>
      <c r="H799" s="228"/>
      <c r="I799" s="228"/>
      <c r="J799" s="229"/>
      <c r="K799" s="227"/>
      <c r="L799" s="229"/>
      <c r="M799" s="229"/>
      <c r="N799" s="229"/>
      <c r="O799" s="309"/>
      <c r="P799" s="230" t="s">
        <v>306</v>
      </c>
      <c r="Q799" s="664"/>
      <c r="R799" s="324"/>
      <c r="S799" s="279"/>
      <c r="T799" s="232"/>
      <c r="U799" s="250"/>
      <c r="V799" s="232"/>
      <c r="W799" s="232"/>
      <c r="X799" s="232"/>
      <c r="Y799" s="232"/>
      <c r="Z799" s="233"/>
      <c r="AA799" s="234"/>
      <c r="AB799" s="235"/>
      <c r="AC799" s="236"/>
      <c r="AD799" s="235"/>
      <c r="AE799" s="494"/>
      <c r="AF799" s="494"/>
      <c r="AG799" s="664"/>
      <c r="AH799" s="238"/>
      <c r="AI799" s="239"/>
      <c r="AJ799" s="303"/>
      <c r="AK799" s="241"/>
      <c r="AL799" s="122"/>
      <c r="AM799" s="122"/>
      <c r="AN799" s="113"/>
      <c r="AO799" s="114"/>
      <c r="AP799" s="115"/>
      <c r="AQ799" s="115"/>
      <c r="AR799" s="115"/>
      <c r="AS799" s="115"/>
      <c r="AT799" s="116"/>
    </row>
    <row r="800" spans="1:46" ht="39" customHeight="1" x14ac:dyDescent="0.25">
      <c r="A800" s="1468">
        <v>799</v>
      </c>
      <c r="B800" s="128">
        <v>7</v>
      </c>
      <c r="C800" s="290" t="s">
        <v>307</v>
      </c>
      <c r="D800" s="344"/>
      <c r="E800" s="344" t="s">
        <v>47</v>
      </c>
      <c r="F800" s="344"/>
      <c r="G800" s="345" t="s">
        <v>308</v>
      </c>
      <c r="H800" s="346" t="s">
        <v>132</v>
      </c>
      <c r="I800" s="371" t="s">
        <v>309</v>
      </c>
      <c r="J800" s="256">
        <v>403</v>
      </c>
      <c r="K800" s="288" t="s">
        <v>158</v>
      </c>
      <c r="L800" s="301" t="s">
        <v>3678</v>
      </c>
      <c r="M800" s="301" t="s">
        <v>3678</v>
      </c>
      <c r="N800" s="281" t="s">
        <v>4217</v>
      </c>
      <c r="O800" s="385" t="s">
        <v>3868</v>
      </c>
      <c r="P800" s="374"/>
      <c r="Q800" s="380" t="s">
        <v>87</v>
      </c>
      <c r="R800" s="1198" t="s">
        <v>3867</v>
      </c>
      <c r="S800" s="279">
        <v>38350</v>
      </c>
      <c r="T800" s="197"/>
      <c r="U800" s="251" t="s">
        <v>54</v>
      </c>
      <c r="V800" s="245" t="s">
        <v>3904</v>
      </c>
      <c r="W800" s="250" t="s">
        <v>295</v>
      </c>
      <c r="X800" s="197" t="s">
        <v>475</v>
      </c>
      <c r="Y800" s="245" t="s">
        <v>3975</v>
      </c>
      <c r="Z800" s="246">
        <v>45224</v>
      </c>
      <c r="AA800" s="388"/>
      <c r="AB800" s="288" t="s">
        <v>4269</v>
      </c>
      <c r="AC800" s="223" t="s">
        <v>946</v>
      </c>
      <c r="AD800" s="299" t="s">
        <v>467</v>
      </c>
      <c r="AE800" s="494">
        <v>45113</v>
      </c>
      <c r="AF800" s="494">
        <v>45478</v>
      </c>
      <c r="AG800" s="1392"/>
      <c r="AH800" s="283"/>
      <c r="AI800" s="296" t="s">
        <v>1351</v>
      </c>
      <c r="AJ800" s="303" t="s">
        <v>136</v>
      </c>
      <c r="AK800" s="348">
        <v>3</v>
      </c>
      <c r="AL800" s="123" t="s">
        <v>477</v>
      </c>
      <c r="AM800" s="123" t="s">
        <v>460</v>
      </c>
      <c r="AN800" s="130"/>
      <c r="AO800" s="130"/>
      <c r="AP800" s="115"/>
      <c r="AQ800" s="115"/>
      <c r="AR800" s="115"/>
      <c r="AS800" s="115"/>
      <c r="AT800" s="115"/>
    </row>
    <row r="801" spans="1:46" ht="39" customHeight="1" x14ac:dyDescent="0.25">
      <c r="A801" s="1468">
        <v>800</v>
      </c>
      <c r="B801" s="141">
        <v>3</v>
      </c>
      <c r="C801" s="356" t="s">
        <v>290</v>
      </c>
      <c r="D801" s="241" t="s">
        <v>134</v>
      </c>
      <c r="E801" s="241"/>
      <c r="F801" s="241"/>
      <c r="G801" s="261" t="s">
        <v>291</v>
      </c>
      <c r="H801" s="262" t="s">
        <v>85</v>
      </c>
      <c r="I801" s="346"/>
      <c r="J801" s="245" t="s">
        <v>556</v>
      </c>
      <c r="K801" s="288"/>
      <c r="L801" s="288" t="s">
        <v>5144</v>
      </c>
      <c r="M801" s="288" t="s">
        <v>5144</v>
      </c>
      <c r="N801" s="281"/>
      <c r="O801" s="1392" t="s">
        <v>5228</v>
      </c>
      <c r="P801" s="374"/>
      <c r="Q801" s="380" t="s">
        <v>87</v>
      </c>
      <c r="R801" s="1003" t="s">
        <v>5182</v>
      </c>
      <c r="S801" s="279">
        <v>38577</v>
      </c>
      <c r="T801" s="223"/>
      <c r="U801" s="251" t="s">
        <v>54</v>
      </c>
      <c r="V801" s="245" t="s">
        <v>5171</v>
      </c>
      <c r="W801" s="250" t="s">
        <v>295</v>
      </c>
      <c r="X801" s="197"/>
      <c r="Y801" s="981" t="s">
        <v>5829</v>
      </c>
      <c r="Z801" s="246">
        <v>45260</v>
      </c>
      <c r="AA801" s="246"/>
      <c r="AB801" s="288" t="s">
        <v>5275</v>
      </c>
      <c r="AC801" s="223" t="s">
        <v>946</v>
      </c>
      <c r="AD801" s="245" t="s">
        <v>467</v>
      </c>
      <c r="AE801" s="494">
        <v>45257</v>
      </c>
      <c r="AF801" s="494">
        <v>45622</v>
      </c>
      <c r="AG801" s="392"/>
      <c r="AH801" s="283"/>
      <c r="AI801" s="296" t="s">
        <v>4208</v>
      </c>
      <c r="AJ801" s="303" t="s">
        <v>136</v>
      </c>
      <c r="AK801" s="241">
        <v>4</v>
      </c>
      <c r="AL801" s="123" t="s">
        <v>477</v>
      </c>
      <c r="AM801" s="123" t="s">
        <v>460</v>
      </c>
      <c r="AN801" s="110" t="s">
        <v>4184</v>
      </c>
      <c r="AO801" s="130"/>
      <c r="AP801" s="115"/>
      <c r="AQ801" s="115"/>
      <c r="AR801" s="115"/>
      <c r="AS801" s="115"/>
      <c r="AT801" s="115"/>
    </row>
    <row r="802" spans="1:46" ht="39" customHeight="1" x14ac:dyDescent="0.25">
      <c r="A802" s="1468">
        <v>801</v>
      </c>
      <c r="B802" s="141">
        <v>3</v>
      </c>
      <c r="C802" s="358" t="s">
        <v>297</v>
      </c>
      <c r="D802" s="241" t="s">
        <v>134</v>
      </c>
      <c r="E802" s="241"/>
      <c r="F802" s="241"/>
      <c r="G802" s="261" t="s">
        <v>298</v>
      </c>
      <c r="H802" s="262" t="s">
        <v>85</v>
      </c>
      <c r="I802" s="346"/>
      <c r="J802" s="245" t="s">
        <v>556</v>
      </c>
      <c r="K802" s="288" t="s">
        <v>313</v>
      </c>
      <c r="L802" s="288" t="s">
        <v>3678</v>
      </c>
      <c r="M802" s="288" t="s">
        <v>3678</v>
      </c>
      <c r="N802" s="281" t="s">
        <v>4217</v>
      </c>
      <c r="O802" s="392" t="s">
        <v>3781</v>
      </c>
      <c r="P802" s="402"/>
      <c r="Q802" s="301" t="s">
        <v>87</v>
      </c>
      <c r="R802" s="1188" t="s">
        <v>3780</v>
      </c>
      <c r="S802" s="279">
        <v>38438</v>
      </c>
      <c r="T802" s="197"/>
      <c r="U802" s="251" t="s">
        <v>54</v>
      </c>
      <c r="V802" s="245" t="s">
        <v>3904</v>
      </c>
      <c r="W802" s="250" t="s">
        <v>295</v>
      </c>
      <c r="X802" s="197" t="s">
        <v>475</v>
      </c>
      <c r="Y802" s="245" t="s">
        <v>3975</v>
      </c>
      <c r="Z802" s="246">
        <v>45224</v>
      </c>
      <c r="AA802" s="246"/>
      <c r="AB802" s="288" t="s">
        <v>4233</v>
      </c>
      <c r="AC802" s="223" t="s">
        <v>946</v>
      </c>
      <c r="AD802" s="299" t="s">
        <v>467</v>
      </c>
      <c r="AE802" s="494">
        <v>45106</v>
      </c>
      <c r="AF802" s="494">
        <v>45471</v>
      </c>
      <c r="AG802" s="392"/>
      <c r="AH802" s="283"/>
      <c r="AI802" s="296" t="s">
        <v>1351</v>
      </c>
      <c r="AJ802" s="303" t="s">
        <v>136</v>
      </c>
      <c r="AK802" s="241">
        <v>4</v>
      </c>
      <c r="AL802" s="123" t="s">
        <v>477</v>
      </c>
      <c r="AM802" s="123" t="s">
        <v>460</v>
      </c>
      <c r="AN802" s="130"/>
      <c r="AO802" s="130"/>
      <c r="AP802" s="115"/>
      <c r="AQ802" s="115"/>
      <c r="AR802" s="115"/>
      <c r="AS802" s="115"/>
      <c r="AT802" s="116"/>
    </row>
    <row r="803" spans="1:46" ht="39" customHeight="1" x14ac:dyDescent="0.25">
      <c r="A803" s="1468">
        <v>802</v>
      </c>
      <c r="B803" s="141">
        <v>2</v>
      </c>
      <c r="C803" s="260" t="s">
        <v>311</v>
      </c>
      <c r="D803" s="241"/>
      <c r="E803" s="241"/>
      <c r="F803" s="241"/>
      <c r="G803" s="261" t="s">
        <v>312</v>
      </c>
      <c r="H803" s="262" t="s">
        <v>85</v>
      </c>
      <c r="I803" s="346"/>
      <c r="J803" s="245" t="s">
        <v>556</v>
      </c>
      <c r="K803" s="595"/>
      <c r="L803" s="281" t="s">
        <v>1676</v>
      </c>
      <c r="M803" s="281" t="s">
        <v>1508</v>
      </c>
      <c r="N803" s="366"/>
      <c r="O803" s="392" t="s">
        <v>3125</v>
      </c>
      <c r="P803" s="402"/>
      <c r="Q803" s="301" t="s">
        <v>87</v>
      </c>
      <c r="R803" s="1006" t="s">
        <v>1800</v>
      </c>
      <c r="S803" s="279" t="s">
        <v>4762</v>
      </c>
      <c r="T803" s="197"/>
      <c r="U803" s="251" t="s">
        <v>54</v>
      </c>
      <c r="V803" s="245"/>
      <c r="W803" s="250" t="s">
        <v>295</v>
      </c>
      <c r="X803" s="197"/>
      <c r="Y803" s="245"/>
      <c r="Z803" s="246"/>
      <c r="AA803" s="246"/>
      <c r="AB803" s="296" t="s">
        <v>4413</v>
      </c>
      <c r="AC803" s="223" t="s">
        <v>946</v>
      </c>
      <c r="AD803" s="376"/>
      <c r="AE803" s="494" t="s">
        <v>4354</v>
      </c>
      <c r="AF803" s="494">
        <v>45477</v>
      </c>
      <c r="AG803" s="241"/>
      <c r="AH803" s="283"/>
      <c r="AI803" s="254" t="s">
        <v>1351</v>
      </c>
      <c r="AJ803" s="303" t="s">
        <v>136</v>
      </c>
      <c r="AK803" s="241">
        <v>4</v>
      </c>
      <c r="AL803" s="123" t="s">
        <v>477</v>
      </c>
      <c r="AM803" s="123" t="s">
        <v>460</v>
      </c>
      <c r="AN803" s="130"/>
      <c r="AO803" s="130"/>
      <c r="AP803" s="115"/>
      <c r="AQ803" s="115"/>
      <c r="AR803" s="115"/>
      <c r="AS803" s="115"/>
      <c r="AT803" s="115"/>
    </row>
    <row r="804" spans="1:46" ht="39" customHeight="1" x14ac:dyDescent="0.25">
      <c r="A804" s="1468">
        <v>803</v>
      </c>
      <c r="B804" s="141">
        <v>2</v>
      </c>
      <c r="C804" s="260" t="s">
        <v>317</v>
      </c>
      <c r="D804" s="241"/>
      <c r="E804" s="241"/>
      <c r="F804" s="241"/>
      <c r="G804" s="261" t="s">
        <v>318</v>
      </c>
      <c r="H804" s="262" t="s">
        <v>87</v>
      </c>
      <c r="I804" s="357"/>
      <c r="J804" s="245" t="s">
        <v>561</v>
      </c>
      <c r="K804" s="288" t="s">
        <v>158</v>
      </c>
      <c r="L804" s="281" t="s">
        <v>1676</v>
      </c>
      <c r="M804" s="299" t="s">
        <v>5058</v>
      </c>
      <c r="N804" s="245"/>
      <c r="O804" s="1377" t="s">
        <v>5108</v>
      </c>
      <c r="P804" s="1312"/>
      <c r="Q804" s="1377" t="s">
        <v>87</v>
      </c>
      <c r="R804" s="1003" t="s">
        <v>5106</v>
      </c>
      <c r="S804" s="279">
        <v>38204</v>
      </c>
      <c r="T804" s="289"/>
      <c r="U804" s="251" t="s">
        <v>54</v>
      </c>
      <c r="V804" s="299" t="s">
        <v>5058</v>
      </c>
      <c r="W804" s="250" t="s">
        <v>295</v>
      </c>
      <c r="X804" s="197"/>
      <c r="Y804" s="245"/>
      <c r="Z804" s="246">
        <v>45253</v>
      </c>
      <c r="AA804" s="245"/>
      <c r="AB804" s="288" t="s">
        <v>5107</v>
      </c>
      <c r="AC804" s="223" t="s">
        <v>946</v>
      </c>
      <c r="AD804" s="245" t="s">
        <v>467</v>
      </c>
      <c r="AE804" s="494">
        <v>45251</v>
      </c>
      <c r="AF804" s="494">
        <v>45616</v>
      </c>
      <c r="AG804" s="241"/>
      <c r="AH804" s="253"/>
      <c r="AI804" s="254" t="s">
        <v>4208</v>
      </c>
      <c r="AJ804" s="303" t="s">
        <v>136</v>
      </c>
      <c r="AK804" s="241">
        <v>4</v>
      </c>
      <c r="AL804" s="123" t="s">
        <v>477</v>
      </c>
      <c r="AM804" s="123" t="s">
        <v>460</v>
      </c>
      <c r="AN804" s="110"/>
      <c r="AO804" s="110"/>
      <c r="AP804" s="115"/>
      <c r="AQ804" s="115"/>
      <c r="AR804" s="115"/>
      <c r="AS804" s="115"/>
      <c r="AT804" s="115"/>
    </row>
    <row r="805" spans="1:46" ht="39" customHeight="1" x14ac:dyDescent="0.25">
      <c r="A805" s="1468">
        <v>804</v>
      </c>
      <c r="B805" s="146">
        <v>2</v>
      </c>
      <c r="C805" s="260" t="s">
        <v>319</v>
      </c>
      <c r="D805" s="241"/>
      <c r="E805" s="241"/>
      <c r="F805" s="241"/>
      <c r="G805" s="261" t="s">
        <v>320</v>
      </c>
      <c r="H805" s="262" t="s">
        <v>87</v>
      </c>
      <c r="I805" s="364"/>
      <c r="J805" s="245" t="s">
        <v>561</v>
      </c>
      <c r="K805" s="216" t="s">
        <v>313</v>
      </c>
      <c r="L805" s="299" t="s">
        <v>5058</v>
      </c>
      <c r="M805" s="299" t="s">
        <v>5058</v>
      </c>
      <c r="N805" s="366"/>
      <c r="O805" s="1372" t="s">
        <v>5112</v>
      </c>
      <c r="P805" s="402"/>
      <c r="Q805" s="1372" t="s">
        <v>87</v>
      </c>
      <c r="R805" s="1003" t="s">
        <v>5111</v>
      </c>
      <c r="S805" s="279">
        <v>35442</v>
      </c>
      <c r="T805" s="197"/>
      <c r="U805" s="251" t="s">
        <v>54</v>
      </c>
      <c r="V805" s="299" t="s">
        <v>5058</v>
      </c>
      <c r="W805" s="250" t="s">
        <v>295</v>
      </c>
      <c r="X805" s="197"/>
      <c r="Y805" s="245"/>
      <c r="Z805" s="246">
        <v>45253</v>
      </c>
      <c r="AA805" s="246"/>
      <c r="AB805" s="288" t="s">
        <v>4837</v>
      </c>
      <c r="AC805" s="223" t="s">
        <v>946</v>
      </c>
      <c r="AD805" s="245" t="s">
        <v>467</v>
      </c>
      <c r="AE805" s="494">
        <v>45252</v>
      </c>
      <c r="AF805" s="494">
        <v>45617</v>
      </c>
      <c r="AG805" s="241"/>
      <c r="AH805" s="283"/>
      <c r="AI805" s="254" t="s">
        <v>4208</v>
      </c>
      <c r="AJ805" s="303" t="s">
        <v>136</v>
      </c>
      <c r="AK805" s="241">
        <v>4</v>
      </c>
      <c r="AL805" s="123" t="s">
        <v>477</v>
      </c>
      <c r="AM805" s="123" t="s">
        <v>460</v>
      </c>
      <c r="AN805" s="110"/>
      <c r="AO805" s="110"/>
      <c r="AP805" s="115"/>
      <c r="AQ805" s="115"/>
      <c r="AR805" s="115"/>
      <c r="AS805" s="115"/>
      <c r="AT805" s="116"/>
    </row>
    <row r="806" spans="1:46" ht="39" customHeight="1" x14ac:dyDescent="0.25">
      <c r="A806" s="1468">
        <v>805</v>
      </c>
      <c r="B806" s="141">
        <v>2</v>
      </c>
      <c r="C806" s="378" t="s">
        <v>321</v>
      </c>
      <c r="D806" s="303"/>
      <c r="E806" s="241"/>
      <c r="F806" s="241"/>
      <c r="G806" s="261" t="s">
        <v>322</v>
      </c>
      <c r="H806" s="262" t="s">
        <v>87</v>
      </c>
      <c r="I806" s="357"/>
      <c r="J806" s="245" t="s">
        <v>561</v>
      </c>
      <c r="K806" s="288" t="s">
        <v>158</v>
      </c>
      <c r="L806" s="299" t="s">
        <v>5058</v>
      </c>
      <c r="M806" s="299" t="s">
        <v>5058</v>
      </c>
      <c r="N806" s="245"/>
      <c r="O806" s="1372" t="s">
        <v>5115</v>
      </c>
      <c r="P806" s="1312"/>
      <c r="Q806" s="1372" t="s">
        <v>87</v>
      </c>
      <c r="R806" s="1003" t="s">
        <v>5113</v>
      </c>
      <c r="S806" s="279">
        <v>37821</v>
      </c>
      <c r="T806" s="289"/>
      <c r="U806" s="251" t="s">
        <v>54</v>
      </c>
      <c r="V806" s="299" t="s">
        <v>5058</v>
      </c>
      <c r="W806" s="250" t="s">
        <v>295</v>
      </c>
      <c r="X806" s="197"/>
      <c r="Y806" s="245"/>
      <c r="Z806" s="246">
        <v>45253</v>
      </c>
      <c r="AA806" s="245"/>
      <c r="AB806" s="288" t="s">
        <v>5114</v>
      </c>
      <c r="AC806" s="223" t="s">
        <v>946</v>
      </c>
      <c r="AD806" s="245" t="s">
        <v>467</v>
      </c>
      <c r="AE806" s="494">
        <v>45251</v>
      </c>
      <c r="AF806" s="494">
        <v>45616</v>
      </c>
      <c r="AG806" s="241"/>
      <c r="AH806" s="253"/>
      <c r="AI806" s="254" t="s">
        <v>4208</v>
      </c>
      <c r="AJ806" s="303" t="s">
        <v>136</v>
      </c>
      <c r="AK806" s="241">
        <v>4</v>
      </c>
      <c r="AL806" s="123" t="s">
        <v>477</v>
      </c>
      <c r="AM806" s="123" t="s">
        <v>460</v>
      </c>
      <c r="AN806" s="110"/>
      <c r="AO806" s="110"/>
      <c r="AP806" s="115"/>
      <c r="AQ806" s="115"/>
      <c r="AR806" s="115"/>
      <c r="AS806" s="115"/>
      <c r="AT806" s="115"/>
    </row>
    <row r="807" spans="1:46" ht="39" customHeight="1" x14ac:dyDescent="0.25">
      <c r="A807" s="1468">
        <v>806</v>
      </c>
      <c r="B807" s="141">
        <v>1</v>
      </c>
      <c r="C807" s="378" t="s">
        <v>323</v>
      </c>
      <c r="D807" s="303"/>
      <c r="E807" s="241"/>
      <c r="F807" s="241"/>
      <c r="G807" s="261" t="s">
        <v>324</v>
      </c>
      <c r="H807" s="262" t="s">
        <v>87</v>
      </c>
      <c r="I807" s="357"/>
      <c r="J807" s="245" t="s">
        <v>561</v>
      </c>
      <c r="K807" s="288" t="s">
        <v>158</v>
      </c>
      <c r="L807" s="299" t="s">
        <v>5058</v>
      </c>
      <c r="M807" s="299" t="s">
        <v>5058</v>
      </c>
      <c r="N807" s="245"/>
      <c r="O807" s="1372" t="s">
        <v>5118</v>
      </c>
      <c r="P807" s="1312"/>
      <c r="Q807" s="1372" t="s">
        <v>87</v>
      </c>
      <c r="R807" s="1003" t="s">
        <v>5116</v>
      </c>
      <c r="S807" s="279">
        <v>37714</v>
      </c>
      <c r="T807" s="289"/>
      <c r="U807" s="251" t="s">
        <v>54</v>
      </c>
      <c r="V807" s="299" t="s">
        <v>5058</v>
      </c>
      <c r="W807" s="250" t="s">
        <v>295</v>
      </c>
      <c r="X807" s="197"/>
      <c r="Y807" s="245"/>
      <c r="Z807" s="246">
        <v>45253</v>
      </c>
      <c r="AA807" s="245"/>
      <c r="AB807" s="288" t="s">
        <v>5117</v>
      </c>
      <c r="AC807" s="223" t="s">
        <v>946</v>
      </c>
      <c r="AD807" s="245" t="s">
        <v>467</v>
      </c>
      <c r="AE807" s="494">
        <v>45251</v>
      </c>
      <c r="AF807" s="494">
        <v>45616</v>
      </c>
      <c r="AG807" s="241"/>
      <c r="AH807" s="253"/>
      <c r="AI807" s="254" t="s">
        <v>4208</v>
      </c>
      <c r="AJ807" s="303" t="s">
        <v>136</v>
      </c>
      <c r="AK807" s="241">
        <v>4</v>
      </c>
      <c r="AL807" s="123" t="s">
        <v>477</v>
      </c>
      <c r="AM807" s="123" t="s">
        <v>460</v>
      </c>
      <c r="AN807" s="110"/>
      <c r="AO807" s="110"/>
      <c r="AP807" s="115"/>
      <c r="AQ807" s="115"/>
      <c r="AR807" s="115"/>
      <c r="AS807" s="115"/>
      <c r="AT807" s="115"/>
    </row>
    <row r="808" spans="1:46" ht="39" customHeight="1" x14ac:dyDescent="0.25">
      <c r="A808" s="1468">
        <v>807</v>
      </c>
      <c r="B808" s="117">
        <v>1</v>
      </c>
      <c r="C808" s="260" t="s">
        <v>325</v>
      </c>
      <c r="D808" s="241"/>
      <c r="E808" s="241"/>
      <c r="F808" s="241"/>
      <c r="G808" s="261" t="s">
        <v>324</v>
      </c>
      <c r="H808" s="262" t="s">
        <v>87</v>
      </c>
      <c r="I808" s="357"/>
      <c r="J808" s="245" t="s">
        <v>561</v>
      </c>
      <c r="K808" s="216" t="s">
        <v>313</v>
      </c>
      <c r="L808" s="299" t="s">
        <v>5058</v>
      </c>
      <c r="M808" s="299" t="s">
        <v>5058</v>
      </c>
      <c r="N808" s="245"/>
      <c r="O808" s="1372" t="s">
        <v>5120</v>
      </c>
      <c r="P808" s="1312"/>
      <c r="Q808" s="1372" t="s">
        <v>87</v>
      </c>
      <c r="R808" s="1003" t="s">
        <v>5119</v>
      </c>
      <c r="S808" s="279">
        <v>38000</v>
      </c>
      <c r="T808" s="289"/>
      <c r="U808" s="251" t="s">
        <v>54</v>
      </c>
      <c r="V808" s="299" t="s">
        <v>5058</v>
      </c>
      <c r="W808" s="250" t="s">
        <v>295</v>
      </c>
      <c r="X808" s="197"/>
      <c r="Y808" s="245"/>
      <c r="Z808" s="246">
        <v>45253</v>
      </c>
      <c r="AA808" s="245"/>
      <c r="AB808" s="288" t="s">
        <v>5086</v>
      </c>
      <c r="AC808" s="223" t="s">
        <v>4219</v>
      </c>
      <c r="AD808" s="245" t="s">
        <v>467</v>
      </c>
      <c r="AE808" s="494">
        <v>45252</v>
      </c>
      <c r="AF808" s="494">
        <v>45617</v>
      </c>
      <c r="AG808" s="241"/>
      <c r="AH808" s="253"/>
      <c r="AI808" s="254" t="s">
        <v>4208</v>
      </c>
      <c r="AJ808" s="303" t="s">
        <v>136</v>
      </c>
      <c r="AK808" s="241">
        <v>4</v>
      </c>
      <c r="AL808" s="123" t="s">
        <v>477</v>
      </c>
      <c r="AM808" s="123" t="s">
        <v>460</v>
      </c>
      <c r="AN808" s="110"/>
      <c r="AO808" s="110"/>
      <c r="AP808" s="115"/>
      <c r="AQ808" s="115"/>
      <c r="AR808" s="115"/>
      <c r="AS808" s="115"/>
      <c r="AT808" s="115"/>
    </row>
    <row r="809" spans="1:46" ht="39" customHeight="1" x14ac:dyDescent="0.25">
      <c r="A809" s="1468">
        <v>808</v>
      </c>
      <c r="B809" s="117"/>
      <c r="C809" s="324"/>
      <c r="D809" s="664"/>
      <c r="E809" s="664"/>
      <c r="F809" s="664"/>
      <c r="G809" s="227"/>
      <c r="H809" s="228"/>
      <c r="I809" s="228"/>
      <c r="J809" s="229"/>
      <c r="K809" s="227"/>
      <c r="L809" s="229"/>
      <c r="M809" s="229"/>
      <c r="N809" s="229"/>
      <c r="O809" s="216"/>
      <c r="P809" s="230" t="s">
        <v>326</v>
      </c>
      <c r="Q809" s="373"/>
      <c r="R809" s="982"/>
      <c r="S809" s="279"/>
      <c r="T809" s="232"/>
      <c r="U809" s="250"/>
      <c r="V809" s="232"/>
      <c r="W809" s="232"/>
      <c r="X809" s="232"/>
      <c r="Y809" s="232"/>
      <c r="Z809" s="233"/>
      <c r="AA809" s="234"/>
      <c r="AB809" s="235"/>
      <c r="AC809" s="236"/>
      <c r="AD809" s="235"/>
      <c r="AE809" s="494"/>
      <c r="AF809" s="494"/>
      <c r="AG809" s="664"/>
      <c r="AH809" s="238"/>
      <c r="AI809" s="239"/>
      <c r="AJ809" s="303"/>
      <c r="AK809" s="241"/>
      <c r="AL809" s="122"/>
      <c r="AM809" s="122"/>
      <c r="AN809" s="113"/>
      <c r="AO809" s="114"/>
      <c r="AP809" s="115"/>
      <c r="AQ809" s="115"/>
      <c r="AR809" s="115"/>
      <c r="AS809" s="115"/>
      <c r="AT809" s="116"/>
    </row>
    <row r="810" spans="1:46" ht="39" customHeight="1" x14ac:dyDescent="0.25">
      <c r="A810" s="1468">
        <v>809</v>
      </c>
      <c r="B810" s="128">
        <v>5</v>
      </c>
      <c r="C810" s="290" t="s">
        <v>288</v>
      </c>
      <c r="D810" s="344"/>
      <c r="E810" s="344" t="s">
        <v>47</v>
      </c>
      <c r="F810" s="344"/>
      <c r="G810" s="292" t="s">
        <v>289</v>
      </c>
      <c r="H810" s="346" t="s">
        <v>132</v>
      </c>
      <c r="I810" s="344">
        <v>144</v>
      </c>
      <c r="J810" s="256">
        <v>403</v>
      </c>
      <c r="K810" s="288" t="s">
        <v>313</v>
      </c>
      <c r="L810" s="301" t="s">
        <v>3678</v>
      </c>
      <c r="M810" s="301" t="s">
        <v>3678</v>
      </c>
      <c r="N810" s="281" t="s">
        <v>4217</v>
      </c>
      <c r="O810" s="216" t="s">
        <v>3862</v>
      </c>
      <c r="P810" s="294"/>
      <c r="Q810" s="594" t="s">
        <v>87</v>
      </c>
      <c r="R810" s="1201" t="s">
        <v>3861</v>
      </c>
      <c r="S810" s="279">
        <v>37561</v>
      </c>
      <c r="T810" s="305" t="s">
        <v>66</v>
      </c>
      <c r="U810" s="250"/>
      <c r="V810" s="245"/>
      <c r="W810" s="250" t="s">
        <v>3584</v>
      </c>
      <c r="X810" s="197"/>
      <c r="Y810" s="245"/>
      <c r="Z810" s="246"/>
      <c r="AA810" s="252"/>
      <c r="AB810" s="282" t="s">
        <v>4264</v>
      </c>
      <c r="AC810" s="223" t="s">
        <v>4219</v>
      </c>
      <c r="AD810" s="299" t="s">
        <v>467</v>
      </c>
      <c r="AE810" s="494">
        <v>45064</v>
      </c>
      <c r="AF810" s="494">
        <v>45429</v>
      </c>
      <c r="AG810" s="241"/>
      <c r="AH810" s="283"/>
      <c r="AI810" s="296" t="s">
        <v>1351</v>
      </c>
      <c r="AJ810" s="303" t="s">
        <v>136</v>
      </c>
      <c r="AK810" s="348">
        <v>3</v>
      </c>
      <c r="AL810" s="123" t="s">
        <v>477</v>
      </c>
      <c r="AM810" s="123" t="s">
        <v>460</v>
      </c>
      <c r="AN810" s="130"/>
      <c r="AO810" s="130"/>
      <c r="AP810" s="115"/>
      <c r="AQ810" s="115"/>
      <c r="AR810" s="115"/>
      <c r="AS810" s="115"/>
      <c r="AT810" s="115"/>
    </row>
    <row r="811" spans="1:46" ht="39" customHeight="1" x14ac:dyDescent="0.25">
      <c r="A811" s="1468">
        <v>810</v>
      </c>
      <c r="B811" s="141">
        <v>3</v>
      </c>
      <c r="C811" s="356" t="s">
        <v>290</v>
      </c>
      <c r="D811" s="241" t="s">
        <v>134</v>
      </c>
      <c r="E811" s="241"/>
      <c r="F811" s="241"/>
      <c r="G811" s="261" t="s">
        <v>291</v>
      </c>
      <c r="H811" s="262" t="s">
        <v>85</v>
      </c>
      <c r="I811" s="346"/>
      <c r="J811" s="245" t="s">
        <v>556</v>
      </c>
      <c r="K811" s="288" t="s">
        <v>158</v>
      </c>
      <c r="L811" s="288" t="s">
        <v>3678</v>
      </c>
      <c r="M811" s="288" t="s">
        <v>3678</v>
      </c>
      <c r="N811" s="281" t="s">
        <v>4217</v>
      </c>
      <c r="O811" s="392" t="s">
        <v>3783</v>
      </c>
      <c r="P811" s="301"/>
      <c r="Q811" s="301" t="s">
        <v>87</v>
      </c>
      <c r="R811" s="1188" t="s">
        <v>3782</v>
      </c>
      <c r="S811" s="279">
        <v>38293</v>
      </c>
      <c r="T811" s="306"/>
      <c r="U811" s="251" t="s">
        <v>54</v>
      </c>
      <c r="V811" s="245" t="s">
        <v>3904</v>
      </c>
      <c r="W811" s="250" t="s">
        <v>295</v>
      </c>
      <c r="X811" s="197" t="s">
        <v>475</v>
      </c>
      <c r="Y811" s="245" t="s">
        <v>3975</v>
      </c>
      <c r="Z811" s="246">
        <v>45224</v>
      </c>
      <c r="AA811" s="246"/>
      <c r="AB811" s="288" t="s">
        <v>4270</v>
      </c>
      <c r="AC811" s="223" t="s">
        <v>946</v>
      </c>
      <c r="AD811" s="299" t="s">
        <v>467</v>
      </c>
      <c r="AE811" s="494">
        <v>45113</v>
      </c>
      <c r="AF811" s="494">
        <v>45478</v>
      </c>
      <c r="AG811" s="392"/>
      <c r="AH811" s="283"/>
      <c r="AI811" s="296" t="s">
        <v>1351</v>
      </c>
      <c r="AJ811" s="303" t="s">
        <v>136</v>
      </c>
      <c r="AK811" s="241">
        <v>4</v>
      </c>
      <c r="AL811" s="123" t="s">
        <v>477</v>
      </c>
      <c r="AM811" s="123" t="s">
        <v>460</v>
      </c>
      <c r="AN811" s="110" t="s">
        <v>4184</v>
      </c>
      <c r="AO811" s="130"/>
      <c r="AP811" s="115"/>
      <c r="AQ811" s="115"/>
      <c r="AR811" s="115"/>
      <c r="AS811" s="115"/>
      <c r="AT811" s="115"/>
    </row>
    <row r="812" spans="1:46" ht="39" customHeight="1" x14ac:dyDescent="0.25">
      <c r="A812" s="1468">
        <v>811</v>
      </c>
      <c r="B812" s="141">
        <v>3</v>
      </c>
      <c r="C812" s="358" t="s">
        <v>297</v>
      </c>
      <c r="D812" s="241" t="s">
        <v>134</v>
      </c>
      <c r="E812" s="241"/>
      <c r="F812" s="241"/>
      <c r="G812" s="261" t="s">
        <v>298</v>
      </c>
      <c r="H812" s="262" t="s">
        <v>85</v>
      </c>
      <c r="I812" s="346"/>
      <c r="J812" s="245" t="s">
        <v>556</v>
      </c>
      <c r="K812" s="288" t="s">
        <v>158</v>
      </c>
      <c r="L812" s="288" t="s">
        <v>3678</v>
      </c>
      <c r="M812" s="288" t="s">
        <v>3678</v>
      </c>
      <c r="N812" s="281" t="s">
        <v>4217</v>
      </c>
      <c r="O812" s="392" t="s">
        <v>3785</v>
      </c>
      <c r="P812" s="301"/>
      <c r="Q812" s="301" t="s">
        <v>87</v>
      </c>
      <c r="R812" s="1188" t="s">
        <v>3784</v>
      </c>
      <c r="S812" s="279">
        <v>37801</v>
      </c>
      <c r="T812" s="306"/>
      <c r="U812" s="251" t="s">
        <v>54</v>
      </c>
      <c r="V812" s="245" t="s">
        <v>3904</v>
      </c>
      <c r="W812" s="250" t="s">
        <v>295</v>
      </c>
      <c r="X812" s="197" t="s">
        <v>475</v>
      </c>
      <c r="Y812" s="245" t="s">
        <v>3975</v>
      </c>
      <c r="Z812" s="246">
        <v>45224</v>
      </c>
      <c r="AA812" s="246"/>
      <c r="AB812" s="288" t="s">
        <v>4256</v>
      </c>
      <c r="AC812" s="223" t="s">
        <v>946</v>
      </c>
      <c r="AD812" s="299" t="s">
        <v>467</v>
      </c>
      <c r="AE812" s="494">
        <v>45105</v>
      </c>
      <c r="AF812" s="494">
        <v>45470</v>
      </c>
      <c r="AG812" s="392"/>
      <c r="AH812" s="283"/>
      <c r="AI812" s="296" t="s">
        <v>1351</v>
      </c>
      <c r="AJ812" s="303" t="s">
        <v>136</v>
      </c>
      <c r="AK812" s="241">
        <v>4</v>
      </c>
      <c r="AL812" s="123" t="s">
        <v>477</v>
      </c>
      <c r="AM812" s="123" t="s">
        <v>460</v>
      </c>
      <c r="AN812" s="130"/>
      <c r="AO812" s="130"/>
      <c r="AP812" s="115"/>
      <c r="AQ812" s="115"/>
      <c r="AR812" s="115"/>
      <c r="AS812" s="115"/>
      <c r="AT812" s="116"/>
    </row>
    <row r="813" spans="1:46" ht="39" customHeight="1" x14ac:dyDescent="0.25">
      <c r="A813" s="1468">
        <v>812</v>
      </c>
      <c r="B813" s="141">
        <v>2</v>
      </c>
      <c r="C813" s="260" t="s">
        <v>311</v>
      </c>
      <c r="D813" s="241"/>
      <c r="E813" s="241"/>
      <c r="F813" s="241"/>
      <c r="G813" s="261" t="s">
        <v>312</v>
      </c>
      <c r="H813" s="262" t="s">
        <v>85</v>
      </c>
      <c r="I813" s="346"/>
      <c r="J813" s="245" t="s">
        <v>556</v>
      </c>
      <c r="K813" s="715"/>
      <c r="L813" s="441" t="s">
        <v>1676</v>
      </c>
      <c r="M813" s="441" t="s">
        <v>1508</v>
      </c>
      <c r="N813" s="451"/>
      <c r="O813" s="392" t="s">
        <v>3066</v>
      </c>
      <c r="P813" s="402"/>
      <c r="Q813" s="301" t="s">
        <v>87</v>
      </c>
      <c r="R813" s="1006" t="s">
        <v>1786</v>
      </c>
      <c r="S813" s="279">
        <v>37592</v>
      </c>
      <c r="T813" s="197"/>
      <c r="U813" s="251" t="s">
        <v>54</v>
      </c>
      <c r="V813" s="245"/>
      <c r="W813" s="250" t="s">
        <v>295</v>
      </c>
      <c r="X813" s="197"/>
      <c r="Y813" s="245"/>
      <c r="Z813" s="246"/>
      <c r="AA813" s="246"/>
      <c r="AB813" s="250" t="s">
        <v>4415</v>
      </c>
      <c r="AC813" s="223" t="s">
        <v>946</v>
      </c>
      <c r="AD813" s="376"/>
      <c r="AE813" s="494">
        <v>45113</v>
      </c>
      <c r="AF813" s="494">
        <v>45478</v>
      </c>
      <c r="AG813" s="241"/>
      <c r="AH813" s="283"/>
      <c r="AI813" s="254" t="s">
        <v>1351</v>
      </c>
      <c r="AJ813" s="303" t="s">
        <v>136</v>
      </c>
      <c r="AK813" s="241">
        <v>4</v>
      </c>
      <c r="AL813" s="123" t="s">
        <v>477</v>
      </c>
      <c r="AM813" s="123" t="s">
        <v>460</v>
      </c>
      <c r="AN813" s="130"/>
      <c r="AO813" s="130"/>
      <c r="AP813" s="115"/>
      <c r="AQ813" s="115"/>
      <c r="AR813" s="115"/>
      <c r="AS813" s="115"/>
      <c r="AT813" s="115"/>
    </row>
    <row r="814" spans="1:46" ht="39" customHeight="1" x14ac:dyDescent="0.25">
      <c r="A814" s="1468">
        <v>813</v>
      </c>
      <c r="B814" s="141">
        <v>2</v>
      </c>
      <c r="C814" s="260" t="s">
        <v>317</v>
      </c>
      <c r="D814" s="241"/>
      <c r="E814" s="241"/>
      <c r="F814" s="241"/>
      <c r="G814" s="261" t="s">
        <v>318</v>
      </c>
      <c r="H814" s="262" t="s">
        <v>87</v>
      </c>
      <c r="I814" s="357"/>
      <c r="J814" s="245" t="s">
        <v>561</v>
      </c>
      <c r="K814" s="216"/>
      <c r="L814" s="281" t="s">
        <v>1676</v>
      </c>
      <c r="M814" s="281" t="s">
        <v>1508</v>
      </c>
      <c r="N814" s="366"/>
      <c r="O814" s="392" t="s">
        <v>2924</v>
      </c>
      <c r="P814" s="402"/>
      <c r="Q814" s="380" t="s">
        <v>87</v>
      </c>
      <c r="R814" s="682" t="s">
        <v>1755</v>
      </c>
      <c r="S814" s="279" t="s">
        <v>4763</v>
      </c>
      <c r="T814" s="197"/>
      <c r="U814" s="251" t="s">
        <v>54</v>
      </c>
      <c r="V814" s="245"/>
      <c r="W814" s="250" t="s">
        <v>295</v>
      </c>
      <c r="X814" s="197"/>
      <c r="Y814" s="245"/>
      <c r="Z814" s="246"/>
      <c r="AA814" s="246"/>
      <c r="AB814" s="296" t="s">
        <v>4416</v>
      </c>
      <c r="AC814" s="223" t="s">
        <v>946</v>
      </c>
      <c r="AD814" s="376"/>
      <c r="AE814" s="494" t="s">
        <v>4359</v>
      </c>
      <c r="AF814" s="494">
        <v>45477</v>
      </c>
      <c r="AG814" s="241"/>
      <c r="AH814" s="283"/>
      <c r="AI814" s="254" t="s">
        <v>1351</v>
      </c>
      <c r="AJ814" s="303" t="s">
        <v>136</v>
      </c>
      <c r="AK814" s="241">
        <v>4</v>
      </c>
      <c r="AL814" s="123" t="s">
        <v>477</v>
      </c>
      <c r="AM814" s="123" t="s">
        <v>460</v>
      </c>
      <c r="AN814" s="110"/>
      <c r="AO814" s="110"/>
      <c r="AP814" s="115"/>
      <c r="AQ814" s="115"/>
      <c r="AR814" s="115"/>
      <c r="AS814" s="115"/>
      <c r="AT814" s="115"/>
    </row>
    <row r="815" spans="1:46" ht="39" customHeight="1" x14ac:dyDescent="0.25">
      <c r="A815" s="1468">
        <v>814</v>
      </c>
      <c r="B815" s="146">
        <v>2</v>
      </c>
      <c r="C815" s="260" t="s">
        <v>319</v>
      </c>
      <c r="D815" s="241"/>
      <c r="E815" s="241"/>
      <c r="F815" s="241"/>
      <c r="G815" s="261" t="s">
        <v>320</v>
      </c>
      <c r="H815" s="262" t="s">
        <v>87</v>
      </c>
      <c r="I815" s="357"/>
      <c r="J815" s="245" t="s">
        <v>561</v>
      </c>
      <c r="K815" s="216"/>
      <c r="L815" s="281" t="s">
        <v>1676</v>
      </c>
      <c r="M815" s="281" t="s">
        <v>1508</v>
      </c>
      <c r="N815" s="366"/>
      <c r="O815" s="392" t="s">
        <v>2933</v>
      </c>
      <c r="P815" s="402"/>
      <c r="Q815" s="380" t="s">
        <v>87</v>
      </c>
      <c r="R815" s="682" t="s">
        <v>1757</v>
      </c>
      <c r="S815" s="279" t="s">
        <v>4764</v>
      </c>
      <c r="T815" s="197"/>
      <c r="U815" s="251" t="s">
        <v>54</v>
      </c>
      <c r="V815" s="245"/>
      <c r="W815" s="250" t="s">
        <v>295</v>
      </c>
      <c r="X815" s="197"/>
      <c r="Y815" s="245"/>
      <c r="Z815" s="246"/>
      <c r="AA815" s="246"/>
      <c r="AB815" s="296" t="s">
        <v>4413</v>
      </c>
      <c r="AC815" s="223" t="s">
        <v>566</v>
      </c>
      <c r="AD815" s="376"/>
      <c r="AE815" s="494" t="s">
        <v>4359</v>
      </c>
      <c r="AF815" s="494">
        <v>45477</v>
      </c>
      <c r="AG815" s="241"/>
      <c r="AH815" s="283"/>
      <c r="AI815" s="254" t="s">
        <v>1351</v>
      </c>
      <c r="AJ815" s="303" t="s">
        <v>136</v>
      </c>
      <c r="AK815" s="241">
        <v>4</v>
      </c>
      <c r="AL815" s="123" t="s">
        <v>477</v>
      </c>
      <c r="AM815" s="123" t="s">
        <v>460</v>
      </c>
      <c r="AN815" s="110"/>
      <c r="AO815" s="110"/>
      <c r="AP815" s="115"/>
      <c r="AQ815" s="115"/>
      <c r="AR815" s="115"/>
      <c r="AS815" s="115"/>
      <c r="AT815" s="116"/>
    </row>
    <row r="816" spans="1:46" ht="39" customHeight="1" x14ac:dyDescent="0.25">
      <c r="A816" s="1468">
        <v>815</v>
      </c>
      <c r="B816" s="141">
        <v>2</v>
      </c>
      <c r="C816" s="378" t="s">
        <v>321</v>
      </c>
      <c r="D816" s="303"/>
      <c r="E816" s="241"/>
      <c r="F816" s="241"/>
      <c r="G816" s="261" t="s">
        <v>322</v>
      </c>
      <c r="H816" s="262" t="s">
        <v>87</v>
      </c>
      <c r="I816" s="364"/>
      <c r="J816" s="245" t="s">
        <v>561</v>
      </c>
      <c r="K816" s="288" t="s">
        <v>4571</v>
      </c>
      <c r="L816" s="299" t="s">
        <v>5058</v>
      </c>
      <c r="M816" s="299" t="s">
        <v>5058</v>
      </c>
      <c r="N816" s="245"/>
      <c r="O816" s="1372" t="s">
        <v>5122</v>
      </c>
      <c r="P816" s="1312"/>
      <c r="Q816" s="1372" t="s">
        <v>87</v>
      </c>
      <c r="R816" s="1003" t="s">
        <v>5121</v>
      </c>
      <c r="S816" s="279">
        <v>38610</v>
      </c>
      <c r="T816" s="289"/>
      <c r="U816" s="251" t="s">
        <v>54</v>
      </c>
      <c r="V816" s="299" t="s">
        <v>5058</v>
      </c>
      <c r="W816" s="250" t="s">
        <v>295</v>
      </c>
      <c r="X816" s="197"/>
      <c r="Y816" s="245"/>
      <c r="Z816" s="246">
        <v>45253</v>
      </c>
      <c r="AA816" s="245"/>
      <c r="AB816" s="296" t="s">
        <v>5123</v>
      </c>
      <c r="AC816" s="223" t="s">
        <v>946</v>
      </c>
      <c r="AD816" s="245" t="s">
        <v>467</v>
      </c>
      <c r="AE816" s="494">
        <v>45251</v>
      </c>
      <c r="AF816" s="494">
        <v>45616</v>
      </c>
      <c r="AG816" s="241"/>
      <c r="AH816" s="253"/>
      <c r="AI816" s="254" t="s">
        <v>4208</v>
      </c>
      <c r="AJ816" s="303" t="s">
        <v>136</v>
      </c>
      <c r="AK816" s="241">
        <v>4</v>
      </c>
      <c r="AL816" s="123" t="s">
        <v>477</v>
      </c>
      <c r="AM816" s="123" t="s">
        <v>460</v>
      </c>
      <c r="AN816" s="110"/>
      <c r="AO816" s="110"/>
      <c r="AP816" s="115"/>
      <c r="AQ816" s="115"/>
      <c r="AR816" s="115"/>
      <c r="AS816" s="115"/>
      <c r="AT816" s="115"/>
    </row>
    <row r="817" spans="1:46" ht="39" customHeight="1" x14ac:dyDescent="0.25">
      <c r="A817" s="1468">
        <v>816</v>
      </c>
      <c r="B817" s="141">
        <v>1</v>
      </c>
      <c r="C817" s="378" t="s">
        <v>323</v>
      </c>
      <c r="D817" s="303"/>
      <c r="E817" s="241"/>
      <c r="F817" s="241"/>
      <c r="G817" s="261" t="s">
        <v>324</v>
      </c>
      <c r="H817" s="262" t="s">
        <v>87</v>
      </c>
      <c r="I817" s="357"/>
      <c r="J817" s="245" t="s">
        <v>561</v>
      </c>
      <c r="K817" s="216"/>
      <c r="L817" s="281" t="s">
        <v>1676</v>
      </c>
      <c r="M817" s="281" t="s">
        <v>1508</v>
      </c>
      <c r="N817" s="366"/>
      <c r="O817" s="392" t="s">
        <v>3025</v>
      </c>
      <c r="P817" s="402"/>
      <c r="Q817" s="594" t="s">
        <v>87</v>
      </c>
      <c r="R817" s="381" t="s">
        <v>1775</v>
      </c>
      <c r="S817" s="279">
        <v>37845</v>
      </c>
      <c r="T817" s="197"/>
      <c r="U817" s="251" t="s">
        <v>54</v>
      </c>
      <c r="V817" s="245" t="s">
        <v>1890</v>
      </c>
      <c r="W817" s="250" t="s">
        <v>907</v>
      </c>
      <c r="X817" s="250" t="s">
        <v>1892</v>
      </c>
      <c r="Y817" s="245" t="s">
        <v>1893</v>
      </c>
      <c r="Z817" s="246">
        <v>45132</v>
      </c>
      <c r="AA817" s="246"/>
      <c r="AB817" s="250" t="s">
        <v>4417</v>
      </c>
      <c r="AC817" s="223" t="s">
        <v>946</v>
      </c>
      <c r="AD817" s="376"/>
      <c r="AE817" s="494">
        <v>45105</v>
      </c>
      <c r="AF817" s="494">
        <v>45470</v>
      </c>
      <c r="AG817" s="241"/>
      <c r="AH817" s="283"/>
      <c r="AI817" s="254" t="s">
        <v>1351</v>
      </c>
      <c r="AJ817" s="303" t="s">
        <v>136</v>
      </c>
      <c r="AK817" s="241">
        <v>4</v>
      </c>
      <c r="AL817" s="123" t="s">
        <v>477</v>
      </c>
      <c r="AM817" s="123" t="s">
        <v>460</v>
      </c>
      <c r="AN817" s="110"/>
      <c r="AO817" s="110"/>
      <c r="AP817" s="115"/>
      <c r="AQ817" s="115"/>
      <c r="AR817" s="115"/>
      <c r="AS817" s="115"/>
      <c r="AT817" s="115"/>
    </row>
    <row r="818" spans="1:46" ht="39" customHeight="1" x14ac:dyDescent="0.25">
      <c r="A818" s="1468">
        <v>817</v>
      </c>
      <c r="B818" s="117">
        <v>1</v>
      </c>
      <c r="C818" s="260" t="s">
        <v>325</v>
      </c>
      <c r="D818" s="241"/>
      <c r="E818" s="241"/>
      <c r="F818" s="241"/>
      <c r="G818" s="261" t="s">
        <v>324</v>
      </c>
      <c r="H818" s="262" t="s">
        <v>87</v>
      </c>
      <c r="I818" s="357"/>
      <c r="J818" s="245" t="s">
        <v>561</v>
      </c>
      <c r="K818" s="571"/>
      <c r="L818" s="281" t="s">
        <v>1676</v>
      </c>
      <c r="M818" s="281" t="s">
        <v>1508</v>
      </c>
      <c r="N818" s="366"/>
      <c r="O818" s="1392" t="s">
        <v>3105</v>
      </c>
      <c r="P818" s="402"/>
      <c r="Q818" s="301" t="s">
        <v>87</v>
      </c>
      <c r="R818" s="682" t="s">
        <v>1793</v>
      </c>
      <c r="S818" s="279" t="s">
        <v>4795</v>
      </c>
      <c r="T818" s="197"/>
      <c r="U818" s="251" t="s">
        <v>54</v>
      </c>
      <c r="V818" s="245"/>
      <c r="W818" s="250" t="s">
        <v>295</v>
      </c>
      <c r="X818" s="197"/>
      <c r="Y818" s="245"/>
      <c r="Z818" s="246"/>
      <c r="AA818" s="246"/>
      <c r="AB818" s="296" t="s">
        <v>4465</v>
      </c>
      <c r="AC818" s="223" t="s">
        <v>946</v>
      </c>
      <c r="AD818" s="376"/>
      <c r="AE818" s="494" t="s">
        <v>4354</v>
      </c>
      <c r="AF818" s="494">
        <v>45477</v>
      </c>
      <c r="AG818" s="241"/>
      <c r="AH818" s="283"/>
      <c r="AI818" s="254" t="s">
        <v>1351</v>
      </c>
      <c r="AJ818" s="303" t="s">
        <v>136</v>
      </c>
      <c r="AK818" s="241">
        <v>4</v>
      </c>
      <c r="AL818" s="123" t="s">
        <v>477</v>
      </c>
      <c r="AM818" s="123" t="s">
        <v>460</v>
      </c>
      <c r="AN818" s="110"/>
      <c r="AO818" s="110"/>
      <c r="AP818" s="115"/>
      <c r="AQ818" s="115"/>
      <c r="AR818" s="115"/>
      <c r="AS818" s="115"/>
      <c r="AT818" s="115"/>
    </row>
    <row r="819" spans="1:46" ht="39" customHeight="1" x14ac:dyDescent="0.25">
      <c r="A819" s="1468">
        <v>818</v>
      </c>
      <c r="B819" s="117"/>
      <c r="C819" s="324"/>
      <c r="D819" s="664"/>
      <c r="E819" s="664"/>
      <c r="F819" s="664"/>
      <c r="G819" s="227"/>
      <c r="H819" s="228"/>
      <c r="I819" s="228"/>
      <c r="J819" s="229"/>
      <c r="K819" s="227"/>
      <c r="L819" s="229"/>
      <c r="M819" s="229"/>
      <c r="N819" s="229"/>
      <c r="O819" s="216"/>
      <c r="P819" s="230" t="s">
        <v>327</v>
      </c>
      <c r="Q819" s="373"/>
      <c r="R819" s="982"/>
      <c r="S819" s="279"/>
      <c r="T819" s="232"/>
      <c r="U819" s="250"/>
      <c r="V819" s="232"/>
      <c r="W819" s="232"/>
      <c r="X819" s="232"/>
      <c r="Y819" s="232"/>
      <c r="Z819" s="233"/>
      <c r="AA819" s="234"/>
      <c r="AB819" s="235"/>
      <c r="AC819" s="236"/>
      <c r="AD819" s="235"/>
      <c r="AE819" s="494"/>
      <c r="AF819" s="494"/>
      <c r="AG819" s="664"/>
      <c r="AH819" s="238"/>
      <c r="AI819" s="239"/>
      <c r="AJ819" s="303"/>
      <c r="AK819" s="241"/>
      <c r="AL819" s="122"/>
      <c r="AM819" s="122"/>
      <c r="AN819" s="113"/>
      <c r="AO819" s="114"/>
      <c r="AP819" s="115"/>
      <c r="AQ819" s="115"/>
      <c r="AR819" s="115"/>
      <c r="AS819" s="115"/>
      <c r="AT819" s="116"/>
    </row>
    <row r="820" spans="1:46" ht="39" customHeight="1" x14ac:dyDescent="0.25">
      <c r="A820" s="1468">
        <v>819</v>
      </c>
      <c r="B820" s="128">
        <v>5</v>
      </c>
      <c r="C820" s="290" t="s">
        <v>288</v>
      </c>
      <c r="D820" s="344"/>
      <c r="E820" s="344" t="s">
        <v>47</v>
      </c>
      <c r="F820" s="344"/>
      <c r="G820" s="292" t="s">
        <v>289</v>
      </c>
      <c r="H820" s="346" t="s">
        <v>132</v>
      </c>
      <c r="I820" s="344">
        <v>144</v>
      </c>
      <c r="J820" s="256">
        <v>403</v>
      </c>
      <c r="K820" s="288" t="s">
        <v>158</v>
      </c>
      <c r="L820" s="301" t="s">
        <v>3678</v>
      </c>
      <c r="M820" s="301" t="s">
        <v>3678</v>
      </c>
      <c r="N820" s="281" t="s">
        <v>4217</v>
      </c>
      <c r="O820" s="216" t="s">
        <v>3878</v>
      </c>
      <c r="P820" s="372"/>
      <c r="Q820" s="301" t="s">
        <v>87</v>
      </c>
      <c r="R820" s="1394" t="s">
        <v>3877</v>
      </c>
      <c r="S820" s="279">
        <v>38257</v>
      </c>
      <c r="T820" s="250"/>
      <c r="U820" s="251" t="s">
        <v>54</v>
      </c>
      <c r="V820" s="245" t="s">
        <v>3904</v>
      </c>
      <c r="W820" s="250" t="s">
        <v>295</v>
      </c>
      <c r="X820" s="197" t="s">
        <v>475</v>
      </c>
      <c r="Y820" s="245" t="s">
        <v>3975</v>
      </c>
      <c r="Z820" s="246">
        <v>45224</v>
      </c>
      <c r="AA820" s="258"/>
      <c r="AB820" s="288" t="s">
        <v>4257</v>
      </c>
      <c r="AC820" s="223" t="s">
        <v>946</v>
      </c>
      <c r="AD820" s="299" t="s">
        <v>467</v>
      </c>
      <c r="AE820" s="494">
        <v>45107</v>
      </c>
      <c r="AF820" s="494">
        <v>45472</v>
      </c>
      <c r="AG820" s="241"/>
      <c r="AH820" s="283"/>
      <c r="AI820" s="296" t="s">
        <v>1351</v>
      </c>
      <c r="AJ820" s="303" t="s">
        <v>136</v>
      </c>
      <c r="AK820" s="348">
        <v>3</v>
      </c>
      <c r="AL820" s="123" t="s">
        <v>477</v>
      </c>
      <c r="AM820" s="123" t="s">
        <v>460</v>
      </c>
      <c r="AN820" s="130"/>
      <c r="AO820" s="130"/>
      <c r="AP820" s="115"/>
      <c r="AQ820" s="115"/>
      <c r="AR820" s="115"/>
      <c r="AS820" s="115"/>
      <c r="AT820" s="115"/>
    </row>
    <row r="821" spans="1:46" ht="39" customHeight="1" x14ac:dyDescent="0.25">
      <c r="A821" s="1468">
        <v>820</v>
      </c>
      <c r="B821" s="141">
        <v>3</v>
      </c>
      <c r="C821" s="356" t="s">
        <v>290</v>
      </c>
      <c r="D821" s="241" t="s">
        <v>134</v>
      </c>
      <c r="E821" s="241"/>
      <c r="F821" s="241"/>
      <c r="G821" s="261" t="s">
        <v>291</v>
      </c>
      <c r="H821" s="262" t="s">
        <v>85</v>
      </c>
      <c r="I821" s="346"/>
      <c r="J821" s="245" t="s">
        <v>556</v>
      </c>
      <c r="K821" s="288" t="s">
        <v>158</v>
      </c>
      <c r="L821" s="288" t="s">
        <v>3678</v>
      </c>
      <c r="M821" s="288" t="s">
        <v>3678</v>
      </c>
      <c r="N821" s="281" t="s">
        <v>4217</v>
      </c>
      <c r="O821" s="392" t="s">
        <v>3787</v>
      </c>
      <c r="P821" s="372"/>
      <c r="Q821" s="380" t="s">
        <v>87</v>
      </c>
      <c r="R821" s="1188" t="s">
        <v>3786</v>
      </c>
      <c r="S821" s="279">
        <v>37837</v>
      </c>
      <c r="T821" s="197"/>
      <c r="U821" s="251" t="s">
        <v>54</v>
      </c>
      <c r="V821" s="245" t="s">
        <v>3904</v>
      </c>
      <c r="W821" s="250" t="s">
        <v>295</v>
      </c>
      <c r="X821" s="197" t="s">
        <v>475</v>
      </c>
      <c r="Y821" s="245" t="s">
        <v>3975</v>
      </c>
      <c r="Z821" s="246">
        <v>45224</v>
      </c>
      <c r="AA821" s="246"/>
      <c r="AB821" s="288" t="s">
        <v>4244</v>
      </c>
      <c r="AC821" s="223" t="s">
        <v>946</v>
      </c>
      <c r="AD821" s="299" t="s">
        <v>467</v>
      </c>
      <c r="AE821" s="494">
        <v>45105</v>
      </c>
      <c r="AF821" s="494">
        <v>45470</v>
      </c>
      <c r="AG821" s="392"/>
      <c r="AH821" s="283"/>
      <c r="AI821" s="296" t="s">
        <v>1351</v>
      </c>
      <c r="AJ821" s="303" t="s">
        <v>136</v>
      </c>
      <c r="AK821" s="241">
        <v>4</v>
      </c>
      <c r="AL821" s="123" t="s">
        <v>477</v>
      </c>
      <c r="AM821" s="123" t="s">
        <v>460</v>
      </c>
      <c r="AN821" s="110" t="s">
        <v>4184</v>
      </c>
      <c r="AO821" s="130"/>
      <c r="AP821" s="115"/>
      <c r="AQ821" s="115"/>
      <c r="AR821" s="115"/>
      <c r="AS821" s="115"/>
      <c r="AT821" s="115"/>
    </row>
    <row r="822" spans="1:46" ht="39" customHeight="1" x14ac:dyDescent="0.25">
      <c r="A822" s="1468">
        <v>821</v>
      </c>
      <c r="B822" s="141">
        <v>3</v>
      </c>
      <c r="C822" s="358" t="s">
        <v>297</v>
      </c>
      <c r="D822" s="241" t="s">
        <v>134</v>
      </c>
      <c r="E822" s="241"/>
      <c r="F822" s="241"/>
      <c r="G822" s="261" t="s">
        <v>298</v>
      </c>
      <c r="H822" s="262" t="s">
        <v>85</v>
      </c>
      <c r="I822" s="346"/>
      <c r="J822" s="245" t="s">
        <v>556</v>
      </c>
      <c r="K822" s="288" t="s">
        <v>158</v>
      </c>
      <c r="L822" s="288" t="s">
        <v>3678</v>
      </c>
      <c r="M822" s="288" t="s">
        <v>3678</v>
      </c>
      <c r="N822" s="281" t="s">
        <v>4217</v>
      </c>
      <c r="O822" s="392" t="s">
        <v>3789</v>
      </c>
      <c r="P822" s="372"/>
      <c r="Q822" s="380" t="s">
        <v>87</v>
      </c>
      <c r="R822" s="1188" t="s">
        <v>3788</v>
      </c>
      <c r="S822" s="279">
        <v>37767</v>
      </c>
      <c r="T822" s="197"/>
      <c r="U822" s="251" t="s">
        <v>54</v>
      </c>
      <c r="V822" s="245" t="s">
        <v>3904</v>
      </c>
      <c r="W822" s="250" t="s">
        <v>295</v>
      </c>
      <c r="X822" s="197" t="s">
        <v>475</v>
      </c>
      <c r="Y822" s="245" t="s">
        <v>3975</v>
      </c>
      <c r="Z822" s="246">
        <v>45224</v>
      </c>
      <c r="AA822" s="246"/>
      <c r="AB822" s="1236" t="s">
        <v>4248</v>
      </c>
      <c r="AC822" s="223" t="s">
        <v>946</v>
      </c>
      <c r="AD822" s="299" t="s">
        <v>467</v>
      </c>
      <c r="AE822" s="494">
        <v>45104</v>
      </c>
      <c r="AF822" s="494">
        <v>45469</v>
      </c>
      <c r="AG822" s="392"/>
      <c r="AH822" s="283"/>
      <c r="AI822" s="296" t="s">
        <v>1351</v>
      </c>
      <c r="AJ822" s="303" t="s">
        <v>136</v>
      </c>
      <c r="AK822" s="241">
        <v>4</v>
      </c>
      <c r="AL822" s="123" t="s">
        <v>477</v>
      </c>
      <c r="AM822" s="123" t="s">
        <v>460</v>
      </c>
      <c r="AN822" s="130"/>
      <c r="AO822" s="130"/>
      <c r="AP822" s="115"/>
      <c r="AQ822" s="115"/>
      <c r="AR822" s="115"/>
      <c r="AS822" s="115"/>
      <c r="AT822" s="116"/>
    </row>
    <row r="823" spans="1:46" ht="39" customHeight="1" x14ac:dyDescent="0.25">
      <c r="A823" s="1468">
        <v>822</v>
      </c>
      <c r="B823" s="141">
        <v>2</v>
      </c>
      <c r="C823" s="260" t="s">
        <v>311</v>
      </c>
      <c r="D823" s="241"/>
      <c r="E823" s="241"/>
      <c r="F823" s="241"/>
      <c r="G823" s="261" t="s">
        <v>312</v>
      </c>
      <c r="H823" s="262" t="s">
        <v>85</v>
      </c>
      <c r="I823" s="346"/>
      <c r="J823" s="245" t="s">
        <v>556</v>
      </c>
      <c r="K823" s="197"/>
      <c r="L823" s="281" t="s">
        <v>1676</v>
      </c>
      <c r="M823" s="281" t="s">
        <v>1508</v>
      </c>
      <c r="N823" s="366"/>
      <c r="O823" s="392" t="s">
        <v>3084</v>
      </c>
      <c r="P823" s="402"/>
      <c r="Q823" s="380" t="s">
        <v>87</v>
      </c>
      <c r="R823" s="1006" t="s">
        <v>1788</v>
      </c>
      <c r="S823" s="279" t="s">
        <v>4765</v>
      </c>
      <c r="T823" s="197"/>
      <c r="U823" s="251" t="s">
        <v>54</v>
      </c>
      <c r="V823" s="245"/>
      <c r="W823" s="250" t="s">
        <v>295</v>
      </c>
      <c r="X823" s="197"/>
      <c r="Y823" s="245"/>
      <c r="Z823" s="246"/>
      <c r="AA823" s="246"/>
      <c r="AB823" s="296" t="s">
        <v>4419</v>
      </c>
      <c r="AC823" s="223" t="s">
        <v>946</v>
      </c>
      <c r="AD823" s="376"/>
      <c r="AE823" s="494" t="s">
        <v>4354</v>
      </c>
      <c r="AF823" s="494">
        <v>45477</v>
      </c>
      <c r="AG823" s="241"/>
      <c r="AH823" s="283"/>
      <c r="AI823" s="254" t="s">
        <v>1351</v>
      </c>
      <c r="AJ823" s="303" t="s">
        <v>136</v>
      </c>
      <c r="AK823" s="241">
        <v>4</v>
      </c>
      <c r="AL823" s="123" t="s">
        <v>477</v>
      </c>
      <c r="AM823" s="123" t="s">
        <v>460</v>
      </c>
      <c r="AN823" s="130"/>
      <c r="AO823" s="130"/>
      <c r="AP823" s="115"/>
      <c r="AQ823" s="115"/>
      <c r="AR823" s="115"/>
      <c r="AS823" s="115"/>
      <c r="AT823" s="115"/>
    </row>
    <row r="824" spans="1:46" ht="39" customHeight="1" x14ac:dyDescent="0.25">
      <c r="A824" s="1468">
        <v>823</v>
      </c>
      <c r="B824" s="141">
        <v>2</v>
      </c>
      <c r="C824" s="260" t="s">
        <v>317</v>
      </c>
      <c r="D824" s="241"/>
      <c r="E824" s="241"/>
      <c r="F824" s="241"/>
      <c r="G824" s="261" t="s">
        <v>318</v>
      </c>
      <c r="H824" s="262" t="s">
        <v>87</v>
      </c>
      <c r="I824" s="357"/>
      <c r="J824" s="245" t="s">
        <v>561</v>
      </c>
      <c r="K824" s="216" t="s">
        <v>313</v>
      </c>
      <c r="L824" s="299" t="s">
        <v>5058</v>
      </c>
      <c r="M824" s="299" t="s">
        <v>5058</v>
      </c>
      <c r="N824" s="366"/>
      <c r="O824" s="1372" t="s">
        <v>5126</v>
      </c>
      <c r="P824" s="402"/>
      <c r="Q824" s="1372" t="s">
        <v>87</v>
      </c>
      <c r="R824" s="1003" t="s">
        <v>5124</v>
      </c>
      <c r="S824" s="279">
        <v>38667</v>
      </c>
      <c r="T824" s="197"/>
      <c r="U824" s="251" t="s">
        <v>54</v>
      </c>
      <c r="V824" s="299" t="s">
        <v>5058</v>
      </c>
      <c r="W824" s="250" t="s">
        <v>295</v>
      </c>
      <c r="X824" s="197"/>
      <c r="Y824" s="245"/>
      <c r="Z824" s="246">
        <v>45253</v>
      </c>
      <c r="AA824" s="246"/>
      <c r="AB824" s="288" t="s">
        <v>5125</v>
      </c>
      <c r="AC824" s="223" t="s">
        <v>946</v>
      </c>
      <c r="AD824" s="245" t="s">
        <v>467</v>
      </c>
      <c r="AE824" s="494">
        <v>45252</v>
      </c>
      <c r="AF824" s="494">
        <v>45617</v>
      </c>
      <c r="AG824" s="241"/>
      <c r="AH824" s="283"/>
      <c r="AI824" s="254" t="s">
        <v>4208</v>
      </c>
      <c r="AJ824" s="303" t="s">
        <v>136</v>
      </c>
      <c r="AK824" s="241">
        <v>4</v>
      </c>
      <c r="AL824" s="123" t="s">
        <v>477</v>
      </c>
      <c r="AM824" s="123" t="s">
        <v>460</v>
      </c>
      <c r="AN824" s="110"/>
      <c r="AO824" s="110"/>
      <c r="AP824" s="115"/>
      <c r="AQ824" s="115"/>
      <c r="AR824" s="115"/>
      <c r="AS824" s="115"/>
      <c r="AT824" s="115"/>
    </row>
    <row r="825" spans="1:46" ht="39" customHeight="1" x14ac:dyDescent="0.25">
      <c r="A825" s="1468">
        <v>824</v>
      </c>
      <c r="B825" s="146">
        <v>2</v>
      </c>
      <c r="C825" s="260" t="s">
        <v>319</v>
      </c>
      <c r="D825" s="241"/>
      <c r="E825" s="241"/>
      <c r="F825" s="241"/>
      <c r="G825" s="261" t="s">
        <v>320</v>
      </c>
      <c r="H825" s="262" t="s">
        <v>87</v>
      </c>
      <c r="I825" s="357"/>
      <c r="J825" s="245" t="s">
        <v>561</v>
      </c>
      <c r="K825" s="305"/>
      <c r="L825" s="281" t="s">
        <v>1676</v>
      </c>
      <c r="M825" s="281" t="s">
        <v>1508</v>
      </c>
      <c r="N825" s="366"/>
      <c r="O825" s="392" t="s">
        <v>2958</v>
      </c>
      <c r="P825" s="402"/>
      <c r="Q825" s="380" t="s">
        <v>87</v>
      </c>
      <c r="R825" s="682" t="s">
        <v>1762</v>
      </c>
      <c r="S825" s="279" t="s">
        <v>4766</v>
      </c>
      <c r="T825" s="197"/>
      <c r="U825" s="251" t="s">
        <v>54</v>
      </c>
      <c r="V825" s="245"/>
      <c r="W825" s="250" t="s">
        <v>295</v>
      </c>
      <c r="X825" s="197"/>
      <c r="Y825" s="245"/>
      <c r="Z825" s="246"/>
      <c r="AA825" s="246"/>
      <c r="AB825" s="296" t="s">
        <v>4358</v>
      </c>
      <c r="AC825" s="223" t="s">
        <v>946</v>
      </c>
      <c r="AD825" s="376"/>
      <c r="AE825" s="494" t="s">
        <v>4414</v>
      </c>
      <c r="AF825" s="494">
        <v>45478</v>
      </c>
      <c r="AG825" s="241"/>
      <c r="AH825" s="283"/>
      <c r="AI825" s="254" t="s">
        <v>1351</v>
      </c>
      <c r="AJ825" s="303" t="s">
        <v>136</v>
      </c>
      <c r="AK825" s="241">
        <v>4</v>
      </c>
      <c r="AL825" s="123" t="s">
        <v>477</v>
      </c>
      <c r="AM825" s="123" t="s">
        <v>460</v>
      </c>
      <c r="AN825" s="110"/>
      <c r="AO825" s="110"/>
      <c r="AP825" s="115"/>
      <c r="AQ825" s="115"/>
      <c r="AR825" s="115"/>
      <c r="AS825" s="115"/>
      <c r="AT825" s="116"/>
    </row>
    <row r="826" spans="1:46" ht="39" customHeight="1" x14ac:dyDescent="0.25">
      <c r="A826" s="1468">
        <v>825</v>
      </c>
      <c r="B826" s="141">
        <v>2</v>
      </c>
      <c r="C826" s="378" t="s">
        <v>321</v>
      </c>
      <c r="D826" s="303"/>
      <c r="E826" s="241"/>
      <c r="F826" s="241"/>
      <c r="G826" s="261" t="s">
        <v>322</v>
      </c>
      <c r="H826" s="262" t="s">
        <v>87</v>
      </c>
      <c r="I826" s="357"/>
      <c r="J826" s="245" t="s">
        <v>561</v>
      </c>
      <c r="K826" s="394"/>
      <c r="L826" s="438" t="s">
        <v>1676</v>
      </c>
      <c r="M826" s="438" t="s">
        <v>1508</v>
      </c>
      <c r="N826" s="404"/>
      <c r="O826" s="392" t="s">
        <v>3120</v>
      </c>
      <c r="P826" s="402"/>
      <c r="Q826" s="301" t="s">
        <v>87</v>
      </c>
      <c r="R826" s="897" t="s">
        <v>1796</v>
      </c>
      <c r="S826" s="279" t="s">
        <v>4767</v>
      </c>
      <c r="T826" s="268"/>
      <c r="U826" s="251" t="s">
        <v>54</v>
      </c>
      <c r="V826" s="264"/>
      <c r="W826" s="414" t="s">
        <v>295</v>
      </c>
      <c r="X826" s="197"/>
      <c r="Y826" s="264"/>
      <c r="Z826" s="405"/>
      <c r="AA826" s="405"/>
      <c r="AB826" s="296" t="s">
        <v>4420</v>
      </c>
      <c r="AC826" s="223" t="s">
        <v>946</v>
      </c>
      <c r="AD826" s="718"/>
      <c r="AE826" s="494" t="s">
        <v>4345</v>
      </c>
      <c r="AF826" s="494">
        <v>45478</v>
      </c>
      <c r="AG826" s="471"/>
      <c r="AH826" s="585"/>
      <c r="AI826" s="719" t="s">
        <v>1351</v>
      </c>
      <c r="AJ826" s="470" t="s">
        <v>136</v>
      </c>
      <c r="AK826" s="241">
        <v>4</v>
      </c>
      <c r="AL826" s="123" t="s">
        <v>477</v>
      </c>
      <c r="AM826" s="123" t="s">
        <v>460</v>
      </c>
      <c r="AN826" s="110"/>
      <c r="AO826" s="110"/>
      <c r="AP826" s="115"/>
      <c r="AQ826" s="115"/>
      <c r="AR826" s="115"/>
      <c r="AS826" s="115"/>
      <c r="AT826" s="115"/>
    </row>
    <row r="827" spans="1:46" ht="39" customHeight="1" x14ac:dyDescent="0.25">
      <c r="A827" s="1468">
        <v>826</v>
      </c>
      <c r="B827" s="141">
        <v>1</v>
      </c>
      <c r="C827" s="378" t="s">
        <v>323</v>
      </c>
      <c r="D827" s="303"/>
      <c r="E827" s="241"/>
      <c r="F827" s="241"/>
      <c r="G827" s="261" t="s">
        <v>324</v>
      </c>
      <c r="H827" s="262" t="s">
        <v>87</v>
      </c>
      <c r="I827" s="364"/>
      <c r="J827" s="245" t="s">
        <v>561</v>
      </c>
      <c r="K827" s="288"/>
      <c r="L827" s="288" t="s">
        <v>5144</v>
      </c>
      <c r="M827" s="288" t="s">
        <v>5144</v>
      </c>
      <c r="N827" s="281"/>
      <c r="O827" s="1392" t="s">
        <v>5229</v>
      </c>
      <c r="P827" s="300"/>
      <c r="Q827" s="380" t="s">
        <v>87</v>
      </c>
      <c r="R827" s="1003" t="s">
        <v>5183</v>
      </c>
      <c r="S827" s="279">
        <v>38091</v>
      </c>
      <c r="T827" s="289"/>
      <c r="U827" s="251" t="s">
        <v>54</v>
      </c>
      <c r="V827" s="245" t="s">
        <v>5171</v>
      </c>
      <c r="W827" s="250" t="s">
        <v>295</v>
      </c>
      <c r="X827" s="197"/>
      <c r="Y827" s="981" t="s">
        <v>5829</v>
      </c>
      <c r="Z827" s="246">
        <v>45260</v>
      </c>
      <c r="AA827" s="246"/>
      <c r="AB827" s="288" t="s">
        <v>5276</v>
      </c>
      <c r="AC827" s="223" t="s">
        <v>946</v>
      </c>
      <c r="AD827" s="245" t="s">
        <v>467</v>
      </c>
      <c r="AE827" s="494">
        <v>45256</v>
      </c>
      <c r="AF827" s="494">
        <v>45621</v>
      </c>
      <c r="AG827" s="1391"/>
      <c r="AH827" s="283"/>
      <c r="AI827" s="296" t="s">
        <v>4208</v>
      </c>
      <c r="AJ827" s="303" t="s">
        <v>136</v>
      </c>
      <c r="AK827" s="241">
        <v>4</v>
      </c>
      <c r="AL827" s="123" t="s">
        <v>477</v>
      </c>
      <c r="AM827" s="123" t="s">
        <v>460</v>
      </c>
      <c r="AN827" s="151"/>
      <c r="AO827" s="151"/>
      <c r="AP827" s="115"/>
      <c r="AQ827" s="115"/>
      <c r="AR827" s="115"/>
      <c r="AS827" s="115"/>
      <c r="AT827" s="115"/>
    </row>
    <row r="828" spans="1:46" ht="39" customHeight="1" x14ac:dyDescent="0.25">
      <c r="A828" s="1468">
        <v>827</v>
      </c>
      <c r="B828" s="117">
        <v>1</v>
      </c>
      <c r="C828" s="503" t="s">
        <v>325</v>
      </c>
      <c r="D828" s="471"/>
      <c r="E828" s="471"/>
      <c r="F828" s="471"/>
      <c r="G828" s="472" t="s">
        <v>324</v>
      </c>
      <c r="H828" s="262" t="s">
        <v>87</v>
      </c>
      <c r="I828" s="473"/>
      <c r="J828" s="245" t="s">
        <v>561</v>
      </c>
      <c r="K828" s="257"/>
      <c r="L828" s="288" t="s">
        <v>5144</v>
      </c>
      <c r="M828" s="288" t="s">
        <v>5144</v>
      </c>
      <c r="N828" s="245"/>
      <c r="O828" s="1392" t="s">
        <v>5230</v>
      </c>
      <c r="P828" s="1312"/>
      <c r="Q828" s="380" t="s">
        <v>87</v>
      </c>
      <c r="R828" s="1003" t="s">
        <v>5184</v>
      </c>
      <c r="S828" s="279">
        <v>37930</v>
      </c>
      <c r="T828" s="289"/>
      <c r="U828" s="251" t="s">
        <v>54</v>
      </c>
      <c r="V828" s="245" t="s">
        <v>5171</v>
      </c>
      <c r="W828" s="250" t="s">
        <v>295</v>
      </c>
      <c r="X828" s="197"/>
      <c r="Y828" s="981" t="s">
        <v>5829</v>
      </c>
      <c r="Z828" s="246">
        <v>45260</v>
      </c>
      <c r="AA828" s="245"/>
      <c r="AB828" s="288" t="s">
        <v>5274</v>
      </c>
      <c r="AC828" s="223" t="s">
        <v>946</v>
      </c>
      <c r="AD828" s="245" t="s">
        <v>467</v>
      </c>
      <c r="AE828" s="494">
        <v>45256</v>
      </c>
      <c r="AF828" s="494">
        <v>45621</v>
      </c>
      <c r="AG828" s="241"/>
      <c r="AH828" s="253"/>
      <c r="AI828" s="296" t="s">
        <v>4208</v>
      </c>
      <c r="AJ828" s="303" t="s">
        <v>136</v>
      </c>
      <c r="AK828" s="471">
        <v>4</v>
      </c>
      <c r="AL828" s="176" t="s">
        <v>477</v>
      </c>
      <c r="AM828" s="176" t="s">
        <v>460</v>
      </c>
      <c r="AN828" s="151"/>
      <c r="AO828" s="151"/>
      <c r="AP828" s="115"/>
      <c r="AQ828" s="115"/>
      <c r="AR828" s="115"/>
      <c r="AS828" s="115"/>
      <c r="AT828" s="115"/>
    </row>
    <row r="829" spans="1:46" ht="39" customHeight="1" x14ac:dyDescent="0.25">
      <c r="A829" s="1468">
        <v>828</v>
      </c>
      <c r="B829" s="987"/>
      <c r="C829" s="989"/>
      <c r="D829" s="664"/>
      <c r="E829" s="664"/>
      <c r="F829" s="664"/>
      <c r="G829" s="227"/>
      <c r="H829" s="228"/>
      <c r="I829" s="228"/>
      <c r="J829" s="229"/>
      <c r="K829" s="227"/>
      <c r="L829" s="229"/>
      <c r="M829" s="229"/>
      <c r="N829" s="229"/>
      <c r="O829" s="309"/>
      <c r="P829" s="230" t="s">
        <v>328</v>
      </c>
      <c r="Q829" s="726"/>
      <c r="R829" s="1004"/>
      <c r="S829" s="279"/>
      <c r="T829" s="232"/>
      <c r="U829" s="250"/>
      <c r="V829" s="232"/>
      <c r="W829" s="232"/>
      <c r="X829" s="232"/>
      <c r="Y829" s="232"/>
      <c r="Z829" s="233"/>
      <c r="AA829" s="234"/>
      <c r="AB829" s="235"/>
      <c r="AC829" s="236"/>
      <c r="AD829" s="235"/>
      <c r="AE829" s="494"/>
      <c r="AF829" s="494"/>
      <c r="AG829" s="664"/>
      <c r="AH829" s="238"/>
      <c r="AI829" s="239"/>
      <c r="AJ829" s="576"/>
      <c r="AK829" s="664"/>
      <c r="AL829" s="113"/>
      <c r="AM829" s="114"/>
      <c r="AN829" s="163"/>
      <c r="AO829" s="114"/>
      <c r="AP829" s="115"/>
      <c r="AQ829" s="115"/>
      <c r="AR829" s="115"/>
      <c r="AS829" s="115"/>
      <c r="AT829" s="116"/>
    </row>
    <row r="830" spans="1:46" ht="39" customHeight="1" x14ac:dyDescent="0.25">
      <c r="A830" s="1468">
        <v>829</v>
      </c>
      <c r="B830" s="119">
        <v>10</v>
      </c>
      <c r="C830" s="793" t="s">
        <v>305</v>
      </c>
      <c r="D830" s="487"/>
      <c r="E830" s="728" t="s">
        <v>47</v>
      </c>
      <c r="F830" s="487"/>
      <c r="G830" s="730" t="s">
        <v>91</v>
      </c>
      <c r="H830" s="244" t="s">
        <v>83</v>
      </c>
      <c r="I830" s="733"/>
      <c r="J830" s="245">
        <v>302</v>
      </c>
      <c r="K830" s="216"/>
      <c r="L830" s="281"/>
      <c r="M830" s="281"/>
      <c r="N830" s="245"/>
      <c r="O830" s="950" t="s">
        <v>2308</v>
      </c>
      <c r="P830" s="287"/>
      <c r="Q830" s="338" t="s">
        <v>2053</v>
      </c>
      <c r="R830" s="990" t="s">
        <v>2307</v>
      </c>
      <c r="S830" s="279">
        <v>25952</v>
      </c>
      <c r="T830" s="250"/>
      <c r="U830" s="250"/>
      <c r="V830" s="245"/>
      <c r="W830" s="250"/>
      <c r="X830" s="197"/>
      <c r="Y830" s="197"/>
      <c r="Z830" s="246"/>
      <c r="AA830" s="246"/>
      <c r="AB830" s="361"/>
      <c r="AC830" s="223"/>
      <c r="AD830" s="281"/>
      <c r="AE830" s="494"/>
      <c r="AF830" s="494"/>
      <c r="AG830" s="241"/>
      <c r="AH830" s="283"/>
      <c r="AI830" s="296"/>
      <c r="AJ830" s="255" t="s">
        <v>62</v>
      </c>
      <c r="AK830" s="806">
        <v>1</v>
      </c>
      <c r="AL830" s="810" t="s">
        <v>477</v>
      </c>
      <c r="AM830" s="810" t="s">
        <v>460</v>
      </c>
      <c r="AN830" s="137"/>
      <c r="AO830" s="208"/>
      <c r="AP830" s="115"/>
      <c r="AQ830" s="115"/>
      <c r="AR830" s="115"/>
      <c r="AS830" s="115"/>
      <c r="AT830" s="115"/>
    </row>
    <row r="831" spans="1:46" ht="39" customHeight="1" x14ac:dyDescent="0.25">
      <c r="A831" s="1468">
        <v>830</v>
      </c>
      <c r="B831" s="117"/>
      <c r="C831" s="324"/>
      <c r="D831" s="664"/>
      <c r="E831" s="664"/>
      <c r="F831" s="664"/>
      <c r="G831" s="227"/>
      <c r="H831" s="228"/>
      <c r="I831" s="228"/>
      <c r="J831" s="229"/>
      <c r="K831" s="227"/>
      <c r="L831" s="229"/>
      <c r="M831" s="229"/>
      <c r="N831" s="229"/>
      <c r="O831" s="216"/>
      <c r="P831" s="230" t="s">
        <v>306</v>
      </c>
      <c r="Q831" s="373"/>
      <c r="R831" s="982"/>
      <c r="S831" s="279"/>
      <c r="T831" s="232"/>
      <c r="U831" s="250"/>
      <c r="V831" s="232"/>
      <c r="W831" s="232"/>
      <c r="X831" s="232"/>
      <c r="Y831" s="232"/>
      <c r="Z831" s="233"/>
      <c r="AA831" s="234"/>
      <c r="AB831" s="235"/>
      <c r="AC831" s="236"/>
      <c r="AD831" s="1159"/>
      <c r="AE831" s="1412"/>
      <c r="AF831" s="1412"/>
      <c r="AG831" s="664"/>
      <c r="AH831" s="238"/>
      <c r="AI831" s="239"/>
      <c r="AJ831" s="576"/>
      <c r="AK831" s="664"/>
      <c r="AL831" s="113"/>
      <c r="AM831" s="113"/>
      <c r="AN831" s="163"/>
      <c r="AO831" s="114"/>
      <c r="AP831" s="115"/>
      <c r="AQ831" s="115"/>
      <c r="AR831" s="115"/>
      <c r="AS831" s="115"/>
      <c r="AT831" s="116"/>
    </row>
    <row r="832" spans="1:46" ht="39" customHeight="1" x14ac:dyDescent="0.25">
      <c r="A832" s="1468">
        <v>831</v>
      </c>
      <c r="B832" s="128">
        <v>7</v>
      </c>
      <c r="C832" s="290" t="s">
        <v>307</v>
      </c>
      <c r="D832" s="344"/>
      <c r="E832" s="344" t="s">
        <v>47</v>
      </c>
      <c r="F832" s="344"/>
      <c r="G832" s="345" t="s">
        <v>308</v>
      </c>
      <c r="H832" s="346" t="s">
        <v>132</v>
      </c>
      <c r="I832" s="371" t="s">
        <v>309</v>
      </c>
      <c r="J832" s="256">
        <v>403</v>
      </c>
      <c r="K832" s="288" t="s">
        <v>50</v>
      </c>
      <c r="L832" s="288" t="s">
        <v>3678</v>
      </c>
      <c r="M832" s="288" t="s">
        <v>3678</v>
      </c>
      <c r="N832" s="281" t="s">
        <v>4217</v>
      </c>
      <c r="O832" s="1392" t="s">
        <v>3720</v>
      </c>
      <c r="P832" s="388"/>
      <c r="Q832" s="380" t="s">
        <v>87</v>
      </c>
      <c r="R832" s="1188" t="s">
        <v>3719</v>
      </c>
      <c r="S832" s="279">
        <v>36272</v>
      </c>
      <c r="T832" s="299"/>
      <c r="U832" s="250"/>
      <c r="V832" s="245"/>
      <c r="W832" s="250" t="s">
        <v>3584</v>
      </c>
      <c r="X832" s="197"/>
      <c r="Y832" s="245"/>
      <c r="Z832" s="246"/>
      <c r="AA832" s="246"/>
      <c r="AB832" s="288" t="s">
        <v>4332</v>
      </c>
      <c r="AC832" s="223" t="s">
        <v>946</v>
      </c>
      <c r="AD832" s="412" t="s">
        <v>467</v>
      </c>
      <c r="AE832" s="494">
        <v>45104</v>
      </c>
      <c r="AF832" s="494">
        <v>45469</v>
      </c>
      <c r="AG832" s="1417"/>
      <c r="AH832" s="489"/>
      <c r="AI832" s="721" t="s">
        <v>1351</v>
      </c>
      <c r="AJ832" s="507" t="s">
        <v>136</v>
      </c>
      <c r="AK832" s="491">
        <v>3</v>
      </c>
      <c r="AL832" s="175" t="s">
        <v>477</v>
      </c>
      <c r="AM832" s="175" t="s">
        <v>460</v>
      </c>
      <c r="AN832" s="138"/>
      <c r="AO832" s="170"/>
      <c r="AP832" s="115"/>
      <c r="AQ832" s="115"/>
      <c r="AR832" s="115"/>
      <c r="AS832" s="115"/>
      <c r="AT832" s="115"/>
    </row>
    <row r="833" spans="1:46" ht="39" customHeight="1" x14ac:dyDescent="0.25">
      <c r="A833" s="1468">
        <v>832</v>
      </c>
      <c r="B833" s="141">
        <v>3</v>
      </c>
      <c r="C833" s="356" t="s">
        <v>290</v>
      </c>
      <c r="D833" s="241" t="s">
        <v>134</v>
      </c>
      <c r="E833" s="241"/>
      <c r="F833" s="241"/>
      <c r="G833" s="261" t="s">
        <v>291</v>
      </c>
      <c r="H833" s="262" t="s">
        <v>85</v>
      </c>
      <c r="I833" s="346"/>
      <c r="J833" s="245" t="s">
        <v>556</v>
      </c>
      <c r="K833" s="288" t="s">
        <v>158</v>
      </c>
      <c r="L833" s="288" t="s">
        <v>3678</v>
      </c>
      <c r="M833" s="288" t="s">
        <v>3678</v>
      </c>
      <c r="N833" s="281" t="s">
        <v>4217</v>
      </c>
      <c r="O833" s="392" t="s">
        <v>3791</v>
      </c>
      <c r="P833" s="372"/>
      <c r="Q833" s="594" t="s">
        <v>87</v>
      </c>
      <c r="R833" s="1188" t="s">
        <v>3790</v>
      </c>
      <c r="S833" s="279">
        <v>38527</v>
      </c>
      <c r="T833" s="250"/>
      <c r="U833" s="251" t="s">
        <v>54</v>
      </c>
      <c r="V833" s="245" t="s">
        <v>3904</v>
      </c>
      <c r="W833" s="250" t="s">
        <v>295</v>
      </c>
      <c r="X833" s="197" t="s">
        <v>475</v>
      </c>
      <c r="Y833" s="245" t="s">
        <v>3975</v>
      </c>
      <c r="Z833" s="246">
        <v>45224</v>
      </c>
      <c r="AA833" s="246"/>
      <c r="AB833" s="288" t="s">
        <v>4239</v>
      </c>
      <c r="AC833" s="223" t="s">
        <v>946</v>
      </c>
      <c r="AD833" s="299" t="s">
        <v>467</v>
      </c>
      <c r="AE833" s="494">
        <v>45105</v>
      </c>
      <c r="AF833" s="494">
        <v>45470</v>
      </c>
      <c r="AG833" s="392"/>
      <c r="AH833" s="283"/>
      <c r="AI833" s="296" t="s">
        <v>1351</v>
      </c>
      <c r="AJ833" s="303" t="s">
        <v>136</v>
      </c>
      <c r="AK833" s="241">
        <v>4</v>
      </c>
      <c r="AL833" s="123" t="s">
        <v>477</v>
      </c>
      <c r="AM833" s="123" t="s">
        <v>460</v>
      </c>
      <c r="AN833" s="110" t="s">
        <v>4184</v>
      </c>
      <c r="AO833" s="138"/>
      <c r="AP833" s="115"/>
      <c r="AQ833" s="115"/>
      <c r="AR833" s="115"/>
      <c r="AS833" s="115"/>
      <c r="AT833" s="115"/>
    </row>
    <row r="834" spans="1:46" ht="39" customHeight="1" x14ac:dyDescent="0.25">
      <c r="A834" s="1468">
        <v>833</v>
      </c>
      <c r="B834" s="141">
        <v>3</v>
      </c>
      <c r="C834" s="358" t="s">
        <v>297</v>
      </c>
      <c r="D834" s="241" t="s">
        <v>134</v>
      </c>
      <c r="E834" s="241"/>
      <c r="F834" s="241"/>
      <c r="G834" s="261" t="s">
        <v>298</v>
      </c>
      <c r="H834" s="262" t="s">
        <v>85</v>
      </c>
      <c r="I834" s="346"/>
      <c r="J834" s="245" t="s">
        <v>556</v>
      </c>
      <c r="K834" s="288" t="s">
        <v>313</v>
      </c>
      <c r="L834" s="288" t="s">
        <v>3678</v>
      </c>
      <c r="M834" s="288" t="s">
        <v>3678</v>
      </c>
      <c r="N834" s="281" t="s">
        <v>4217</v>
      </c>
      <c r="O834" s="392" t="s">
        <v>3793</v>
      </c>
      <c r="P834" s="372"/>
      <c r="Q834" s="594" t="s">
        <v>87</v>
      </c>
      <c r="R834" s="1188" t="s">
        <v>3792</v>
      </c>
      <c r="S834" s="279">
        <v>38504</v>
      </c>
      <c r="T834" s="250"/>
      <c r="U834" s="251" t="s">
        <v>54</v>
      </c>
      <c r="V834" s="245" t="s">
        <v>3904</v>
      </c>
      <c r="W834" s="250" t="s">
        <v>295</v>
      </c>
      <c r="X834" s="197" t="s">
        <v>475</v>
      </c>
      <c r="Y834" s="245" t="s">
        <v>3975</v>
      </c>
      <c r="Z834" s="246">
        <v>45224</v>
      </c>
      <c r="AA834" s="246"/>
      <c r="AB834" s="1236" t="s">
        <v>4255</v>
      </c>
      <c r="AC834" s="223" t="s">
        <v>946</v>
      </c>
      <c r="AD834" s="299" t="s">
        <v>467</v>
      </c>
      <c r="AE834" s="494">
        <v>45098</v>
      </c>
      <c r="AF834" s="494">
        <v>45463</v>
      </c>
      <c r="AG834" s="392"/>
      <c r="AH834" s="283"/>
      <c r="AI834" s="296" t="s">
        <v>1351</v>
      </c>
      <c r="AJ834" s="303" t="s">
        <v>136</v>
      </c>
      <c r="AK834" s="241">
        <v>4</v>
      </c>
      <c r="AL834" s="123" t="s">
        <v>477</v>
      </c>
      <c r="AM834" s="123" t="s">
        <v>460</v>
      </c>
      <c r="AN834" s="138"/>
      <c r="AO834" s="138"/>
      <c r="AP834" s="115"/>
      <c r="AQ834" s="115"/>
      <c r="AR834" s="115"/>
      <c r="AS834" s="115"/>
      <c r="AT834" s="116"/>
    </row>
    <row r="835" spans="1:46" ht="39" customHeight="1" x14ac:dyDescent="0.25">
      <c r="A835" s="1468">
        <v>834</v>
      </c>
      <c r="B835" s="141">
        <v>2</v>
      </c>
      <c r="C835" s="260" t="s">
        <v>311</v>
      </c>
      <c r="D835" s="241"/>
      <c r="E835" s="241"/>
      <c r="F835" s="241"/>
      <c r="G835" s="261" t="s">
        <v>312</v>
      </c>
      <c r="H835" s="262" t="s">
        <v>85</v>
      </c>
      <c r="I835" s="346"/>
      <c r="J835" s="245" t="s">
        <v>556</v>
      </c>
      <c r="K835" s="257"/>
      <c r="L835" s="288" t="s">
        <v>5144</v>
      </c>
      <c r="M835" s="288" t="s">
        <v>5144</v>
      </c>
      <c r="N835" s="245"/>
      <c r="O835" s="1392" t="s">
        <v>5231</v>
      </c>
      <c r="P835" s="1312"/>
      <c r="Q835" s="380" t="s">
        <v>87</v>
      </c>
      <c r="R835" s="1003" t="s">
        <v>5185</v>
      </c>
      <c r="S835" s="279">
        <v>37973</v>
      </c>
      <c r="T835" s="289"/>
      <c r="U835" s="251" t="s">
        <v>54</v>
      </c>
      <c r="V835" s="245" t="s">
        <v>5171</v>
      </c>
      <c r="W835" s="250" t="s">
        <v>295</v>
      </c>
      <c r="X835" s="197"/>
      <c r="Y835" s="981" t="s">
        <v>5829</v>
      </c>
      <c r="Z835" s="246">
        <v>45260</v>
      </c>
      <c r="AA835" s="245"/>
      <c r="AB835" s="288" t="s">
        <v>5277</v>
      </c>
      <c r="AC835" s="223" t="s">
        <v>946</v>
      </c>
      <c r="AD835" s="245" t="s">
        <v>467</v>
      </c>
      <c r="AE835" s="494">
        <v>45256</v>
      </c>
      <c r="AF835" s="494">
        <v>45621</v>
      </c>
      <c r="AG835" s="241"/>
      <c r="AH835" s="253"/>
      <c r="AI835" s="296" t="s">
        <v>4208</v>
      </c>
      <c r="AJ835" s="303" t="s">
        <v>136</v>
      </c>
      <c r="AK835" s="241">
        <v>4</v>
      </c>
      <c r="AL835" s="123" t="s">
        <v>477</v>
      </c>
      <c r="AM835" s="123" t="s">
        <v>460</v>
      </c>
      <c r="AN835" s="138"/>
      <c r="AO835" s="138"/>
      <c r="AP835" s="115"/>
      <c r="AQ835" s="115"/>
      <c r="AR835" s="115"/>
      <c r="AS835" s="115"/>
      <c r="AT835" s="115"/>
    </row>
    <row r="836" spans="1:46" ht="39" customHeight="1" x14ac:dyDescent="0.25">
      <c r="A836" s="1468">
        <v>835</v>
      </c>
      <c r="B836" s="141">
        <v>2</v>
      </c>
      <c r="C836" s="260" t="s">
        <v>317</v>
      </c>
      <c r="D836" s="241"/>
      <c r="E836" s="241"/>
      <c r="F836" s="241"/>
      <c r="G836" s="261" t="s">
        <v>318</v>
      </c>
      <c r="H836" s="262" t="s">
        <v>87</v>
      </c>
      <c r="I836" s="357"/>
      <c r="J836" s="245" t="s">
        <v>561</v>
      </c>
      <c r="K836" s="257"/>
      <c r="L836" s="288" t="s">
        <v>5144</v>
      </c>
      <c r="M836" s="288" t="s">
        <v>5144</v>
      </c>
      <c r="N836" s="245"/>
      <c r="O836" s="1392" t="s">
        <v>5232</v>
      </c>
      <c r="P836" s="1312"/>
      <c r="Q836" s="380" t="s">
        <v>87</v>
      </c>
      <c r="R836" s="1003" t="s">
        <v>5186</v>
      </c>
      <c r="S836" s="279">
        <v>38317</v>
      </c>
      <c r="T836" s="289"/>
      <c r="U836" s="251" t="s">
        <v>54</v>
      </c>
      <c r="V836" s="245" t="s">
        <v>5828</v>
      </c>
      <c r="W836" s="250" t="s">
        <v>295</v>
      </c>
      <c r="X836" s="197"/>
      <c r="Y836" s="245" t="s">
        <v>5829</v>
      </c>
      <c r="Z836" s="246">
        <v>45260</v>
      </c>
      <c r="AA836" s="245"/>
      <c r="AB836" s="288" t="s">
        <v>5278</v>
      </c>
      <c r="AC836" s="223" t="s">
        <v>946</v>
      </c>
      <c r="AD836" s="245" t="s">
        <v>467</v>
      </c>
      <c r="AE836" s="494">
        <v>45257</v>
      </c>
      <c r="AF836" s="494">
        <v>45622</v>
      </c>
      <c r="AG836" s="241"/>
      <c r="AH836" s="253"/>
      <c r="AI836" s="296" t="s">
        <v>4208</v>
      </c>
      <c r="AJ836" s="303" t="s">
        <v>136</v>
      </c>
      <c r="AK836" s="241">
        <v>4</v>
      </c>
      <c r="AL836" s="123" t="s">
        <v>477</v>
      </c>
      <c r="AM836" s="123" t="s">
        <v>460</v>
      </c>
      <c r="AN836" s="110"/>
      <c r="AO836" s="151"/>
      <c r="AP836" s="115"/>
      <c r="AQ836" s="115"/>
      <c r="AR836" s="115"/>
      <c r="AS836" s="115"/>
      <c r="AT836" s="115"/>
    </row>
    <row r="837" spans="1:46" ht="39" customHeight="1" x14ac:dyDescent="0.25">
      <c r="A837" s="1468">
        <v>836</v>
      </c>
      <c r="B837" s="146">
        <v>2</v>
      </c>
      <c r="C837" s="260" t="s">
        <v>319</v>
      </c>
      <c r="D837" s="241"/>
      <c r="E837" s="241"/>
      <c r="F837" s="241"/>
      <c r="G837" s="261" t="s">
        <v>320</v>
      </c>
      <c r="H837" s="262" t="s">
        <v>87</v>
      </c>
      <c r="I837" s="357"/>
      <c r="J837" s="245" t="s">
        <v>561</v>
      </c>
      <c r="K837" s="288" t="s">
        <v>313</v>
      </c>
      <c r="L837" s="277" t="s">
        <v>4641</v>
      </c>
      <c r="M837" s="277" t="s">
        <v>4641</v>
      </c>
      <c r="N837" s="366"/>
      <c r="O837" s="216" t="s">
        <v>4686</v>
      </c>
      <c r="P837" s="402"/>
      <c r="Q837" s="301" t="s">
        <v>87</v>
      </c>
      <c r="R837" s="683" t="s">
        <v>4667</v>
      </c>
      <c r="S837" s="279">
        <v>37288</v>
      </c>
      <c r="T837" s="197"/>
      <c r="U837" s="251" t="s">
        <v>54</v>
      </c>
      <c r="V837" s="216" t="s">
        <v>4641</v>
      </c>
      <c r="W837" s="1379" t="s">
        <v>295</v>
      </c>
      <c r="X837" s="1379"/>
      <c r="Y837" s="288" t="s">
        <v>4677</v>
      </c>
      <c r="Z837" s="612">
        <v>45240</v>
      </c>
      <c r="AA837" s="246"/>
      <c r="AB837" s="361" t="s">
        <v>4685</v>
      </c>
      <c r="AC837" s="1379" t="s">
        <v>946</v>
      </c>
      <c r="AD837" s="281" t="s">
        <v>467</v>
      </c>
      <c r="AE837" s="494">
        <v>45239</v>
      </c>
      <c r="AF837" s="494">
        <v>45604</v>
      </c>
      <c r="AG837" s="241"/>
      <c r="AH837" s="283"/>
      <c r="AI837" s="254" t="s">
        <v>4208</v>
      </c>
      <c r="AJ837" s="303" t="s">
        <v>136</v>
      </c>
      <c r="AK837" s="241">
        <v>4</v>
      </c>
      <c r="AL837" s="123" t="s">
        <v>477</v>
      </c>
      <c r="AM837" s="123" t="s">
        <v>460</v>
      </c>
      <c r="AN837" s="110"/>
      <c r="AO837" s="151"/>
      <c r="AP837" s="115"/>
      <c r="AQ837" s="115"/>
      <c r="AR837" s="115"/>
      <c r="AS837" s="115"/>
      <c r="AT837" s="116"/>
    </row>
    <row r="838" spans="1:46" ht="39" customHeight="1" x14ac:dyDescent="0.25">
      <c r="A838" s="1468">
        <v>837</v>
      </c>
      <c r="B838" s="141">
        <v>2</v>
      </c>
      <c r="C838" s="378" t="s">
        <v>321</v>
      </c>
      <c r="D838" s="303"/>
      <c r="E838" s="241"/>
      <c r="F838" s="241"/>
      <c r="G838" s="261" t="s">
        <v>322</v>
      </c>
      <c r="H838" s="262" t="s">
        <v>87</v>
      </c>
      <c r="I838" s="357"/>
      <c r="J838" s="245" t="s">
        <v>561</v>
      </c>
      <c r="K838" s="288" t="s">
        <v>158</v>
      </c>
      <c r="L838" s="277" t="s">
        <v>4641</v>
      </c>
      <c r="M838" s="277" t="s">
        <v>4641</v>
      </c>
      <c r="N838" s="366"/>
      <c r="O838" s="216" t="s">
        <v>4683</v>
      </c>
      <c r="P838" s="320"/>
      <c r="Q838" s="301" t="s">
        <v>87</v>
      </c>
      <c r="R838" s="381" t="s">
        <v>4668</v>
      </c>
      <c r="S838" s="279">
        <v>37495</v>
      </c>
      <c r="T838" s="197"/>
      <c r="U838" s="251" t="s">
        <v>54</v>
      </c>
      <c r="V838" s="216" t="s">
        <v>4641</v>
      </c>
      <c r="W838" s="1379" t="s">
        <v>295</v>
      </c>
      <c r="X838" s="1379"/>
      <c r="Y838" s="288" t="s">
        <v>4677</v>
      </c>
      <c r="Z838" s="612">
        <v>45240</v>
      </c>
      <c r="AA838" s="252"/>
      <c r="AB838" s="288" t="s">
        <v>4684</v>
      </c>
      <c r="AC838" s="1379" t="s">
        <v>946</v>
      </c>
      <c r="AD838" s="281" t="s">
        <v>467</v>
      </c>
      <c r="AE838" s="494">
        <v>45237</v>
      </c>
      <c r="AF838" s="494">
        <v>45602</v>
      </c>
      <c r="AG838" s="282"/>
      <c r="AH838" s="283"/>
      <c r="AI838" s="254" t="s">
        <v>4208</v>
      </c>
      <c r="AJ838" s="303" t="s">
        <v>136</v>
      </c>
      <c r="AK838" s="241">
        <v>4</v>
      </c>
      <c r="AL838" s="123" t="s">
        <v>477</v>
      </c>
      <c r="AM838" s="123" t="s">
        <v>460</v>
      </c>
      <c r="AN838" s="151"/>
      <c r="AO838" s="151"/>
      <c r="AP838" s="115"/>
      <c r="AQ838" s="115"/>
      <c r="AR838" s="115"/>
      <c r="AS838" s="115"/>
      <c r="AT838" s="115"/>
    </row>
    <row r="839" spans="1:46" ht="39" customHeight="1" x14ac:dyDescent="0.25">
      <c r="A839" s="1468">
        <v>838</v>
      </c>
      <c r="B839" s="141">
        <v>1</v>
      </c>
      <c r="C839" s="378" t="s">
        <v>323</v>
      </c>
      <c r="D839" s="303"/>
      <c r="E839" s="241"/>
      <c r="F839" s="241"/>
      <c r="G839" s="261" t="s">
        <v>324</v>
      </c>
      <c r="H839" s="262" t="s">
        <v>87</v>
      </c>
      <c r="I839" s="357"/>
      <c r="J839" s="245" t="s">
        <v>561</v>
      </c>
      <c r="K839" s="288" t="s">
        <v>313</v>
      </c>
      <c r="L839" s="288" t="s">
        <v>4813</v>
      </c>
      <c r="M839" s="288" t="s">
        <v>4813</v>
      </c>
      <c r="N839" s="366"/>
      <c r="O839" s="288" t="s">
        <v>4829</v>
      </c>
      <c r="P839" s="402"/>
      <c r="Q839" s="301" t="s">
        <v>87</v>
      </c>
      <c r="R839" s="381" t="s">
        <v>4828</v>
      </c>
      <c r="S839" s="279">
        <v>38652</v>
      </c>
      <c r="T839" s="197"/>
      <c r="U839" s="251" t="s">
        <v>54</v>
      </c>
      <c r="V839" s="197" t="s">
        <v>4813</v>
      </c>
      <c r="W839" s="197" t="s">
        <v>295</v>
      </c>
      <c r="X839" s="197"/>
      <c r="Y839" s="197" t="s">
        <v>4842</v>
      </c>
      <c r="Z839" s="246">
        <v>45245</v>
      </c>
      <c r="AA839" s="246"/>
      <c r="AB839" s="288" t="s">
        <v>4839</v>
      </c>
      <c r="AC839" s="223" t="s">
        <v>946</v>
      </c>
      <c r="AD839" s="299" t="s">
        <v>467</v>
      </c>
      <c r="AE839" s="494"/>
      <c r="AF839" s="494"/>
      <c r="AG839" s="241"/>
      <c r="AH839" s="283"/>
      <c r="AI839" s="254" t="s">
        <v>4208</v>
      </c>
      <c r="AJ839" s="303" t="s">
        <v>136</v>
      </c>
      <c r="AK839" s="241">
        <v>4</v>
      </c>
      <c r="AL839" s="123" t="s">
        <v>477</v>
      </c>
      <c r="AM839" s="123" t="s">
        <v>460</v>
      </c>
      <c r="AN839" s="151"/>
      <c r="AO839" s="151"/>
      <c r="AP839" s="115"/>
      <c r="AQ839" s="115"/>
      <c r="AR839" s="115"/>
      <c r="AS839" s="115"/>
      <c r="AT839" s="115"/>
    </row>
    <row r="840" spans="1:46" ht="39" customHeight="1" x14ac:dyDescent="0.25">
      <c r="A840" s="1468">
        <v>839</v>
      </c>
      <c r="B840" s="117">
        <v>1</v>
      </c>
      <c r="C840" s="260" t="s">
        <v>325</v>
      </c>
      <c r="D840" s="241"/>
      <c r="E840" s="241"/>
      <c r="F840" s="241"/>
      <c r="G840" s="261" t="s">
        <v>324</v>
      </c>
      <c r="H840" s="262" t="s">
        <v>87</v>
      </c>
      <c r="I840" s="357"/>
      <c r="J840" s="245" t="s">
        <v>561</v>
      </c>
      <c r="K840" s="288" t="s">
        <v>4571</v>
      </c>
      <c r="L840" s="277" t="s">
        <v>4641</v>
      </c>
      <c r="M840" s="277" t="s">
        <v>4641</v>
      </c>
      <c r="N840" s="640"/>
      <c r="O840" s="1379" t="s">
        <v>4712</v>
      </c>
      <c r="P840" s="640"/>
      <c r="Q840" s="301" t="s">
        <v>87</v>
      </c>
      <c r="R840" s="381" t="s">
        <v>4670</v>
      </c>
      <c r="S840" s="279">
        <v>38255</v>
      </c>
      <c r="T840" s="640"/>
      <c r="U840" s="251" t="s">
        <v>54</v>
      </c>
      <c r="V840" s="216" t="s">
        <v>4641</v>
      </c>
      <c r="W840" s="1379" t="s">
        <v>295</v>
      </c>
      <c r="X840" s="1379"/>
      <c r="Y840" s="288" t="s">
        <v>4677</v>
      </c>
      <c r="Z840" s="612">
        <v>45240</v>
      </c>
      <c r="AA840" s="640"/>
      <c r="AB840" s="288" t="s">
        <v>4713</v>
      </c>
      <c r="AC840" s="1379" t="s">
        <v>946</v>
      </c>
      <c r="AD840" s="281" t="s">
        <v>467</v>
      </c>
      <c r="AE840" s="494">
        <v>45235</v>
      </c>
      <c r="AF840" s="494">
        <v>45600</v>
      </c>
      <c r="AG840" s="640"/>
      <c r="AH840" s="640"/>
      <c r="AI840" s="254" t="s">
        <v>4208</v>
      </c>
      <c r="AJ840" s="303" t="s">
        <v>136</v>
      </c>
      <c r="AK840" s="241">
        <v>4</v>
      </c>
      <c r="AL840" s="123" t="s">
        <v>477</v>
      </c>
      <c r="AM840" s="123" t="s">
        <v>460</v>
      </c>
      <c r="AN840" s="151"/>
      <c r="AO840" s="151"/>
      <c r="AP840" s="115"/>
      <c r="AQ840" s="115"/>
      <c r="AR840" s="115"/>
      <c r="AS840" s="115"/>
      <c r="AT840" s="115"/>
    </row>
    <row r="841" spans="1:46" ht="39" customHeight="1" x14ac:dyDescent="0.25">
      <c r="A841" s="1468">
        <v>840</v>
      </c>
      <c r="B841" s="117"/>
      <c r="C841" s="324"/>
      <c r="D841" s="664"/>
      <c r="E841" s="664"/>
      <c r="F841" s="664"/>
      <c r="G841" s="227"/>
      <c r="H841" s="228"/>
      <c r="I841" s="228"/>
      <c r="J841" s="229"/>
      <c r="K841" s="227"/>
      <c r="L841" s="229"/>
      <c r="M841" s="229"/>
      <c r="N841" s="229"/>
      <c r="O841" s="216"/>
      <c r="P841" s="230" t="s">
        <v>326</v>
      </c>
      <c r="Q841" s="373"/>
      <c r="R841" s="982"/>
      <c r="S841" s="279"/>
      <c r="T841" s="232"/>
      <c r="U841" s="250"/>
      <c r="V841" s="232"/>
      <c r="W841" s="232"/>
      <c r="X841" s="232"/>
      <c r="Y841" s="232"/>
      <c r="Z841" s="233"/>
      <c r="AA841" s="234"/>
      <c r="AB841" s="235"/>
      <c r="AC841" s="236"/>
      <c r="AD841" s="235"/>
      <c r="AE841" s="494"/>
      <c r="AF841" s="494"/>
      <c r="AG841" s="664"/>
      <c r="AH841" s="238"/>
      <c r="AI841" s="239"/>
      <c r="AJ841" s="303"/>
      <c r="AK841" s="241"/>
      <c r="AL841" s="122"/>
      <c r="AM841" s="122"/>
      <c r="AN841" s="163"/>
      <c r="AO841" s="114"/>
      <c r="AP841" s="115"/>
      <c r="AQ841" s="115"/>
      <c r="AR841" s="115"/>
      <c r="AS841" s="115"/>
      <c r="AT841" s="116"/>
    </row>
    <row r="842" spans="1:46" ht="39" customHeight="1" x14ac:dyDescent="0.25">
      <c r="A842" s="1468">
        <v>841</v>
      </c>
      <c r="B842" s="128">
        <v>5</v>
      </c>
      <c r="C842" s="290" t="s">
        <v>288</v>
      </c>
      <c r="D842" s="344"/>
      <c r="E842" s="344" t="s">
        <v>47</v>
      </c>
      <c r="F842" s="344"/>
      <c r="G842" s="292" t="s">
        <v>289</v>
      </c>
      <c r="H842" s="346" t="s">
        <v>132</v>
      </c>
      <c r="I842" s="344">
        <v>144</v>
      </c>
      <c r="J842" s="256">
        <v>403</v>
      </c>
      <c r="K842" s="756" t="s">
        <v>50</v>
      </c>
      <c r="L842" s="397" t="s">
        <v>3678</v>
      </c>
      <c r="M842" s="397" t="s">
        <v>3678</v>
      </c>
      <c r="N842" s="441" t="s">
        <v>4217</v>
      </c>
      <c r="O842" s="1392" t="s">
        <v>3858</v>
      </c>
      <c r="P842" s="484"/>
      <c r="Q842" s="397" t="s">
        <v>87</v>
      </c>
      <c r="R842" s="1309" t="s">
        <v>3857</v>
      </c>
      <c r="S842" s="279">
        <v>36259</v>
      </c>
      <c r="T842" s="715" t="s">
        <v>66</v>
      </c>
      <c r="U842" s="250"/>
      <c r="V842" s="276"/>
      <c r="W842" s="443" t="s">
        <v>3584</v>
      </c>
      <c r="X842" s="280"/>
      <c r="Y842" s="276"/>
      <c r="Z842" s="486"/>
      <c r="AA842" s="715"/>
      <c r="AB842" s="756" t="s">
        <v>4285</v>
      </c>
      <c r="AC842" s="488" t="s">
        <v>4219</v>
      </c>
      <c r="AD842" s="412" t="s">
        <v>467</v>
      </c>
      <c r="AE842" s="494">
        <v>45064</v>
      </c>
      <c r="AF842" s="494">
        <v>45429</v>
      </c>
      <c r="AG842" s="715"/>
      <c r="AH842" s="715"/>
      <c r="AI842" s="721" t="s">
        <v>1351</v>
      </c>
      <c r="AJ842" s="507" t="s">
        <v>136</v>
      </c>
      <c r="AK842" s="348">
        <v>3</v>
      </c>
      <c r="AL842" s="123" t="s">
        <v>477</v>
      </c>
      <c r="AM842" s="123" t="s">
        <v>460</v>
      </c>
      <c r="AN842" s="138"/>
      <c r="AO842" s="138"/>
      <c r="AP842" s="115"/>
      <c r="AQ842" s="115"/>
      <c r="AR842" s="115"/>
      <c r="AS842" s="115"/>
      <c r="AT842" s="115"/>
    </row>
    <row r="843" spans="1:46" ht="39" customHeight="1" x14ac:dyDescent="0.25">
      <c r="A843" s="1468">
        <v>842</v>
      </c>
      <c r="B843" s="141">
        <v>3</v>
      </c>
      <c r="C843" s="356" t="s">
        <v>290</v>
      </c>
      <c r="D843" s="241" t="s">
        <v>134</v>
      </c>
      <c r="E843" s="241"/>
      <c r="F843" s="241"/>
      <c r="G843" s="261" t="s">
        <v>291</v>
      </c>
      <c r="H843" s="262" t="s">
        <v>85</v>
      </c>
      <c r="I843" s="364"/>
      <c r="J843" s="245" t="s">
        <v>556</v>
      </c>
      <c r="K843" s="288" t="s">
        <v>158</v>
      </c>
      <c r="L843" s="288" t="s">
        <v>3678</v>
      </c>
      <c r="M843" s="288" t="s">
        <v>3678</v>
      </c>
      <c r="N843" s="281" t="s">
        <v>4217</v>
      </c>
      <c r="O843" s="392" t="s">
        <v>3795</v>
      </c>
      <c r="P843" s="300"/>
      <c r="Q843" s="594" t="s">
        <v>87</v>
      </c>
      <c r="R843" s="1188" t="s">
        <v>3794</v>
      </c>
      <c r="S843" s="279">
        <v>38237</v>
      </c>
      <c r="T843" s="289"/>
      <c r="U843" s="251" t="s">
        <v>54</v>
      </c>
      <c r="V843" s="245" t="s">
        <v>3904</v>
      </c>
      <c r="W843" s="250" t="s">
        <v>295</v>
      </c>
      <c r="X843" s="197" t="s">
        <v>475</v>
      </c>
      <c r="Y843" s="245" t="s">
        <v>3975</v>
      </c>
      <c r="Z843" s="246">
        <v>45224</v>
      </c>
      <c r="AA843" s="246"/>
      <c r="AB843" s="288" t="s">
        <v>4302</v>
      </c>
      <c r="AC843" s="223" t="s">
        <v>946</v>
      </c>
      <c r="AD843" s="299" t="s">
        <v>467</v>
      </c>
      <c r="AE843" s="494">
        <v>45104</v>
      </c>
      <c r="AF843" s="494">
        <v>45469</v>
      </c>
      <c r="AG843" s="392"/>
      <c r="AH843" s="283"/>
      <c r="AI843" s="296" t="s">
        <v>1351</v>
      </c>
      <c r="AJ843" s="303" t="s">
        <v>136</v>
      </c>
      <c r="AK843" s="241">
        <v>4</v>
      </c>
      <c r="AL843" s="123" t="s">
        <v>477</v>
      </c>
      <c r="AM843" s="123" t="s">
        <v>460</v>
      </c>
      <c r="AN843" s="110" t="s">
        <v>4184</v>
      </c>
      <c r="AO843" s="151"/>
      <c r="AP843" s="115"/>
      <c r="AQ843" s="115"/>
      <c r="AR843" s="115"/>
      <c r="AS843" s="115"/>
      <c r="AT843" s="115"/>
    </row>
    <row r="844" spans="1:46" ht="39" customHeight="1" x14ac:dyDescent="0.25">
      <c r="A844" s="1468">
        <v>843</v>
      </c>
      <c r="B844" s="141">
        <v>3</v>
      </c>
      <c r="C844" s="358" t="s">
        <v>297</v>
      </c>
      <c r="D844" s="241" t="s">
        <v>134</v>
      </c>
      <c r="E844" s="241"/>
      <c r="F844" s="241"/>
      <c r="G844" s="261" t="s">
        <v>298</v>
      </c>
      <c r="H844" s="262" t="s">
        <v>85</v>
      </c>
      <c r="I844" s="364"/>
      <c r="J844" s="245" t="s">
        <v>556</v>
      </c>
      <c r="K844" s="288" t="s">
        <v>158</v>
      </c>
      <c r="L844" s="288" t="s">
        <v>3678</v>
      </c>
      <c r="M844" s="288" t="s">
        <v>3678</v>
      </c>
      <c r="N844" s="281" t="s">
        <v>4217</v>
      </c>
      <c r="O844" s="392" t="s">
        <v>3797</v>
      </c>
      <c r="P844" s="300"/>
      <c r="Q844" s="594" t="s">
        <v>87</v>
      </c>
      <c r="R844" s="1188" t="s">
        <v>3796</v>
      </c>
      <c r="S844" s="279">
        <v>37561</v>
      </c>
      <c r="T844" s="289"/>
      <c r="U844" s="251" t="s">
        <v>54</v>
      </c>
      <c r="V844" s="245" t="s">
        <v>3904</v>
      </c>
      <c r="W844" s="250" t="s">
        <v>295</v>
      </c>
      <c r="X844" s="197" t="s">
        <v>475</v>
      </c>
      <c r="Y844" s="245" t="s">
        <v>3975</v>
      </c>
      <c r="Z844" s="246">
        <v>45224</v>
      </c>
      <c r="AA844" s="246"/>
      <c r="AB844" s="1236" t="s">
        <v>4275</v>
      </c>
      <c r="AC844" s="223" t="s">
        <v>946</v>
      </c>
      <c r="AD844" s="299" t="s">
        <v>467</v>
      </c>
      <c r="AE844" s="494">
        <v>45104</v>
      </c>
      <c r="AF844" s="494">
        <v>45469</v>
      </c>
      <c r="AG844" s="392"/>
      <c r="AH844" s="283"/>
      <c r="AI844" s="296" t="s">
        <v>1351</v>
      </c>
      <c r="AJ844" s="303" t="s">
        <v>136</v>
      </c>
      <c r="AK844" s="241">
        <v>4</v>
      </c>
      <c r="AL844" s="123" t="s">
        <v>477</v>
      </c>
      <c r="AM844" s="123" t="s">
        <v>460</v>
      </c>
      <c r="AN844" s="110"/>
      <c r="AO844" s="151"/>
      <c r="AP844" s="115"/>
      <c r="AQ844" s="115"/>
      <c r="AR844" s="115"/>
      <c r="AS844" s="115"/>
      <c r="AT844" s="116"/>
    </row>
    <row r="845" spans="1:46" ht="39" customHeight="1" x14ac:dyDescent="0.25">
      <c r="A845" s="1468">
        <v>844</v>
      </c>
      <c r="B845" s="141">
        <v>2</v>
      </c>
      <c r="C845" s="260" t="s">
        <v>311</v>
      </c>
      <c r="D845" s="241"/>
      <c r="E845" s="241"/>
      <c r="F845" s="241"/>
      <c r="G845" s="261" t="s">
        <v>312</v>
      </c>
      <c r="H845" s="262" t="s">
        <v>85</v>
      </c>
      <c r="I845" s="364"/>
      <c r="J845" s="245" t="s">
        <v>556</v>
      </c>
      <c r="K845" s="288"/>
      <c r="L845" s="288" t="s">
        <v>5144</v>
      </c>
      <c r="M845" s="288" t="s">
        <v>5144</v>
      </c>
      <c r="N845" s="281"/>
      <c r="O845" s="1392" t="s">
        <v>5233</v>
      </c>
      <c r="P845" s="294"/>
      <c r="Q845" s="380" t="s">
        <v>87</v>
      </c>
      <c r="R845" s="1003" t="s">
        <v>5187</v>
      </c>
      <c r="S845" s="279">
        <v>37747</v>
      </c>
      <c r="T845" s="305"/>
      <c r="U845" s="251" t="s">
        <v>54</v>
      </c>
      <c r="V845" s="245" t="s">
        <v>5171</v>
      </c>
      <c r="W845" s="250" t="s">
        <v>295</v>
      </c>
      <c r="X845" s="197"/>
      <c r="Y845" s="981" t="s">
        <v>5829</v>
      </c>
      <c r="Z845" s="246">
        <v>45260</v>
      </c>
      <c r="AA845" s="252"/>
      <c r="AB845" s="288" t="s">
        <v>5279</v>
      </c>
      <c r="AC845" s="223" t="s">
        <v>946</v>
      </c>
      <c r="AD845" s="245" t="s">
        <v>467</v>
      </c>
      <c r="AE845" s="494">
        <v>45256</v>
      </c>
      <c r="AF845" s="494">
        <v>45621</v>
      </c>
      <c r="AG845" s="241"/>
      <c r="AH845" s="283"/>
      <c r="AI845" s="296" t="s">
        <v>4208</v>
      </c>
      <c r="AJ845" s="303" t="s">
        <v>136</v>
      </c>
      <c r="AK845" s="241">
        <v>4</v>
      </c>
      <c r="AL845" s="123" t="s">
        <v>477</v>
      </c>
      <c r="AM845" s="123" t="s">
        <v>460</v>
      </c>
      <c r="AN845" s="110"/>
      <c r="AO845" s="151"/>
      <c r="AP845" s="115"/>
      <c r="AQ845" s="115"/>
      <c r="AR845" s="115"/>
      <c r="AS845" s="115"/>
      <c r="AT845" s="115"/>
    </row>
    <row r="846" spans="1:46" ht="39" customHeight="1" x14ac:dyDescent="0.25">
      <c r="A846" s="1468">
        <v>845</v>
      </c>
      <c r="B846" s="141">
        <v>2</v>
      </c>
      <c r="C846" s="260" t="s">
        <v>317</v>
      </c>
      <c r="D846" s="241"/>
      <c r="E846" s="241"/>
      <c r="F846" s="241"/>
      <c r="G846" s="261" t="s">
        <v>318</v>
      </c>
      <c r="H846" s="262" t="s">
        <v>87</v>
      </c>
      <c r="I846" s="364"/>
      <c r="J846" s="245" t="s">
        <v>561</v>
      </c>
      <c r="K846" s="216"/>
      <c r="L846" s="281" t="s">
        <v>1676</v>
      </c>
      <c r="M846" s="281" t="s">
        <v>1508</v>
      </c>
      <c r="N846" s="366"/>
      <c r="O846" s="392" t="s">
        <v>3116</v>
      </c>
      <c r="P846" s="402"/>
      <c r="Q846" s="301" t="s">
        <v>87</v>
      </c>
      <c r="R846" s="682" t="s">
        <v>1795</v>
      </c>
      <c r="S846" s="279" t="s">
        <v>4768</v>
      </c>
      <c r="T846" s="197"/>
      <c r="U846" s="251" t="s">
        <v>54</v>
      </c>
      <c r="V846" s="245"/>
      <c r="W846" s="250" t="s">
        <v>295</v>
      </c>
      <c r="X846" s="197"/>
      <c r="Y846" s="245"/>
      <c r="Z846" s="246"/>
      <c r="AA846" s="246"/>
      <c r="AB846" s="296" t="s">
        <v>4421</v>
      </c>
      <c r="AC846" s="223" t="s">
        <v>946</v>
      </c>
      <c r="AD846" s="376"/>
      <c r="AE846" s="494" t="s">
        <v>4345</v>
      </c>
      <c r="AF846" s="494">
        <v>45478</v>
      </c>
      <c r="AG846" s="241"/>
      <c r="AH846" s="283"/>
      <c r="AI846" s="254" t="s">
        <v>1351</v>
      </c>
      <c r="AJ846" s="303" t="s">
        <v>136</v>
      </c>
      <c r="AK846" s="241">
        <v>4</v>
      </c>
      <c r="AL846" s="123" t="s">
        <v>477</v>
      </c>
      <c r="AM846" s="123" t="s">
        <v>460</v>
      </c>
      <c r="AN846" s="110"/>
      <c r="AO846" s="151"/>
      <c r="AP846" s="115"/>
      <c r="AQ846" s="115"/>
      <c r="AR846" s="115"/>
      <c r="AS846" s="115"/>
      <c r="AT846" s="115"/>
    </row>
    <row r="847" spans="1:46" ht="39" customHeight="1" x14ac:dyDescent="0.25">
      <c r="A847" s="1468">
        <v>846</v>
      </c>
      <c r="B847" s="146">
        <v>2</v>
      </c>
      <c r="C847" s="260" t="s">
        <v>319</v>
      </c>
      <c r="D847" s="241"/>
      <c r="E847" s="241"/>
      <c r="F847" s="241"/>
      <c r="G847" s="261" t="s">
        <v>320</v>
      </c>
      <c r="H847" s="262" t="s">
        <v>87</v>
      </c>
      <c r="I847" s="357"/>
      <c r="J847" s="245" t="s">
        <v>561</v>
      </c>
      <c r="K847" s="595"/>
      <c r="L847" s="281" t="s">
        <v>1676</v>
      </c>
      <c r="M847" s="281" t="s">
        <v>1508</v>
      </c>
      <c r="N847" s="366"/>
      <c r="O847" s="392"/>
      <c r="P847" s="402"/>
      <c r="Q847" s="380" t="s">
        <v>87</v>
      </c>
      <c r="R847" s="682" t="s">
        <v>1806</v>
      </c>
      <c r="S847" s="279" t="s">
        <v>4769</v>
      </c>
      <c r="T847" s="197"/>
      <c r="U847" s="251" t="s">
        <v>54</v>
      </c>
      <c r="V847" s="245"/>
      <c r="W847" s="250" t="s">
        <v>295</v>
      </c>
      <c r="X847" s="197"/>
      <c r="Y847" s="245"/>
      <c r="Z847" s="246"/>
      <c r="AA847" s="246"/>
      <c r="AB847" s="296" t="s">
        <v>4382</v>
      </c>
      <c r="AC847" s="223" t="s">
        <v>946</v>
      </c>
      <c r="AD847" s="376"/>
      <c r="AE847" s="494" t="s">
        <v>4345</v>
      </c>
      <c r="AF847" s="494">
        <v>45478</v>
      </c>
      <c r="AG847" s="241"/>
      <c r="AH847" s="283"/>
      <c r="AI847" s="254" t="s">
        <v>1351</v>
      </c>
      <c r="AJ847" s="303" t="s">
        <v>136</v>
      </c>
      <c r="AK847" s="241">
        <v>4</v>
      </c>
      <c r="AL847" s="123" t="s">
        <v>477</v>
      </c>
      <c r="AM847" s="123" t="s">
        <v>460</v>
      </c>
      <c r="AN847" s="110"/>
      <c r="AO847" s="151"/>
      <c r="AP847" s="115"/>
      <c r="AQ847" s="115"/>
      <c r="AR847" s="115"/>
      <c r="AS847" s="115"/>
      <c r="AT847" s="116"/>
    </row>
    <row r="848" spans="1:46" ht="39" customHeight="1" x14ac:dyDescent="0.25">
      <c r="A848" s="1468">
        <v>847</v>
      </c>
      <c r="B848" s="141">
        <v>2</v>
      </c>
      <c r="C848" s="378" t="s">
        <v>321</v>
      </c>
      <c r="D848" s="303"/>
      <c r="E848" s="241"/>
      <c r="F848" s="241"/>
      <c r="G848" s="261" t="s">
        <v>322</v>
      </c>
      <c r="H848" s="262" t="s">
        <v>87</v>
      </c>
      <c r="I848" s="357"/>
      <c r="J848" s="245" t="s">
        <v>561</v>
      </c>
      <c r="K848" s="756"/>
      <c r="L848" s="288" t="s">
        <v>5144</v>
      </c>
      <c r="M848" s="288" t="s">
        <v>5144</v>
      </c>
      <c r="N848" s="441"/>
      <c r="O848" s="1392" t="s">
        <v>5234</v>
      </c>
      <c r="P848" s="484"/>
      <c r="Q848" s="380" t="s">
        <v>87</v>
      </c>
      <c r="R848" s="1003" t="s">
        <v>5188</v>
      </c>
      <c r="S848" s="279">
        <v>38580</v>
      </c>
      <c r="T848" s="715"/>
      <c r="U848" s="251" t="s">
        <v>54</v>
      </c>
      <c r="V848" s="245" t="s">
        <v>5171</v>
      </c>
      <c r="W848" s="250" t="s">
        <v>295</v>
      </c>
      <c r="X848" s="197"/>
      <c r="Y848" s="981" t="s">
        <v>5829</v>
      </c>
      <c r="Z848" s="246">
        <v>45260</v>
      </c>
      <c r="AA848" s="715"/>
      <c r="AB848" s="288" t="s">
        <v>5275</v>
      </c>
      <c r="AC848" s="223" t="s">
        <v>946</v>
      </c>
      <c r="AD848" s="245" t="s">
        <v>467</v>
      </c>
      <c r="AE848" s="494">
        <v>45257</v>
      </c>
      <c r="AF848" s="494">
        <v>45622</v>
      </c>
      <c r="AG848" s="715"/>
      <c r="AH848" s="715"/>
      <c r="AI848" s="296" t="s">
        <v>4208</v>
      </c>
      <c r="AJ848" s="303" t="s">
        <v>136</v>
      </c>
      <c r="AK848" s="241">
        <v>4</v>
      </c>
      <c r="AL848" s="123" t="s">
        <v>477</v>
      </c>
      <c r="AM848" s="123" t="s">
        <v>460</v>
      </c>
      <c r="AN848" s="151"/>
      <c r="AO848" s="151"/>
      <c r="AP848" s="115"/>
      <c r="AQ848" s="115"/>
      <c r="AR848" s="115"/>
      <c r="AS848" s="115"/>
      <c r="AT848" s="115"/>
    </row>
    <row r="849" spans="1:46" ht="39" customHeight="1" x14ac:dyDescent="0.25">
      <c r="A849" s="1468">
        <v>848</v>
      </c>
      <c r="B849" s="141">
        <v>1</v>
      </c>
      <c r="C849" s="378" t="s">
        <v>323</v>
      </c>
      <c r="D849" s="303"/>
      <c r="E849" s="241"/>
      <c r="F849" s="241"/>
      <c r="G849" s="261" t="s">
        <v>324</v>
      </c>
      <c r="H849" s="262" t="s">
        <v>87</v>
      </c>
      <c r="I849" s="357"/>
      <c r="J849" s="245" t="s">
        <v>561</v>
      </c>
      <c r="K849" s="216"/>
      <c r="L849" s="301" t="s">
        <v>1678</v>
      </c>
      <c r="M849" s="281" t="s">
        <v>2783</v>
      </c>
      <c r="N849" s="366"/>
      <c r="O849" s="392" t="s">
        <v>3109</v>
      </c>
      <c r="P849" s="247"/>
      <c r="Q849" s="301" t="s">
        <v>87</v>
      </c>
      <c r="R849" s="381" t="s">
        <v>1361</v>
      </c>
      <c r="S849" s="279">
        <v>37775</v>
      </c>
      <c r="T849" s="289"/>
      <c r="U849" s="251" t="s">
        <v>54</v>
      </c>
      <c r="V849" s="306" t="s">
        <v>3578</v>
      </c>
      <c r="W849" s="250" t="s">
        <v>295</v>
      </c>
      <c r="X849" s="197" t="s">
        <v>475</v>
      </c>
      <c r="Y849" s="979" t="s">
        <v>3580</v>
      </c>
      <c r="Z849" s="289">
        <v>45216</v>
      </c>
      <c r="AA849" s="388"/>
      <c r="AB849" s="250" t="s">
        <v>4422</v>
      </c>
      <c r="AC849" s="223" t="s">
        <v>946</v>
      </c>
      <c r="AD849" s="301"/>
      <c r="AE849" s="494">
        <v>45068</v>
      </c>
      <c r="AF849" s="494">
        <v>45433</v>
      </c>
      <c r="AG849" s="301"/>
      <c r="AH849" s="301"/>
      <c r="AI849" s="254" t="s">
        <v>1351</v>
      </c>
      <c r="AJ849" s="303" t="s">
        <v>136</v>
      </c>
      <c r="AK849" s="241">
        <v>4</v>
      </c>
      <c r="AL849" s="123" t="s">
        <v>477</v>
      </c>
      <c r="AM849" s="123" t="s">
        <v>460</v>
      </c>
      <c r="AN849" s="167"/>
      <c r="AO849" s="151"/>
      <c r="AP849" s="115"/>
      <c r="AQ849" s="115"/>
      <c r="AR849" s="115"/>
      <c r="AS849" s="115"/>
      <c r="AT849" s="115"/>
    </row>
    <row r="850" spans="1:46" ht="39" customHeight="1" x14ac:dyDescent="0.25">
      <c r="A850" s="1468">
        <v>849</v>
      </c>
      <c r="B850" s="117">
        <v>1</v>
      </c>
      <c r="C850" s="260" t="s">
        <v>325</v>
      </c>
      <c r="D850" s="241"/>
      <c r="E850" s="241"/>
      <c r="F850" s="241"/>
      <c r="G850" s="261" t="s">
        <v>324</v>
      </c>
      <c r="H850" s="262" t="s">
        <v>87</v>
      </c>
      <c r="I850" s="357"/>
      <c r="J850" s="245" t="s">
        <v>561</v>
      </c>
      <c r="K850" s="257"/>
      <c r="L850" s="299" t="s">
        <v>1508</v>
      </c>
      <c r="M850" s="299" t="s">
        <v>1708</v>
      </c>
      <c r="N850" s="245"/>
      <c r="O850" s="392" t="s">
        <v>2880</v>
      </c>
      <c r="P850" s="627"/>
      <c r="Q850" s="594" t="s">
        <v>293</v>
      </c>
      <c r="R850" s="381" t="s">
        <v>1597</v>
      </c>
      <c r="S850" s="279">
        <v>37897</v>
      </c>
      <c r="T850" s="289"/>
      <c r="U850" s="251" t="s">
        <v>54</v>
      </c>
      <c r="V850" s="197"/>
      <c r="W850" s="197" t="s">
        <v>295</v>
      </c>
      <c r="X850" s="197"/>
      <c r="Y850" s="197"/>
      <c r="Z850" s="246"/>
      <c r="AA850" s="281"/>
      <c r="AB850" s="288" t="s">
        <v>4423</v>
      </c>
      <c r="AC850" s="223" t="s">
        <v>946</v>
      </c>
      <c r="AD850" s="245"/>
      <c r="AE850" s="494">
        <v>45114</v>
      </c>
      <c r="AF850" s="494">
        <v>45479</v>
      </c>
      <c r="AG850" s="241"/>
      <c r="AH850" s="253"/>
      <c r="AI850" s="284" t="s">
        <v>1351</v>
      </c>
      <c r="AJ850" s="303" t="s">
        <v>136</v>
      </c>
      <c r="AK850" s="241">
        <v>4</v>
      </c>
      <c r="AL850" s="123" t="s">
        <v>477</v>
      </c>
      <c r="AM850" s="123" t="s">
        <v>460</v>
      </c>
      <c r="AN850" s="151"/>
      <c r="AO850" s="151"/>
      <c r="AP850" s="115"/>
      <c r="AQ850" s="115"/>
      <c r="AR850" s="115"/>
      <c r="AS850" s="115"/>
      <c r="AT850" s="115"/>
    </row>
    <row r="851" spans="1:46" ht="39" customHeight="1" x14ac:dyDescent="0.25">
      <c r="A851" s="1468">
        <v>850</v>
      </c>
      <c r="B851" s="117"/>
      <c r="C851" s="324"/>
      <c r="D851" s="664"/>
      <c r="E851" s="664"/>
      <c r="F851" s="664"/>
      <c r="G851" s="227"/>
      <c r="H851" s="228"/>
      <c r="I851" s="228"/>
      <c r="J851" s="229"/>
      <c r="K851" s="227"/>
      <c r="L851" s="229"/>
      <c r="M851" s="229"/>
      <c r="N851" s="229"/>
      <c r="O851" s="216"/>
      <c r="P851" s="230" t="s">
        <v>327</v>
      </c>
      <c r="Q851" s="373"/>
      <c r="R851" s="982"/>
      <c r="S851" s="279"/>
      <c r="T851" s="232"/>
      <c r="U851" s="250"/>
      <c r="V851" s="232"/>
      <c r="W851" s="232"/>
      <c r="X851" s="232"/>
      <c r="Y851" s="232"/>
      <c r="Z851" s="233"/>
      <c r="AA851" s="234"/>
      <c r="AB851" s="235"/>
      <c r="AC851" s="236"/>
      <c r="AD851" s="235"/>
      <c r="AE851" s="494"/>
      <c r="AF851" s="494"/>
      <c r="AG851" s="664"/>
      <c r="AH851" s="238"/>
      <c r="AI851" s="239"/>
      <c r="AJ851" s="303"/>
      <c r="AK851" s="241"/>
      <c r="AL851" s="122"/>
      <c r="AM851" s="122"/>
      <c r="AN851" s="163"/>
      <c r="AO851" s="114"/>
      <c r="AP851" s="115"/>
      <c r="AQ851" s="115"/>
      <c r="AR851" s="115"/>
      <c r="AS851" s="115"/>
      <c r="AT851" s="116"/>
    </row>
    <row r="852" spans="1:46" ht="39" customHeight="1" x14ac:dyDescent="0.25">
      <c r="A852" s="1468">
        <v>851</v>
      </c>
      <c r="B852" s="128">
        <v>5</v>
      </c>
      <c r="C852" s="290" t="s">
        <v>288</v>
      </c>
      <c r="D852" s="282"/>
      <c r="E852" s="344" t="s">
        <v>47</v>
      </c>
      <c r="F852" s="344"/>
      <c r="G852" s="292" t="s">
        <v>289</v>
      </c>
      <c r="H852" s="346" t="s">
        <v>132</v>
      </c>
      <c r="I852" s="344">
        <v>144</v>
      </c>
      <c r="J852" s="256">
        <v>403</v>
      </c>
      <c r="K852" s="288" t="s">
        <v>158</v>
      </c>
      <c r="L852" s="301" t="s">
        <v>3678</v>
      </c>
      <c r="M852" s="301" t="s">
        <v>3678</v>
      </c>
      <c r="N852" s="281" t="s">
        <v>4217</v>
      </c>
      <c r="O852" s="385" t="s">
        <v>3870</v>
      </c>
      <c r="P852" s="374"/>
      <c r="Q852" s="594" t="s">
        <v>87</v>
      </c>
      <c r="R852" s="1198" t="s">
        <v>3869</v>
      </c>
      <c r="S852" s="279">
        <v>38237</v>
      </c>
      <c r="T852" s="197"/>
      <c r="U852" s="251" t="s">
        <v>54</v>
      </c>
      <c r="V852" s="245" t="s">
        <v>3904</v>
      </c>
      <c r="W852" s="250" t="s">
        <v>295</v>
      </c>
      <c r="X852" s="197" t="s">
        <v>475</v>
      </c>
      <c r="Y852" s="245" t="s">
        <v>3975</v>
      </c>
      <c r="Z852" s="246">
        <v>45224</v>
      </c>
      <c r="AA852" s="388"/>
      <c r="AB852" s="288" t="s">
        <v>4263</v>
      </c>
      <c r="AC852" s="223" t="s">
        <v>946</v>
      </c>
      <c r="AD852" s="299" t="s">
        <v>467</v>
      </c>
      <c r="AE852" s="494">
        <v>45106</v>
      </c>
      <c r="AF852" s="494">
        <v>45471</v>
      </c>
      <c r="AG852" s="1392"/>
      <c r="AH852" s="283"/>
      <c r="AI852" s="296" t="s">
        <v>1351</v>
      </c>
      <c r="AJ852" s="303" t="s">
        <v>136</v>
      </c>
      <c r="AK852" s="348">
        <v>3</v>
      </c>
      <c r="AL852" s="123" t="s">
        <v>477</v>
      </c>
      <c r="AM852" s="123" t="s">
        <v>460</v>
      </c>
      <c r="AN852" s="138"/>
      <c r="AO852" s="138"/>
      <c r="AP852" s="115"/>
      <c r="AQ852" s="115"/>
      <c r="AR852" s="115"/>
      <c r="AS852" s="115"/>
      <c r="AT852" s="115"/>
    </row>
    <row r="853" spans="1:46" ht="39" customHeight="1" x14ac:dyDescent="0.25">
      <c r="A853" s="1468">
        <v>852</v>
      </c>
      <c r="B853" s="141">
        <v>3</v>
      </c>
      <c r="C853" s="356" t="s">
        <v>290</v>
      </c>
      <c r="D853" s="241" t="s">
        <v>134</v>
      </c>
      <c r="E853" s="241"/>
      <c r="F853" s="241"/>
      <c r="G853" s="261" t="s">
        <v>291</v>
      </c>
      <c r="H853" s="262" t="s">
        <v>85</v>
      </c>
      <c r="I853" s="346"/>
      <c r="J853" s="245" t="s">
        <v>556</v>
      </c>
      <c r="K853" s="288" t="s">
        <v>158</v>
      </c>
      <c r="L853" s="288" t="s">
        <v>3678</v>
      </c>
      <c r="M853" s="288" t="s">
        <v>3678</v>
      </c>
      <c r="N853" s="281" t="s">
        <v>4217</v>
      </c>
      <c r="O853" s="392" t="s">
        <v>3799</v>
      </c>
      <c r="P853" s="247"/>
      <c r="Q853" s="301" t="s">
        <v>293</v>
      </c>
      <c r="R853" s="1188" t="s">
        <v>3798</v>
      </c>
      <c r="S853" s="279">
        <v>38019</v>
      </c>
      <c r="T853" s="250"/>
      <c r="U853" s="251" t="s">
        <v>54</v>
      </c>
      <c r="V853" s="245" t="s">
        <v>3904</v>
      </c>
      <c r="W853" s="250" t="s">
        <v>295</v>
      </c>
      <c r="X853" s="197" t="s">
        <v>475</v>
      </c>
      <c r="Y853" s="245" t="s">
        <v>3975</v>
      </c>
      <c r="Z853" s="246">
        <v>45224</v>
      </c>
      <c r="AA853" s="246"/>
      <c r="AB853" s="288" t="s">
        <v>4329</v>
      </c>
      <c r="AC853" s="223" t="s">
        <v>946</v>
      </c>
      <c r="AD853" s="299" t="s">
        <v>467</v>
      </c>
      <c r="AE853" s="494">
        <v>45105</v>
      </c>
      <c r="AF853" s="494">
        <v>45470</v>
      </c>
      <c r="AG853" s="392"/>
      <c r="AH853" s="283"/>
      <c r="AI853" s="296" t="s">
        <v>1351</v>
      </c>
      <c r="AJ853" s="303" t="s">
        <v>136</v>
      </c>
      <c r="AK853" s="241">
        <v>4</v>
      </c>
      <c r="AL853" s="123" t="s">
        <v>477</v>
      </c>
      <c r="AM853" s="123" t="s">
        <v>460</v>
      </c>
      <c r="AN853" s="110" t="s">
        <v>4184</v>
      </c>
      <c r="AO853" s="138"/>
      <c r="AP853" s="115"/>
      <c r="AQ853" s="115"/>
      <c r="AR853" s="115"/>
      <c r="AS853" s="115"/>
      <c r="AT853" s="115"/>
    </row>
    <row r="854" spans="1:46" ht="39" customHeight="1" x14ac:dyDescent="0.25">
      <c r="A854" s="1468">
        <v>853</v>
      </c>
      <c r="B854" s="141">
        <v>3</v>
      </c>
      <c r="C854" s="358" t="s">
        <v>297</v>
      </c>
      <c r="D854" s="241" t="s">
        <v>134</v>
      </c>
      <c r="E854" s="241"/>
      <c r="F854" s="241"/>
      <c r="G854" s="261" t="s">
        <v>298</v>
      </c>
      <c r="H854" s="262" t="s">
        <v>85</v>
      </c>
      <c r="I854" s="346"/>
      <c r="J854" s="245" t="s">
        <v>556</v>
      </c>
      <c r="K854" s="288" t="s">
        <v>313</v>
      </c>
      <c r="L854" s="288" t="s">
        <v>3678</v>
      </c>
      <c r="M854" s="288" t="s">
        <v>3678</v>
      </c>
      <c r="N854" s="281" t="s">
        <v>4217</v>
      </c>
      <c r="O854" s="392" t="s">
        <v>3801</v>
      </c>
      <c r="P854" s="247"/>
      <c r="Q854" s="301" t="s">
        <v>293</v>
      </c>
      <c r="R854" s="1188" t="s">
        <v>3800</v>
      </c>
      <c r="S854" s="279">
        <v>38405</v>
      </c>
      <c r="T854" s="250"/>
      <c r="U854" s="251" t="s">
        <v>54</v>
      </c>
      <c r="V854" s="245" t="s">
        <v>3904</v>
      </c>
      <c r="W854" s="250" t="s">
        <v>295</v>
      </c>
      <c r="X854" s="197" t="s">
        <v>475</v>
      </c>
      <c r="Y854" s="245" t="s">
        <v>3975</v>
      </c>
      <c r="Z854" s="246">
        <v>45224</v>
      </c>
      <c r="AA854" s="246"/>
      <c r="AB854" s="288" t="s">
        <v>4249</v>
      </c>
      <c r="AC854" s="223" t="s">
        <v>946</v>
      </c>
      <c r="AD854" s="299" t="s">
        <v>467</v>
      </c>
      <c r="AE854" s="494">
        <v>45098</v>
      </c>
      <c r="AF854" s="494">
        <v>45463</v>
      </c>
      <c r="AG854" s="392"/>
      <c r="AH854" s="283"/>
      <c r="AI854" s="296" t="s">
        <v>1351</v>
      </c>
      <c r="AJ854" s="303" t="s">
        <v>136</v>
      </c>
      <c r="AK854" s="241">
        <v>4</v>
      </c>
      <c r="AL854" s="123" t="s">
        <v>477</v>
      </c>
      <c r="AM854" s="123" t="s">
        <v>460</v>
      </c>
      <c r="AN854" s="138"/>
      <c r="AO854" s="138"/>
      <c r="AP854" s="115"/>
      <c r="AQ854" s="115"/>
      <c r="AR854" s="115"/>
      <c r="AS854" s="115"/>
      <c r="AT854" s="116"/>
    </row>
    <row r="855" spans="1:46" ht="39" customHeight="1" x14ac:dyDescent="0.25">
      <c r="A855" s="1468">
        <v>854</v>
      </c>
      <c r="B855" s="141">
        <v>2</v>
      </c>
      <c r="C855" s="260" t="s">
        <v>311</v>
      </c>
      <c r="D855" s="241"/>
      <c r="E855" s="241"/>
      <c r="F855" s="241"/>
      <c r="G855" s="261" t="s">
        <v>312</v>
      </c>
      <c r="H855" s="262" t="s">
        <v>85</v>
      </c>
      <c r="I855" s="346"/>
      <c r="J855" s="245" t="s">
        <v>556</v>
      </c>
      <c r="K855" s="595"/>
      <c r="L855" s="299" t="s">
        <v>1508</v>
      </c>
      <c r="M855" s="299" t="s">
        <v>1708</v>
      </c>
      <c r="N855" s="245"/>
      <c r="O855" s="392" t="s">
        <v>3016</v>
      </c>
      <c r="P855" s="627"/>
      <c r="Q855" s="301" t="s">
        <v>293</v>
      </c>
      <c r="R855" s="1010" t="s">
        <v>1653</v>
      </c>
      <c r="S855" s="279">
        <v>37578</v>
      </c>
      <c r="T855" s="289"/>
      <c r="U855" s="251" t="s">
        <v>54</v>
      </c>
      <c r="V855" s="197"/>
      <c r="W855" s="197" t="s">
        <v>295</v>
      </c>
      <c r="X855" s="197"/>
      <c r="Y855" s="197"/>
      <c r="Z855" s="246"/>
      <c r="AA855" s="281"/>
      <c r="AB855" s="288" t="s">
        <v>4424</v>
      </c>
      <c r="AC855" s="223" t="s">
        <v>482</v>
      </c>
      <c r="AD855" s="245"/>
      <c r="AE855" s="494">
        <v>45114</v>
      </c>
      <c r="AF855" s="494">
        <v>45479</v>
      </c>
      <c r="AG855" s="241"/>
      <c r="AH855" s="253"/>
      <c r="AI855" s="284" t="s">
        <v>1351</v>
      </c>
      <c r="AJ855" s="303" t="s">
        <v>136</v>
      </c>
      <c r="AK855" s="241">
        <v>4</v>
      </c>
      <c r="AL855" s="123" t="s">
        <v>477</v>
      </c>
      <c r="AM855" s="123" t="s">
        <v>460</v>
      </c>
      <c r="AN855" s="138"/>
      <c r="AO855" s="138"/>
      <c r="AP855" s="115"/>
      <c r="AQ855" s="115"/>
      <c r="AR855" s="115"/>
      <c r="AS855" s="115"/>
      <c r="AT855" s="115"/>
    </row>
    <row r="856" spans="1:46" ht="39" customHeight="1" x14ac:dyDescent="0.25">
      <c r="A856" s="1468">
        <v>855</v>
      </c>
      <c r="B856" s="141">
        <v>2</v>
      </c>
      <c r="C856" s="260" t="s">
        <v>317</v>
      </c>
      <c r="D856" s="241"/>
      <c r="E856" s="241"/>
      <c r="F856" s="241"/>
      <c r="G856" s="261" t="s">
        <v>318</v>
      </c>
      <c r="H856" s="262" t="s">
        <v>87</v>
      </c>
      <c r="I856" s="357"/>
      <c r="J856" s="245" t="s">
        <v>561</v>
      </c>
      <c r="K856" s="257"/>
      <c r="L856" s="299" t="s">
        <v>1508</v>
      </c>
      <c r="M856" s="299" t="s">
        <v>1708</v>
      </c>
      <c r="N856" s="245"/>
      <c r="O856" s="392" t="s">
        <v>3077</v>
      </c>
      <c r="P856" s="627"/>
      <c r="Q856" s="594" t="s">
        <v>293</v>
      </c>
      <c r="R856" s="381" t="s">
        <v>1627</v>
      </c>
      <c r="S856" s="279">
        <v>38287</v>
      </c>
      <c r="T856" s="289"/>
      <c r="U856" s="251" t="s">
        <v>54</v>
      </c>
      <c r="V856" s="197"/>
      <c r="W856" s="197" t="s">
        <v>295</v>
      </c>
      <c r="X856" s="197"/>
      <c r="Y856" s="197"/>
      <c r="Z856" s="246"/>
      <c r="AA856" s="281"/>
      <c r="AB856" s="250" t="s">
        <v>4425</v>
      </c>
      <c r="AC856" s="223" t="s">
        <v>946</v>
      </c>
      <c r="AD856" s="245"/>
      <c r="AE856" s="494">
        <v>45114</v>
      </c>
      <c r="AF856" s="494">
        <v>45479</v>
      </c>
      <c r="AG856" s="241"/>
      <c r="AH856" s="253"/>
      <c r="AI856" s="284" t="s">
        <v>1351</v>
      </c>
      <c r="AJ856" s="303" t="s">
        <v>136</v>
      </c>
      <c r="AK856" s="241">
        <v>4</v>
      </c>
      <c r="AL856" s="123" t="s">
        <v>477</v>
      </c>
      <c r="AM856" s="123" t="s">
        <v>460</v>
      </c>
      <c r="AN856" s="110"/>
      <c r="AO856" s="151"/>
      <c r="AP856" s="115"/>
      <c r="AQ856" s="115"/>
      <c r="AR856" s="115"/>
      <c r="AS856" s="115"/>
      <c r="AT856" s="115"/>
    </row>
    <row r="857" spans="1:46" ht="39" customHeight="1" x14ac:dyDescent="0.25">
      <c r="A857" s="1468">
        <v>856</v>
      </c>
      <c r="B857" s="146">
        <v>2</v>
      </c>
      <c r="C857" s="260" t="s">
        <v>319</v>
      </c>
      <c r="D857" s="241"/>
      <c r="E857" s="241"/>
      <c r="F857" s="241"/>
      <c r="G857" s="261" t="s">
        <v>320</v>
      </c>
      <c r="H857" s="262" t="s">
        <v>87</v>
      </c>
      <c r="I857" s="364"/>
      <c r="J857" s="245" t="s">
        <v>561</v>
      </c>
      <c r="K857" s="257"/>
      <c r="L857" s="299" t="s">
        <v>1508</v>
      </c>
      <c r="M857" s="299" t="s">
        <v>1708</v>
      </c>
      <c r="N857" s="245"/>
      <c r="O857" s="216"/>
      <c r="P857" s="627"/>
      <c r="Q857" s="594" t="s">
        <v>293</v>
      </c>
      <c r="R857" s="1267" t="s">
        <v>1621</v>
      </c>
      <c r="S857" s="279">
        <v>37771</v>
      </c>
      <c r="T857" s="289"/>
      <c r="U857" s="251" t="s">
        <v>54</v>
      </c>
      <c r="V857" s="197" t="s">
        <v>6084</v>
      </c>
      <c r="W857" s="197" t="s">
        <v>4608</v>
      </c>
      <c r="X857" s="197" t="s">
        <v>475</v>
      </c>
      <c r="Y857" s="981" t="s">
        <v>6086</v>
      </c>
      <c r="Z857" s="252">
        <v>45316</v>
      </c>
      <c r="AA857" s="252">
        <v>45347</v>
      </c>
      <c r="AB857" s="245"/>
      <c r="AC857" s="223" t="s">
        <v>946</v>
      </c>
      <c r="AD857" s="245"/>
      <c r="AE857" s="494"/>
      <c r="AF857" s="494"/>
      <c r="AG857" s="241"/>
      <c r="AH857" s="253"/>
      <c r="AI857" s="284" t="s">
        <v>1351</v>
      </c>
      <c r="AJ857" s="303" t="s">
        <v>136</v>
      </c>
      <c r="AK857" s="241">
        <v>4</v>
      </c>
      <c r="AL857" s="123" t="s">
        <v>477</v>
      </c>
      <c r="AM857" s="123" t="s">
        <v>460</v>
      </c>
      <c r="AN857" s="110"/>
      <c r="AO857" s="151"/>
      <c r="AP857" s="115"/>
      <c r="AQ857" s="115"/>
      <c r="AR857" s="115"/>
      <c r="AS857" s="115"/>
      <c r="AT857" s="116"/>
    </row>
    <row r="858" spans="1:46" ht="39" customHeight="1" x14ac:dyDescent="0.25">
      <c r="A858" s="1468">
        <v>857</v>
      </c>
      <c r="B858" s="141">
        <v>2</v>
      </c>
      <c r="C858" s="378" t="s">
        <v>321</v>
      </c>
      <c r="D858" s="303"/>
      <c r="E858" s="241"/>
      <c r="F858" s="241"/>
      <c r="G858" s="261" t="s">
        <v>322</v>
      </c>
      <c r="H858" s="262" t="s">
        <v>87</v>
      </c>
      <c r="I858" s="357"/>
      <c r="J858" s="245" t="s">
        <v>561</v>
      </c>
      <c r="K858" s="257"/>
      <c r="L858" s="299" t="s">
        <v>1508</v>
      </c>
      <c r="M858" s="299" t="s">
        <v>1708</v>
      </c>
      <c r="N858" s="245"/>
      <c r="O858" s="392" t="s">
        <v>3009</v>
      </c>
      <c r="P858" s="627"/>
      <c r="Q858" s="594" t="s">
        <v>293</v>
      </c>
      <c r="R858" s="381" t="s">
        <v>1618</v>
      </c>
      <c r="S858" s="279">
        <v>37625</v>
      </c>
      <c r="T858" s="289"/>
      <c r="U858" s="251" t="s">
        <v>54</v>
      </c>
      <c r="V858" s="197"/>
      <c r="W858" s="197" t="s">
        <v>295</v>
      </c>
      <c r="X858" s="197"/>
      <c r="Y858" s="197"/>
      <c r="Z858" s="246"/>
      <c r="AA858" s="281"/>
      <c r="AB858" s="250" t="s">
        <v>4426</v>
      </c>
      <c r="AC858" s="223" t="s">
        <v>946</v>
      </c>
      <c r="AD858" s="245"/>
      <c r="AE858" s="494">
        <v>45112</v>
      </c>
      <c r="AF858" s="494">
        <v>45477</v>
      </c>
      <c r="AG858" s="241"/>
      <c r="AH858" s="253"/>
      <c r="AI858" s="284" t="s">
        <v>1351</v>
      </c>
      <c r="AJ858" s="303" t="s">
        <v>136</v>
      </c>
      <c r="AK858" s="241">
        <v>4</v>
      </c>
      <c r="AL858" s="123" t="s">
        <v>477</v>
      </c>
      <c r="AM858" s="123" t="s">
        <v>460</v>
      </c>
      <c r="AN858" s="151"/>
      <c r="AO858" s="151"/>
      <c r="AP858" s="115"/>
      <c r="AQ858" s="115"/>
      <c r="AR858" s="115"/>
      <c r="AS858" s="115"/>
      <c r="AT858" s="115"/>
    </row>
    <row r="859" spans="1:46" ht="39" customHeight="1" x14ac:dyDescent="0.25">
      <c r="A859" s="1468">
        <v>858</v>
      </c>
      <c r="B859" s="141">
        <v>1</v>
      </c>
      <c r="C859" s="378" t="s">
        <v>323</v>
      </c>
      <c r="D859" s="303"/>
      <c r="E859" s="241"/>
      <c r="F859" s="241"/>
      <c r="G859" s="261" t="s">
        <v>324</v>
      </c>
      <c r="H859" s="262" t="s">
        <v>87</v>
      </c>
      <c r="I859" s="357"/>
      <c r="J859" s="245" t="s">
        <v>561</v>
      </c>
      <c r="K859" s="216"/>
      <c r="L859" s="299" t="s">
        <v>1508</v>
      </c>
      <c r="M859" s="299" t="s">
        <v>1708</v>
      </c>
      <c r="N859" s="245"/>
      <c r="O859" s="392" t="s">
        <v>3013</v>
      </c>
      <c r="P859" s="627"/>
      <c r="Q859" s="594" t="s">
        <v>293</v>
      </c>
      <c r="R859" s="381" t="s">
        <v>1619</v>
      </c>
      <c r="S859" s="279">
        <v>38153</v>
      </c>
      <c r="T859" s="289"/>
      <c r="U859" s="251" t="s">
        <v>54</v>
      </c>
      <c r="V859" s="197"/>
      <c r="W859" s="197" t="s">
        <v>295</v>
      </c>
      <c r="X859" s="197"/>
      <c r="Y859" s="197"/>
      <c r="Z859" s="246"/>
      <c r="AA859" s="281"/>
      <c r="AB859" s="250" t="s">
        <v>4427</v>
      </c>
      <c r="AC859" s="223" t="s">
        <v>946</v>
      </c>
      <c r="AD859" s="245"/>
      <c r="AE859" s="494">
        <v>45114</v>
      </c>
      <c r="AF859" s="494">
        <v>45479</v>
      </c>
      <c r="AG859" s="241"/>
      <c r="AH859" s="253"/>
      <c r="AI859" s="284" t="s">
        <v>1351</v>
      </c>
      <c r="AJ859" s="303" t="s">
        <v>136</v>
      </c>
      <c r="AK859" s="241">
        <v>4</v>
      </c>
      <c r="AL859" s="123" t="s">
        <v>477</v>
      </c>
      <c r="AM859" s="123" t="s">
        <v>460</v>
      </c>
      <c r="AN859" s="151"/>
      <c r="AO859" s="151"/>
      <c r="AP859" s="115"/>
      <c r="AQ859" s="115"/>
      <c r="AR859" s="115"/>
      <c r="AS859" s="115"/>
      <c r="AT859" s="115"/>
    </row>
    <row r="860" spans="1:46" ht="39" customHeight="1" x14ac:dyDescent="0.25">
      <c r="A860" s="1468">
        <v>859</v>
      </c>
      <c r="B860" s="117">
        <v>1</v>
      </c>
      <c r="C860" s="260" t="s">
        <v>325</v>
      </c>
      <c r="D860" s="241"/>
      <c r="E860" s="241"/>
      <c r="F860" s="241"/>
      <c r="G860" s="261" t="s">
        <v>324</v>
      </c>
      <c r="H860" s="262" t="s">
        <v>87</v>
      </c>
      <c r="I860" s="357"/>
      <c r="J860" s="245" t="s">
        <v>561</v>
      </c>
      <c r="K860" s="263"/>
      <c r="L860" s="288" t="s">
        <v>5144</v>
      </c>
      <c r="M860" s="288" t="s">
        <v>5144</v>
      </c>
      <c r="N860" s="245"/>
      <c r="O860" s="1392" t="s">
        <v>5235</v>
      </c>
      <c r="P860" s="627"/>
      <c r="Q860" s="380" t="s">
        <v>87</v>
      </c>
      <c r="R860" s="1003" t="s">
        <v>5189</v>
      </c>
      <c r="S860" s="279">
        <v>37998</v>
      </c>
      <c r="T860" s="289"/>
      <c r="U860" s="251" t="s">
        <v>54</v>
      </c>
      <c r="V860" s="245" t="s">
        <v>5171</v>
      </c>
      <c r="W860" s="250" t="s">
        <v>295</v>
      </c>
      <c r="X860" s="197"/>
      <c r="Y860" s="981" t="s">
        <v>5829</v>
      </c>
      <c r="Z860" s="246">
        <v>45260</v>
      </c>
      <c r="AA860" s="281"/>
      <c r="AB860" s="288" t="s">
        <v>5280</v>
      </c>
      <c r="AC860" s="223"/>
      <c r="AD860" s="245" t="s">
        <v>467</v>
      </c>
      <c r="AE860" s="494">
        <v>45256</v>
      </c>
      <c r="AF860" s="494">
        <v>45621</v>
      </c>
      <c r="AG860" s="241"/>
      <c r="AH860" s="253"/>
      <c r="AI860" s="296" t="s">
        <v>4208</v>
      </c>
      <c r="AJ860" s="303" t="s">
        <v>136</v>
      </c>
      <c r="AK860" s="241">
        <v>4</v>
      </c>
      <c r="AL860" s="123" t="s">
        <v>477</v>
      </c>
      <c r="AM860" s="123" t="s">
        <v>460</v>
      </c>
      <c r="AN860" s="151"/>
      <c r="AO860" s="151"/>
      <c r="AP860" s="115"/>
      <c r="AQ860" s="115"/>
      <c r="AR860" s="115"/>
      <c r="AS860" s="115"/>
      <c r="AT860" s="115"/>
    </row>
    <row r="861" spans="1:46" ht="39" customHeight="1" x14ac:dyDescent="0.25">
      <c r="A861" s="1468">
        <v>860</v>
      </c>
      <c r="B861" s="117"/>
      <c r="C861" s="324"/>
      <c r="D861" s="664"/>
      <c r="E861" s="664"/>
      <c r="F861" s="664"/>
      <c r="G861" s="227"/>
      <c r="H861" s="228"/>
      <c r="I861" s="228"/>
      <c r="J861" s="229"/>
      <c r="K861" s="227"/>
      <c r="L861" s="229"/>
      <c r="M861" s="229"/>
      <c r="N861" s="229"/>
      <c r="O861" s="216"/>
      <c r="P861" s="230" t="s">
        <v>330</v>
      </c>
      <c r="Q861" s="373"/>
      <c r="R861" s="982"/>
      <c r="S861" s="279"/>
      <c r="T861" s="232"/>
      <c r="U861" s="250"/>
      <c r="V861" s="232"/>
      <c r="W861" s="232"/>
      <c r="X861" s="232"/>
      <c r="Y861" s="232"/>
      <c r="Z861" s="233"/>
      <c r="AA861" s="234"/>
      <c r="AB861" s="235"/>
      <c r="AC861" s="236"/>
      <c r="AD861" s="235"/>
      <c r="AE861" s="494"/>
      <c r="AF861" s="494"/>
      <c r="AG861" s="664"/>
      <c r="AH861" s="238"/>
      <c r="AI861" s="239"/>
      <c r="AJ861" s="303"/>
      <c r="AK861" s="241"/>
      <c r="AL861" s="122"/>
      <c r="AM861" s="122"/>
      <c r="AN861" s="163"/>
      <c r="AO861" s="114"/>
      <c r="AP861" s="115"/>
      <c r="AQ861" s="115"/>
      <c r="AR861" s="115"/>
      <c r="AS861" s="115"/>
      <c r="AT861" s="116"/>
    </row>
    <row r="862" spans="1:46" ht="39" customHeight="1" x14ac:dyDescent="0.25">
      <c r="A862" s="1468">
        <v>861</v>
      </c>
      <c r="B862" s="119">
        <v>10</v>
      </c>
      <c r="C862" s="581" t="s">
        <v>305</v>
      </c>
      <c r="D862" s="481"/>
      <c r="E862" s="700" t="s">
        <v>47</v>
      </c>
      <c r="F862" s="481"/>
      <c r="G862" s="782" t="s">
        <v>91</v>
      </c>
      <c r="H862" s="244" t="s">
        <v>83</v>
      </c>
      <c r="I862" s="783"/>
      <c r="J862" s="245">
        <v>302</v>
      </c>
      <c r="K862" s="216"/>
      <c r="L862" s="216"/>
      <c r="M862" s="216"/>
      <c r="N862" s="305"/>
      <c r="O862" s="1476"/>
      <c r="P862" s="801"/>
      <c r="Q862" s="338"/>
      <c r="R862" s="990" t="s">
        <v>66</v>
      </c>
      <c r="S862" s="279"/>
      <c r="T862" s="197"/>
      <c r="U862" s="197"/>
      <c r="V862" s="197"/>
      <c r="W862" s="197"/>
      <c r="X862" s="197"/>
      <c r="Y862" s="1475"/>
      <c r="Z862" s="246"/>
      <c r="AA862" s="252"/>
      <c r="AB862" s="250"/>
      <c r="AC862" s="223"/>
      <c r="AD862" s="250"/>
      <c r="AE862" s="494"/>
      <c r="AF862" s="494"/>
      <c r="AG862" s="282"/>
      <c r="AH862" s="283"/>
      <c r="AI862" s="223"/>
      <c r="AJ862" s="1014"/>
      <c r="AK862" s="242">
        <v>1</v>
      </c>
      <c r="AL862" s="123" t="s">
        <v>477</v>
      </c>
      <c r="AM862" s="123" t="s">
        <v>460</v>
      </c>
      <c r="AN862" s="137"/>
      <c r="AO862" s="137"/>
      <c r="AP862" s="115"/>
      <c r="AQ862" s="115"/>
      <c r="AR862" s="115"/>
      <c r="AS862" s="115"/>
      <c r="AT862" s="115"/>
    </row>
    <row r="863" spans="1:46" ht="39" customHeight="1" x14ac:dyDescent="0.25">
      <c r="A863" s="1468">
        <v>862</v>
      </c>
      <c r="B863" s="987"/>
      <c r="C863" s="989"/>
      <c r="D863" s="664"/>
      <c r="E863" s="664"/>
      <c r="F863" s="664"/>
      <c r="G863" s="227"/>
      <c r="H863" s="228"/>
      <c r="I863" s="228"/>
      <c r="J863" s="229"/>
      <c r="K863" s="227"/>
      <c r="L863" s="229"/>
      <c r="M863" s="229"/>
      <c r="N863" s="229"/>
      <c r="O863" s="309"/>
      <c r="P863" s="230" t="s">
        <v>306</v>
      </c>
      <c r="Q863" s="726"/>
      <c r="R863" s="1004"/>
      <c r="S863" s="279"/>
      <c r="T863" s="232"/>
      <c r="U863" s="250"/>
      <c r="V863" s="232"/>
      <c r="W863" s="232"/>
      <c r="X863" s="232"/>
      <c r="Y863" s="232"/>
      <c r="Z863" s="233"/>
      <c r="AA863" s="234"/>
      <c r="AB863" s="235"/>
      <c r="AC863" s="236"/>
      <c r="AD863" s="235"/>
      <c r="AE863" s="494"/>
      <c r="AF863" s="494"/>
      <c r="AG863" s="664"/>
      <c r="AH863" s="238"/>
      <c r="AI863" s="239"/>
      <c r="AJ863" s="1033"/>
      <c r="AK863" s="569"/>
      <c r="AL863" s="122"/>
      <c r="AM863" s="122"/>
      <c r="AN863" s="163"/>
      <c r="AO863" s="114"/>
      <c r="AP863" s="115"/>
      <c r="AQ863" s="115"/>
      <c r="AR863" s="115"/>
      <c r="AS863" s="115"/>
      <c r="AT863" s="116"/>
    </row>
    <row r="864" spans="1:46" ht="39" customHeight="1" x14ac:dyDescent="0.25">
      <c r="A864" s="1468">
        <v>863</v>
      </c>
      <c r="B864" s="128">
        <v>7</v>
      </c>
      <c r="C864" s="497" t="s">
        <v>307</v>
      </c>
      <c r="D864" s="709"/>
      <c r="E864" s="709" t="s">
        <v>47</v>
      </c>
      <c r="F864" s="709"/>
      <c r="G864" s="847" t="s">
        <v>308</v>
      </c>
      <c r="H864" s="479" t="s">
        <v>132</v>
      </c>
      <c r="I864" s="371" t="s">
        <v>309</v>
      </c>
      <c r="J864" s="256">
        <v>403</v>
      </c>
      <c r="K864" s="216"/>
      <c r="L864" s="281"/>
      <c r="M864" s="281"/>
      <c r="N864" s="374"/>
      <c r="O864" s="216"/>
      <c r="P864" s="555"/>
      <c r="Q864" s="344"/>
      <c r="R864" s="982" t="s">
        <v>66</v>
      </c>
      <c r="S864" s="279"/>
      <c r="T864" s="257"/>
      <c r="U864" s="250"/>
      <c r="V864" s="197"/>
      <c r="W864" s="197"/>
      <c r="X864" s="299"/>
      <c r="Y864" s="299"/>
      <c r="Z864" s="289"/>
      <c r="AA864" s="374"/>
      <c r="AB864" s="257"/>
      <c r="AC864" s="223"/>
      <c r="AD864" s="257"/>
      <c r="AE864" s="494"/>
      <c r="AF864" s="494"/>
      <c r="AG864" s="241"/>
      <c r="AH864" s="299"/>
      <c r="AI864" s="254"/>
      <c r="AJ864" s="348"/>
      <c r="AK864" s="291">
        <v>3</v>
      </c>
      <c r="AL864" s="123" t="s">
        <v>477</v>
      </c>
      <c r="AM864" s="123" t="s">
        <v>460</v>
      </c>
      <c r="AN864" s="138"/>
      <c r="AO864" s="138"/>
      <c r="AP864" s="115"/>
      <c r="AQ864" s="115"/>
      <c r="AR864" s="115"/>
      <c r="AS864" s="115"/>
      <c r="AT864" s="115"/>
    </row>
    <row r="865" spans="1:46" ht="39" customHeight="1" x14ac:dyDescent="0.25">
      <c r="A865" s="1468">
        <v>864</v>
      </c>
      <c r="B865" s="141">
        <v>3</v>
      </c>
      <c r="C865" s="356" t="s">
        <v>290</v>
      </c>
      <c r="D865" s="241" t="s">
        <v>134</v>
      </c>
      <c r="E865" s="241"/>
      <c r="F865" s="241"/>
      <c r="G865" s="261" t="s">
        <v>291</v>
      </c>
      <c r="H865" s="262" t="s">
        <v>85</v>
      </c>
      <c r="I865" s="364"/>
      <c r="J865" s="245" t="s">
        <v>556</v>
      </c>
      <c r="K865" s="288" t="s">
        <v>158</v>
      </c>
      <c r="L865" s="288" t="s">
        <v>3678</v>
      </c>
      <c r="M865" s="288" t="s">
        <v>3678</v>
      </c>
      <c r="N865" s="281" t="s">
        <v>4217</v>
      </c>
      <c r="O865" s="392" t="s">
        <v>3803</v>
      </c>
      <c r="P865" s="300"/>
      <c r="Q865" s="594" t="s">
        <v>293</v>
      </c>
      <c r="R865" s="1188" t="s">
        <v>3802</v>
      </c>
      <c r="S865" s="279">
        <v>38080</v>
      </c>
      <c r="T865" s="289"/>
      <c r="U865" s="251" t="s">
        <v>54</v>
      </c>
      <c r="V865" s="245" t="s">
        <v>3904</v>
      </c>
      <c r="W865" s="250" t="s">
        <v>295</v>
      </c>
      <c r="X865" s="197" t="s">
        <v>475</v>
      </c>
      <c r="Y865" s="245" t="s">
        <v>3975</v>
      </c>
      <c r="Z865" s="246">
        <v>45224</v>
      </c>
      <c r="AA865" s="246"/>
      <c r="AB865" s="288" t="s">
        <v>4258</v>
      </c>
      <c r="AC865" s="223" t="s">
        <v>946</v>
      </c>
      <c r="AD865" s="299" t="s">
        <v>467</v>
      </c>
      <c r="AE865" s="494">
        <v>45117</v>
      </c>
      <c r="AF865" s="494">
        <v>45482</v>
      </c>
      <c r="AG865" s="392"/>
      <c r="AH865" s="283"/>
      <c r="AI865" s="296" t="s">
        <v>1351</v>
      </c>
      <c r="AJ865" s="303" t="s">
        <v>136</v>
      </c>
      <c r="AK865" s="241">
        <v>4</v>
      </c>
      <c r="AL865" s="123" t="s">
        <v>477</v>
      </c>
      <c r="AM865" s="123" t="s">
        <v>460</v>
      </c>
      <c r="AN865" s="110" t="s">
        <v>4184</v>
      </c>
      <c r="AO865" s="151"/>
      <c r="AP865" s="115"/>
      <c r="AQ865" s="115"/>
      <c r="AR865" s="115"/>
      <c r="AS865" s="115"/>
      <c r="AT865" s="115"/>
    </row>
    <row r="866" spans="1:46" ht="39" customHeight="1" x14ac:dyDescent="0.25">
      <c r="A866" s="1468">
        <v>865</v>
      </c>
      <c r="B866" s="141">
        <v>3</v>
      </c>
      <c r="C866" s="358" t="s">
        <v>297</v>
      </c>
      <c r="D866" s="241" t="s">
        <v>134</v>
      </c>
      <c r="E866" s="241"/>
      <c r="F866" s="241"/>
      <c r="G866" s="261" t="s">
        <v>298</v>
      </c>
      <c r="H866" s="262" t="s">
        <v>85</v>
      </c>
      <c r="I866" s="364"/>
      <c r="J866" s="245" t="s">
        <v>556</v>
      </c>
      <c r="K866" s="288" t="s">
        <v>158</v>
      </c>
      <c r="L866" s="288" t="s">
        <v>3678</v>
      </c>
      <c r="M866" s="288" t="s">
        <v>3678</v>
      </c>
      <c r="N866" s="281" t="s">
        <v>4217</v>
      </c>
      <c r="O866" s="392" t="s">
        <v>3805</v>
      </c>
      <c r="P866" s="287"/>
      <c r="Q866" s="594" t="s">
        <v>293</v>
      </c>
      <c r="R866" s="1188" t="s">
        <v>3804</v>
      </c>
      <c r="S866" s="279">
        <v>38087</v>
      </c>
      <c r="T866" s="289"/>
      <c r="U866" s="251" t="s">
        <v>54</v>
      </c>
      <c r="V866" s="245" t="s">
        <v>3904</v>
      </c>
      <c r="W866" s="250" t="s">
        <v>295</v>
      </c>
      <c r="X866" s="197" t="s">
        <v>475</v>
      </c>
      <c r="Y866" s="245" t="s">
        <v>3975</v>
      </c>
      <c r="Z866" s="246">
        <v>45224</v>
      </c>
      <c r="AA866" s="246"/>
      <c r="AB866" s="288" t="s">
        <v>4331</v>
      </c>
      <c r="AC866" s="223" t="s">
        <v>4224</v>
      </c>
      <c r="AD866" s="299" t="s">
        <v>467</v>
      </c>
      <c r="AE866" s="494">
        <v>45114</v>
      </c>
      <c r="AF866" s="494">
        <v>45479</v>
      </c>
      <c r="AG866" s="392"/>
      <c r="AH866" s="283"/>
      <c r="AI866" s="296" t="s">
        <v>1351</v>
      </c>
      <c r="AJ866" s="303" t="s">
        <v>136</v>
      </c>
      <c r="AK866" s="241">
        <v>4</v>
      </c>
      <c r="AL866" s="123" t="s">
        <v>477</v>
      </c>
      <c r="AM866" s="123" t="s">
        <v>460</v>
      </c>
      <c r="AN866" s="110"/>
      <c r="AO866" s="151"/>
      <c r="AP866" s="115"/>
      <c r="AQ866" s="115"/>
      <c r="AR866" s="115"/>
      <c r="AS866" s="115"/>
      <c r="AT866" s="116"/>
    </row>
    <row r="867" spans="1:46" ht="39" customHeight="1" x14ac:dyDescent="0.25">
      <c r="A867" s="1468">
        <v>866</v>
      </c>
      <c r="B867" s="141">
        <v>2</v>
      </c>
      <c r="C867" s="260" t="s">
        <v>311</v>
      </c>
      <c r="D867" s="241"/>
      <c r="E867" s="241"/>
      <c r="F867" s="241"/>
      <c r="G867" s="261" t="s">
        <v>312</v>
      </c>
      <c r="H867" s="262" t="s">
        <v>85</v>
      </c>
      <c r="I867" s="364"/>
      <c r="J867" s="245" t="s">
        <v>556</v>
      </c>
      <c r="K867" s="197"/>
      <c r="L867" s="299" t="s">
        <v>1508</v>
      </c>
      <c r="M867" s="299" t="s">
        <v>1708</v>
      </c>
      <c r="N867" s="245"/>
      <c r="O867" s="392" t="s">
        <v>3047</v>
      </c>
      <c r="P867" s="627"/>
      <c r="Q867" s="594" t="s">
        <v>293</v>
      </c>
      <c r="R867" s="999" t="s">
        <v>1658</v>
      </c>
      <c r="S867" s="279">
        <v>38246</v>
      </c>
      <c r="T867" s="289"/>
      <c r="U867" s="251" t="s">
        <v>54</v>
      </c>
      <c r="V867" s="197"/>
      <c r="W867" s="197" t="s">
        <v>295</v>
      </c>
      <c r="X867" s="197"/>
      <c r="Y867" s="197"/>
      <c r="Z867" s="246"/>
      <c r="AA867" s="281"/>
      <c r="AB867" s="1239" t="s">
        <v>4401</v>
      </c>
      <c r="AC867" s="223" t="s">
        <v>946</v>
      </c>
      <c r="AD867" s="245"/>
      <c r="AE867" s="494">
        <v>45114</v>
      </c>
      <c r="AF867" s="494">
        <v>45479</v>
      </c>
      <c r="AG867" s="241"/>
      <c r="AH867" s="253"/>
      <c r="AI867" s="284" t="s">
        <v>1351</v>
      </c>
      <c r="AJ867" s="303" t="s">
        <v>136</v>
      </c>
      <c r="AK867" s="241">
        <v>4</v>
      </c>
      <c r="AL867" s="123" t="s">
        <v>477</v>
      </c>
      <c r="AM867" s="123" t="s">
        <v>460</v>
      </c>
      <c r="AN867" s="110"/>
      <c r="AO867" s="151"/>
      <c r="AP867" s="115"/>
      <c r="AQ867" s="115"/>
      <c r="AR867" s="115"/>
      <c r="AS867" s="115"/>
      <c r="AT867" s="115"/>
    </row>
    <row r="868" spans="1:46" ht="39" customHeight="1" x14ac:dyDescent="0.25">
      <c r="A868" s="1468">
        <v>867</v>
      </c>
      <c r="B868" s="141">
        <v>2</v>
      </c>
      <c r="C868" s="260" t="s">
        <v>317</v>
      </c>
      <c r="D868" s="241"/>
      <c r="E868" s="241"/>
      <c r="F868" s="241"/>
      <c r="G868" s="261" t="s">
        <v>318</v>
      </c>
      <c r="H868" s="262" t="s">
        <v>87</v>
      </c>
      <c r="I868" s="364"/>
      <c r="J868" s="245" t="s">
        <v>561</v>
      </c>
      <c r="K868" s="216"/>
      <c r="L868" s="299" t="s">
        <v>1508</v>
      </c>
      <c r="M868" s="299" t="s">
        <v>1708</v>
      </c>
      <c r="N868" s="245"/>
      <c r="O868" s="392" t="s">
        <v>3048</v>
      </c>
      <c r="P868" s="627"/>
      <c r="Q868" s="594" t="s">
        <v>293</v>
      </c>
      <c r="R868" s="381" t="s">
        <v>1659</v>
      </c>
      <c r="S868" s="279">
        <v>37780</v>
      </c>
      <c r="T868" s="289" t="s">
        <v>5922</v>
      </c>
      <c r="U868" s="251" t="s">
        <v>54</v>
      </c>
      <c r="V868" s="197"/>
      <c r="W868" s="197" t="s">
        <v>295</v>
      </c>
      <c r="X868" s="197"/>
      <c r="Y868" s="197"/>
      <c r="Z868" s="246"/>
      <c r="AA868" s="281"/>
      <c r="AB868" s="288" t="s">
        <v>4429</v>
      </c>
      <c r="AC868" s="223" t="s">
        <v>946</v>
      </c>
      <c r="AD868" s="245"/>
      <c r="AE868" s="494">
        <v>45114</v>
      </c>
      <c r="AF868" s="494">
        <v>45479</v>
      </c>
      <c r="AG868" s="241"/>
      <c r="AH868" s="253"/>
      <c r="AI868" s="284" t="s">
        <v>1351</v>
      </c>
      <c r="AJ868" s="303" t="s">
        <v>136</v>
      </c>
      <c r="AK868" s="241">
        <v>4</v>
      </c>
      <c r="AL868" s="123" t="s">
        <v>477</v>
      </c>
      <c r="AM868" s="123" t="s">
        <v>460</v>
      </c>
      <c r="AN868" s="110"/>
      <c r="AO868" s="151"/>
      <c r="AP868" s="115"/>
      <c r="AQ868" s="115"/>
      <c r="AR868" s="115"/>
      <c r="AS868" s="115"/>
      <c r="AT868" s="115"/>
    </row>
    <row r="869" spans="1:46" ht="39" customHeight="1" x14ac:dyDescent="0.25">
      <c r="A869" s="1468">
        <v>868</v>
      </c>
      <c r="B869" s="146">
        <v>2</v>
      </c>
      <c r="C869" s="260" t="s">
        <v>319</v>
      </c>
      <c r="D869" s="241"/>
      <c r="E869" s="241"/>
      <c r="F869" s="241"/>
      <c r="G869" s="261" t="s">
        <v>320</v>
      </c>
      <c r="H869" s="262" t="s">
        <v>87</v>
      </c>
      <c r="I869" s="357"/>
      <c r="J869" s="245" t="s">
        <v>561</v>
      </c>
      <c r="K869" s="216"/>
      <c r="L869" s="281" t="s">
        <v>5731</v>
      </c>
      <c r="M869" s="281" t="s">
        <v>5731</v>
      </c>
      <c r="N869" s="374"/>
      <c r="O869" s="216" t="s">
        <v>5523</v>
      </c>
      <c r="P869" s="555" t="s">
        <v>4016</v>
      </c>
      <c r="Q869" s="344" t="s">
        <v>87</v>
      </c>
      <c r="R869" s="982" t="s">
        <v>5522</v>
      </c>
      <c r="S869" s="279">
        <v>28242</v>
      </c>
      <c r="T869" s="257"/>
      <c r="U869" s="251" t="s">
        <v>178</v>
      </c>
      <c r="V869" s="197" t="s">
        <v>5928</v>
      </c>
      <c r="W869" s="197" t="s">
        <v>5962</v>
      </c>
      <c r="X869" s="299" t="s">
        <v>3511</v>
      </c>
      <c r="Y869" s="981" t="s">
        <v>5963</v>
      </c>
      <c r="Z869" s="289">
        <v>45313</v>
      </c>
      <c r="AA869" s="289">
        <v>45327</v>
      </c>
      <c r="AB869" s="257"/>
      <c r="AC869" s="223"/>
      <c r="AD869" s="257"/>
      <c r="AE869" s="494"/>
      <c r="AF869" s="494"/>
      <c r="AG869" s="241"/>
      <c r="AH869" s="299"/>
      <c r="AI869" s="254"/>
      <c r="AJ869" s="348" t="s">
        <v>560</v>
      </c>
      <c r="AK869" s="241">
        <v>4</v>
      </c>
      <c r="AL869" s="123" t="s">
        <v>477</v>
      </c>
      <c r="AM869" s="123" t="s">
        <v>460</v>
      </c>
      <c r="AN869" s="110"/>
      <c r="AO869" s="151"/>
      <c r="AP869" s="115"/>
      <c r="AQ869" s="115"/>
      <c r="AR869" s="115"/>
      <c r="AS869" s="115"/>
      <c r="AT869" s="116"/>
    </row>
    <row r="870" spans="1:46" ht="39" customHeight="1" x14ac:dyDescent="0.25">
      <c r="A870" s="1468">
        <v>869</v>
      </c>
      <c r="B870" s="141">
        <v>2</v>
      </c>
      <c r="C870" s="378" t="s">
        <v>321</v>
      </c>
      <c r="D870" s="303"/>
      <c r="E870" s="241"/>
      <c r="F870" s="241"/>
      <c r="G870" s="261" t="s">
        <v>322</v>
      </c>
      <c r="H870" s="262" t="s">
        <v>87</v>
      </c>
      <c r="I870" s="357"/>
      <c r="J870" s="245" t="s">
        <v>561</v>
      </c>
      <c r="K870" s="257"/>
      <c r="L870" s="288" t="s">
        <v>5144</v>
      </c>
      <c r="M870" s="288" t="s">
        <v>5144</v>
      </c>
      <c r="N870" s="245"/>
      <c r="O870" s="1392" t="s">
        <v>5236</v>
      </c>
      <c r="P870" s="627"/>
      <c r="Q870" s="380" t="s">
        <v>87</v>
      </c>
      <c r="R870" s="1003" t="s">
        <v>5190</v>
      </c>
      <c r="S870" s="279">
        <v>38381</v>
      </c>
      <c r="T870" s="289"/>
      <c r="U870" s="251" t="s">
        <v>54</v>
      </c>
      <c r="V870" s="245" t="s">
        <v>5171</v>
      </c>
      <c r="W870" s="250" t="s">
        <v>295</v>
      </c>
      <c r="X870" s="197"/>
      <c r="Y870" s="981" t="s">
        <v>5829</v>
      </c>
      <c r="Z870" s="246">
        <v>45260</v>
      </c>
      <c r="AA870" s="281"/>
      <c r="AB870" s="288" t="s">
        <v>5280</v>
      </c>
      <c r="AC870" s="223" t="s">
        <v>946</v>
      </c>
      <c r="AD870" s="245" t="s">
        <v>467</v>
      </c>
      <c r="AE870" s="494">
        <v>45256</v>
      </c>
      <c r="AF870" s="494">
        <v>45621</v>
      </c>
      <c r="AG870" s="241"/>
      <c r="AH870" s="253"/>
      <c r="AI870" s="296" t="s">
        <v>4208</v>
      </c>
      <c r="AJ870" s="303" t="s">
        <v>136</v>
      </c>
      <c r="AK870" s="241">
        <v>4</v>
      </c>
      <c r="AL870" s="123" t="s">
        <v>477</v>
      </c>
      <c r="AM870" s="123" t="s">
        <v>460</v>
      </c>
      <c r="AN870" s="151"/>
      <c r="AO870" s="151"/>
      <c r="AP870" s="115"/>
      <c r="AQ870" s="115"/>
      <c r="AR870" s="115"/>
      <c r="AS870" s="115"/>
      <c r="AT870" s="115"/>
    </row>
    <row r="871" spans="1:46" ht="39" customHeight="1" x14ac:dyDescent="0.25">
      <c r="A871" s="1468">
        <v>870</v>
      </c>
      <c r="B871" s="141">
        <v>1</v>
      </c>
      <c r="C871" s="378" t="s">
        <v>323</v>
      </c>
      <c r="D871" s="303"/>
      <c r="E871" s="241"/>
      <c r="F871" s="241"/>
      <c r="G871" s="261" t="s">
        <v>324</v>
      </c>
      <c r="H871" s="262" t="s">
        <v>87</v>
      </c>
      <c r="I871" s="357"/>
      <c r="J871" s="245" t="s">
        <v>561</v>
      </c>
      <c r="K871" s="257"/>
      <c r="L871" s="299" t="s">
        <v>1508</v>
      </c>
      <c r="M871" s="299" t="s">
        <v>1708</v>
      </c>
      <c r="N871" s="245"/>
      <c r="O871" s="392" t="s">
        <v>3017</v>
      </c>
      <c r="P871" s="627"/>
      <c r="Q871" s="594" t="s">
        <v>293</v>
      </c>
      <c r="R871" s="381" t="s">
        <v>1622</v>
      </c>
      <c r="S871" s="279">
        <v>38117</v>
      </c>
      <c r="T871" s="289"/>
      <c r="U871" s="251" t="s">
        <v>54</v>
      </c>
      <c r="V871" s="197"/>
      <c r="W871" s="197" t="s">
        <v>295</v>
      </c>
      <c r="X871" s="197"/>
      <c r="Y871" s="197"/>
      <c r="Z871" s="246"/>
      <c r="AA871" s="281"/>
      <c r="AB871" s="197" t="s">
        <v>4402</v>
      </c>
      <c r="AC871" s="223" t="s">
        <v>946</v>
      </c>
      <c r="AD871" s="245"/>
      <c r="AE871" s="494">
        <v>45114</v>
      </c>
      <c r="AF871" s="494">
        <v>45479</v>
      </c>
      <c r="AG871" s="241"/>
      <c r="AH871" s="253"/>
      <c r="AI871" s="284" t="s">
        <v>1351</v>
      </c>
      <c r="AJ871" s="303" t="s">
        <v>136</v>
      </c>
      <c r="AK871" s="241">
        <v>4</v>
      </c>
      <c r="AL871" s="123" t="s">
        <v>477</v>
      </c>
      <c r="AM871" s="123" t="s">
        <v>460</v>
      </c>
      <c r="AN871" s="167"/>
      <c r="AO871" s="151"/>
      <c r="AP871" s="115"/>
      <c r="AQ871" s="115"/>
      <c r="AR871" s="115"/>
      <c r="AS871" s="115"/>
      <c r="AT871" s="115"/>
    </row>
    <row r="872" spans="1:46" ht="39" customHeight="1" x14ac:dyDescent="0.25">
      <c r="A872" s="1468">
        <v>871</v>
      </c>
      <c r="B872" s="117">
        <v>1</v>
      </c>
      <c r="C872" s="260" t="s">
        <v>325</v>
      </c>
      <c r="D872" s="241"/>
      <c r="E872" s="241"/>
      <c r="F872" s="241"/>
      <c r="G872" s="261" t="s">
        <v>324</v>
      </c>
      <c r="H872" s="262" t="s">
        <v>87</v>
      </c>
      <c r="I872" s="357"/>
      <c r="J872" s="245" t="s">
        <v>561</v>
      </c>
      <c r="K872" s="250"/>
      <c r="L872" s="288" t="s">
        <v>5144</v>
      </c>
      <c r="M872" s="288" t="s">
        <v>5144</v>
      </c>
      <c r="N872" s="245"/>
      <c r="O872" s="1392" t="s">
        <v>5237</v>
      </c>
      <c r="P872" s="627"/>
      <c r="Q872" s="380" t="s">
        <v>87</v>
      </c>
      <c r="R872" s="1003" t="s">
        <v>5191</v>
      </c>
      <c r="S872" s="279">
        <v>37050</v>
      </c>
      <c r="T872" s="289"/>
      <c r="U872" s="251" t="s">
        <v>54</v>
      </c>
      <c r="V872" s="245" t="s">
        <v>5171</v>
      </c>
      <c r="W872" s="250" t="s">
        <v>295</v>
      </c>
      <c r="X872" s="197"/>
      <c r="Y872" s="981" t="s">
        <v>5829</v>
      </c>
      <c r="Z872" s="246">
        <v>45260</v>
      </c>
      <c r="AA872" s="281"/>
      <c r="AB872" s="288" t="s">
        <v>5281</v>
      </c>
      <c r="AC872" s="223" t="s">
        <v>946</v>
      </c>
      <c r="AD872" s="245" t="s">
        <v>467</v>
      </c>
      <c r="AE872" s="494">
        <v>45256</v>
      </c>
      <c r="AF872" s="494">
        <v>45621</v>
      </c>
      <c r="AG872" s="241"/>
      <c r="AH872" s="253"/>
      <c r="AI872" s="296" t="s">
        <v>4208</v>
      </c>
      <c r="AJ872" s="303" t="s">
        <v>136</v>
      </c>
      <c r="AK872" s="241">
        <v>4</v>
      </c>
      <c r="AL872" s="123" t="s">
        <v>477</v>
      </c>
      <c r="AM872" s="123" t="s">
        <v>460</v>
      </c>
      <c r="AN872" s="110"/>
      <c r="AO872" s="110"/>
      <c r="AP872" s="115"/>
      <c r="AQ872" s="115"/>
      <c r="AR872" s="115"/>
      <c r="AS872" s="115"/>
      <c r="AT872" s="115"/>
    </row>
    <row r="873" spans="1:46" ht="39" customHeight="1" x14ac:dyDescent="0.25">
      <c r="A873" s="1468">
        <v>872</v>
      </c>
      <c r="B873" s="117"/>
      <c r="C873" s="324"/>
      <c r="D873" s="664"/>
      <c r="E873" s="664"/>
      <c r="F873" s="664"/>
      <c r="G873" s="227"/>
      <c r="H873" s="228"/>
      <c r="I873" s="228"/>
      <c r="J873" s="229"/>
      <c r="K873" s="227"/>
      <c r="L873" s="229"/>
      <c r="M873" s="229"/>
      <c r="N873" s="229"/>
      <c r="O873" s="216"/>
      <c r="P873" s="230" t="s">
        <v>326</v>
      </c>
      <c r="Q873" s="373"/>
      <c r="R873" s="982"/>
      <c r="S873" s="279"/>
      <c r="T873" s="232"/>
      <c r="U873" s="250"/>
      <c r="V873" s="232"/>
      <c r="W873" s="232"/>
      <c r="X873" s="232"/>
      <c r="Y873" s="232"/>
      <c r="Z873" s="233"/>
      <c r="AA873" s="234"/>
      <c r="AB873" s="235"/>
      <c r="AC873" s="236"/>
      <c r="AD873" s="235"/>
      <c r="AE873" s="494"/>
      <c r="AF873" s="494"/>
      <c r="AG873" s="664"/>
      <c r="AH873" s="238"/>
      <c r="AI873" s="239"/>
      <c r="AJ873" s="303"/>
      <c r="AK873" s="241"/>
      <c r="AL873" s="122"/>
      <c r="AM873" s="122"/>
      <c r="AN873" s="163"/>
      <c r="AO873" s="114"/>
      <c r="AP873" s="115"/>
      <c r="AQ873" s="115"/>
      <c r="AR873" s="115"/>
      <c r="AS873" s="115"/>
      <c r="AT873" s="116"/>
    </row>
    <row r="874" spans="1:46" ht="39" customHeight="1" x14ac:dyDescent="0.25">
      <c r="A874" s="1468">
        <v>873</v>
      </c>
      <c r="B874" s="128">
        <v>5</v>
      </c>
      <c r="C874" s="290" t="s">
        <v>288</v>
      </c>
      <c r="D874" s="344"/>
      <c r="E874" s="344" t="s">
        <v>47</v>
      </c>
      <c r="F874" s="344"/>
      <c r="G874" s="292" t="s">
        <v>289</v>
      </c>
      <c r="H874" s="346" t="s">
        <v>132</v>
      </c>
      <c r="I874" s="344">
        <v>144</v>
      </c>
      <c r="J874" s="256">
        <v>403</v>
      </c>
      <c r="K874" s="288" t="s">
        <v>158</v>
      </c>
      <c r="L874" s="301" t="s">
        <v>3678</v>
      </c>
      <c r="M874" s="301" t="s">
        <v>3678</v>
      </c>
      <c r="N874" s="281" t="s">
        <v>4217</v>
      </c>
      <c r="O874" s="385" t="s">
        <v>3874</v>
      </c>
      <c r="P874" s="374"/>
      <c r="Q874" s="594" t="s">
        <v>87</v>
      </c>
      <c r="R874" s="1198" t="s">
        <v>3873</v>
      </c>
      <c r="S874" s="279">
        <v>37860</v>
      </c>
      <c r="T874" s="197"/>
      <c r="U874" s="251" t="s">
        <v>54</v>
      </c>
      <c r="V874" s="245" t="s">
        <v>5948</v>
      </c>
      <c r="W874" s="250" t="s">
        <v>295</v>
      </c>
      <c r="X874" s="197" t="s">
        <v>475</v>
      </c>
      <c r="Y874" s="981" t="s">
        <v>5950</v>
      </c>
      <c r="Z874" s="246">
        <v>45309</v>
      </c>
      <c r="AA874" s="388"/>
      <c r="AB874" s="288" t="s">
        <v>4312</v>
      </c>
      <c r="AC874" s="223" t="s">
        <v>946</v>
      </c>
      <c r="AD874" s="299" t="s">
        <v>467</v>
      </c>
      <c r="AE874" s="494">
        <v>45103</v>
      </c>
      <c r="AF874" s="494">
        <v>45468</v>
      </c>
      <c r="AG874" s="392"/>
      <c r="AH874" s="283"/>
      <c r="AI874" s="296" t="s">
        <v>1351</v>
      </c>
      <c r="AJ874" s="303" t="s">
        <v>136</v>
      </c>
      <c r="AK874" s="348">
        <v>3</v>
      </c>
      <c r="AL874" s="123" t="s">
        <v>477</v>
      </c>
      <c r="AM874" s="123" t="s">
        <v>460</v>
      </c>
      <c r="AN874" s="138"/>
      <c r="AO874" s="138"/>
      <c r="AP874" s="115"/>
      <c r="AQ874" s="115"/>
      <c r="AR874" s="115"/>
      <c r="AS874" s="115"/>
      <c r="AT874" s="115"/>
    </row>
    <row r="875" spans="1:46" ht="39" customHeight="1" x14ac:dyDescent="0.25">
      <c r="A875" s="1468">
        <v>874</v>
      </c>
      <c r="B875" s="141">
        <v>3</v>
      </c>
      <c r="C875" s="356" t="s">
        <v>290</v>
      </c>
      <c r="D875" s="241" t="s">
        <v>134</v>
      </c>
      <c r="E875" s="241"/>
      <c r="F875" s="241"/>
      <c r="G875" s="261" t="s">
        <v>291</v>
      </c>
      <c r="H875" s="262" t="s">
        <v>85</v>
      </c>
      <c r="I875" s="346"/>
      <c r="J875" s="245" t="s">
        <v>556</v>
      </c>
      <c r="K875" s="288" t="s">
        <v>158</v>
      </c>
      <c r="L875" s="288" t="s">
        <v>3678</v>
      </c>
      <c r="M875" s="288" t="s">
        <v>3678</v>
      </c>
      <c r="N875" s="281" t="s">
        <v>4217</v>
      </c>
      <c r="O875" s="392" t="s">
        <v>3806</v>
      </c>
      <c r="P875" s="325"/>
      <c r="Q875" s="594" t="s">
        <v>293</v>
      </c>
      <c r="R875" s="1188" t="s">
        <v>3807</v>
      </c>
      <c r="S875" s="279">
        <v>38218</v>
      </c>
      <c r="T875" s="1482" t="s">
        <v>5923</v>
      </c>
      <c r="U875" s="251" t="s">
        <v>54</v>
      </c>
      <c r="V875" s="245" t="s">
        <v>3904</v>
      </c>
      <c r="W875" s="250" t="s">
        <v>295</v>
      </c>
      <c r="X875" s="197" t="s">
        <v>475</v>
      </c>
      <c r="Y875" s="245" t="s">
        <v>3975</v>
      </c>
      <c r="Z875" s="246">
        <v>45224</v>
      </c>
      <c r="AA875" s="246"/>
      <c r="AB875" s="288" t="s">
        <v>4302</v>
      </c>
      <c r="AC875" s="223" t="s">
        <v>946</v>
      </c>
      <c r="AD875" s="299" t="s">
        <v>467</v>
      </c>
      <c r="AE875" s="494">
        <v>45105</v>
      </c>
      <c r="AF875" s="494">
        <v>45470</v>
      </c>
      <c r="AG875" s="392"/>
      <c r="AH875" s="283"/>
      <c r="AI875" s="296" t="s">
        <v>1351</v>
      </c>
      <c r="AJ875" s="303" t="s">
        <v>136</v>
      </c>
      <c r="AK875" s="241">
        <v>4</v>
      </c>
      <c r="AL875" s="123" t="s">
        <v>477</v>
      </c>
      <c r="AM875" s="123" t="s">
        <v>460</v>
      </c>
      <c r="AN875" s="110" t="s">
        <v>4184</v>
      </c>
      <c r="AO875" s="138"/>
      <c r="AP875" s="115"/>
      <c r="AQ875" s="115"/>
      <c r="AR875" s="115"/>
      <c r="AS875" s="115"/>
      <c r="AT875" s="115"/>
    </row>
    <row r="876" spans="1:46" ht="39" customHeight="1" x14ac:dyDescent="0.25">
      <c r="A876" s="1468">
        <v>875</v>
      </c>
      <c r="B876" s="141">
        <v>3</v>
      </c>
      <c r="C876" s="358" t="s">
        <v>297</v>
      </c>
      <c r="D876" s="241" t="s">
        <v>134</v>
      </c>
      <c r="E876" s="241"/>
      <c r="F876" s="241"/>
      <c r="G876" s="261" t="s">
        <v>298</v>
      </c>
      <c r="H876" s="262" t="s">
        <v>85</v>
      </c>
      <c r="I876" s="346"/>
      <c r="J876" s="245" t="s">
        <v>556</v>
      </c>
      <c r="K876" s="288" t="s">
        <v>4571</v>
      </c>
      <c r="L876" s="288" t="s">
        <v>3678</v>
      </c>
      <c r="M876" s="288" t="s">
        <v>3678</v>
      </c>
      <c r="N876" s="281" t="s">
        <v>4217</v>
      </c>
      <c r="O876" s="392" t="s">
        <v>3809</v>
      </c>
      <c r="P876" s="325"/>
      <c r="Q876" s="594" t="s">
        <v>293</v>
      </c>
      <c r="R876" s="1188" t="s">
        <v>3808</v>
      </c>
      <c r="S876" s="279">
        <v>38351</v>
      </c>
      <c r="T876" s="252"/>
      <c r="U876" s="251" t="s">
        <v>54</v>
      </c>
      <c r="V876" s="245" t="s">
        <v>3904</v>
      </c>
      <c r="W876" s="250" t="s">
        <v>295</v>
      </c>
      <c r="X876" s="197" t="s">
        <v>475</v>
      </c>
      <c r="Y876" s="245" t="s">
        <v>3975</v>
      </c>
      <c r="Z876" s="246">
        <v>45224</v>
      </c>
      <c r="AA876" s="288"/>
      <c r="AB876" s="288" t="s">
        <v>4324</v>
      </c>
      <c r="AC876" s="223" t="s">
        <v>946</v>
      </c>
      <c r="AD876" s="299" t="s">
        <v>467</v>
      </c>
      <c r="AE876" s="494">
        <v>45104</v>
      </c>
      <c r="AF876" s="494">
        <v>45469</v>
      </c>
      <c r="AG876" s="392"/>
      <c r="AH876" s="283"/>
      <c r="AI876" s="296" t="s">
        <v>1351</v>
      </c>
      <c r="AJ876" s="303" t="s">
        <v>136</v>
      </c>
      <c r="AK876" s="241">
        <v>4</v>
      </c>
      <c r="AL876" s="123" t="s">
        <v>477</v>
      </c>
      <c r="AM876" s="123" t="s">
        <v>460</v>
      </c>
      <c r="AN876" s="138"/>
      <c r="AO876" s="138"/>
      <c r="AP876" s="115"/>
      <c r="AQ876" s="115"/>
      <c r="AR876" s="115"/>
      <c r="AS876" s="115"/>
      <c r="AT876" s="116"/>
    </row>
    <row r="877" spans="1:46" ht="39" customHeight="1" x14ac:dyDescent="0.25">
      <c r="A877" s="1468">
        <v>876</v>
      </c>
      <c r="B877" s="141">
        <v>2</v>
      </c>
      <c r="C877" s="260" t="s">
        <v>311</v>
      </c>
      <c r="D877" s="241"/>
      <c r="E877" s="241"/>
      <c r="F877" s="241"/>
      <c r="G877" s="261" t="s">
        <v>312</v>
      </c>
      <c r="H877" s="262" t="s">
        <v>85</v>
      </c>
      <c r="I877" s="346"/>
      <c r="J877" s="245" t="s">
        <v>556</v>
      </c>
      <c r="K877" s="257"/>
      <c r="L877" s="288" t="s">
        <v>5144</v>
      </c>
      <c r="M877" s="288" t="s">
        <v>5144</v>
      </c>
      <c r="N877" s="245"/>
      <c r="O877" s="1392" t="s">
        <v>5238</v>
      </c>
      <c r="P877" s="1312"/>
      <c r="Q877" s="380" t="s">
        <v>87</v>
      </c>
      <c r="R877" s="1003" t="s">
        <v>5192</v>
      </c>
      <c r="S877" s="279">
        <v>38030</v>
      </c>
      <c r="T877" s="289"/>
      <c r="U877" s="251" t="s">
        <v>54</v>
      </c>
      <c r="V877" s="245" t="s">
        <v>5171</v>
      </c>
      <c r="W877" s="250" t="s">
        <v>295</v>
      </c>
      <c r="X877" s="197"/>
      <c r="Y877" s="981" t="s">
        <v>5829</v>
      </c>
      <c r="Z877" s="246">
        <v>45260</v>
      </c>
      <c r="AA877" s="245"/>
      <c r="AB877" s="288" t="s">
        <v>5282</v>
      </c>
      <c r="AC877" s="223" t="s">
        <v>5302</v>
      </c>
      <c r="AD877" s="245" t="s">
        <v>467</v>
      </c>
      <c r="AE877" s="494">
        <v>45256</v>
      </c>
      <c r="AF877" s="494">
        <v>45621</v>
      </c>
      <c r="AG877" s="241"/>
      <c r="AH877" s="253"/>
      <c r="AI877" s="296" t="s">
        <v>4208</v>
      </c>
      <c r="AJ877" s="303" t="s">
        <v>136</v>
      </c>
      <c r="AK877" s="241">
        <v>4</v>
      </c>
      <c r="AL877" s="123" t="s">
        <v>477</v>
      </c>
      <c r="AM877" s="123" t="s">
        <v>460</v>
      </c>
      <c r="AN877" s="138"/>
      <c r="AO877" s="138"/>
      <c r="AP877" s="115"/>
      <c r="AQ877" s="115"/>
      <c r="AR877" s="115"/>
      <c r="AS877" s="115"/>
      <c r="AT877" s="115"/>
    </row>
    <row r="878" spans="1:46" ht="39" customHeight="1" x14ac:dyDescent="0.25">
      <c r="A878" s="1468">
        <v>877</v>
      </c>
      <c r="B878" s="141">
        <v>2</v>
      </c>
      <c r="C878" s="260" t="s">
        <v>317</v>
      </c>
      <c r="D878" s="241"/>
      <c r="E878" s="241"/>
      <c r="F878" s="241"/>
      <c r="G878" s="261" t="s">
        <v>318</v>
      </c>
      <c r="H878" s="262" t="s">
        <v>87</v>
      </c>
      <c r="I878" s="357"/>
      <c r="J878" s="245" t="s">
        <v>561</v>
      </c>
      <c r="K878" s="257"/>
      <c r="L878" s="288" t="s">
        <v>5149</v>
      </c>
      <c r="M878" s="288" t="s">
        <v>5149</v>
      </c>
      <c r="N878" s="245"/>
      <c r="O878" s="1392" t="s">
        <v>5239</v>
      </c>
      <c r="P878" s="1312"/>
      <c r="Q878" s="380" t="s">
        <v>87</v>
      </c>
      <c r="R878" s="1003" t="s">
        <v>5193</v>
      </c>
      <c r="S878" s="279">
        <v>37292</v>
      </c>
      <c r="T878" s="289"/>
      <c r="U878" s="251" t="s">
        <v>54</v>
      </c>
      <c r="V878" s="197" t="s">
        <v>5149</v>
      </c>
      <c r="W878" s="250" t="s">
        <v>295</v>
      </c>
      <c r="X878" s="197"/>
      <c r="Y878" s="197"/>
      <c r="Z878" s="246">
        <v>45257</v>
      </c>
      <c r="AA878" s="245"/>
      <c r="AB878" s="384" t="s">
        <v>5283</v>
      </c>
      <c r="AC878" s="223" t="s">
        <v>946</v>
      </c>
      <c r="AD878" s="245" t="s">
        <v>467</v>
      </c>
      <c r="AE878" s="494">
        <v>45255</v>
      </c>
      <c r="AF878" s="494">
        <v>45620</v>
      </c>
      <c r="AG878" s="241"/>
      <c r="AH878" s="253"/>
      <c r="AI878" s="296" t="s">
        <v>4208</v>
      </c>
      <c r="AJ878" s="303" t="s">
        <v>136</v>
      </c>
      <c r="AK878" s="241">
        <v>4</v>
      </c>
      <c r="AL878" s="123" t="s">
        <v>477</v>
      </c>
      <c r="AM878" s="123" t="s">
        <v>460</v>
      </c>
      <c r="AN878" s="110"/>
      <c r="AO878" s="151"/>
      <c r="AP878" s="115"/>
      <c r="AQ878" s="115"/>
      <c r="AR878" s="115"/>
      <c r="AS878" s="115"/>
      <c r="AT878" s="115"/>
    </row>
    <row r="879" spans="1:46" ht="39" customHeight="1" x14ac:dyDescent="0.25">
      <c r="A879" s="1468">
        <v>878</v>
      </c>
      <c r="B879" s="146">
        <v>2</v>
      </c>
      <c r="C879" s="260" t="s">
        <v>319</v>
      </c>
      <c r="D879" s="241"/>
      <c r="E879" s="241"/>
      <c r="F879" s="241"/>
      <c r="G879" s="261" t="s">
        <v>320</v>
      </c>
      <c r="H879" s="262" t="s">
        <v>87</v>
      </c>
      <c r="I879" s="364"/>
      <c r="J879" s="245" t="s">
        <v>561</v>
      </c>
      <c r="K879" s="216"/>
      <c r="L879" s="299" t="s">
        <v>1508</v>
      </c>
      <c r="M879" s="299" t="s">
        <v>1708</v>
      </c>
      <c r="N879" s="245"/>
      <c r="O879" s="392" t="s">
        <v>3140</v>
      </c>
      <c r="P879" s="627"/>
      <c r="Q879" s="594" t="s">
        <v>293</v>
      </c>
      <c r="R879" s="381" t="s">
        <v>1636</v>
      </c>
      <c r="S879" s="279">
        <v>38014</v>
      </c>
      <c r="T879" s="289"/>
      <c r="U879" s="251" t="s">
        <v>54</v>
      </c>
      <c r="V879" s="197"/>
      <c r="W879" s="197" t="s">
        <v>295</v>
      </c>
      <c r="X879" s="197"/>
      <c r="Y879" s="197"/>
      <c r="Z879" s="246"/>
      <c r="AA879" s="281"/>
      <c r="AB879" s="250" t="s">
        <v>4430</v>
      </c>
      <c r="AC879" s="223" t="s">
        <v>946</v>
      </c>
      <c r="AD879" s="245"/>
      <c r="AE879" s="494">
        <v>45114</v>
      </c>
      <c r="AF879" s="494">
        <v>45479</v>
      </c>
      <c r="AG879" s="241"/>
      <c r="AH879" s="253"/>
      <c r="AI879" s="284" t="s">
        <v>1351</v>
      </c>
      <c r="AJ879" s="303" t="s">
        <v>136</v>
      </c>
      <c r="AK879" s="241">
        <v>4</v>
      </c>
      <c r="AL879" s="123" t="s">
        <v>477</v>
      </c>
      <c r="AM879" s="123" t="s">
        <v>460</v>
      </c>
      <c r="AN879" s="110"/>
      <c r="AO879" s="151"/>
      <c r="AP879" s="115"/>
      <c r="AQ879" s="115"/>
      <c r="AR879" s="115"/>
      <c r="AS879" s="115"/>
      <c r="AT879" s="116"/>
    </row>
    <row r="880" spans="1:46" ht="39" customHeight="1" x14ac:dyDescent="0.25">
      <c r="A880" s="1468">
        <v>879</v>
      </c>
      <c r="B880" s="141">
        <v>2</v>
      </c>
      <c r="C880" s="378" t="s">
        <v>321</v>
      </c>
      <c r="D880" s="303"/>
      <c r="E880" s="241"/>
      <c r="F880" s="241"/>
      <c r="G880" s="261" t="s">
        <v>322</v>
      </c>
      <c r="H880" s="262" t="s">
        <v>87</v>
      </c>
      <c r="I880" s="357"/>
      <c r="J880" s="245" t="s">
        <v>561</v>
      </c>
      <c r="K880" s="257"/>
      <c r="L880" s="288" t="s">
        <v>5144</v>
      </c>
      <c r="M880" s="288" t="s">
        <v>5144</v>
      </c>
      <c r="N880" s="245"/>
      <c r="O880" s="1392" t="s">
        <v>5240</v>
      </c>
      <c r="P880" s="1312"/>
      <c r="Q880" s="380" t="s">
        <v>87</v>
      </c>
      <c r="R880" s="1003" t="s">
        <v>5194</v>
      </c>
      <c r="S880" s="279">
        <v>38508</v>
      </c>
      <c r="T880" s="289"/>
      <c r="U880" s="251" t="s">
        <v>54</v>
      </c>
      <c r="V880" s="245" t="s">
        <v>5171</v>
      </c>
      <c r="W880" s="250" t="s">
        <v>295</v>
      </c>
      <c r="X880" s="197"/>
      <c r="Y880" s="981" t="s">
        <v>5829</v>
      </c>
      <c r="Z880" s="246">
        <v>45260</v>
      </c>
      <c r="AA880" s="245"/>
      <c r="AB880" s="288" t="s">
        <v>5275</v>
      </c>
      <c r="AC880" s="223" t="s">
        <v>946</v>
      </c>
      <c r="AD880" s="245" t="s">
        <v>467</v>
      </c>
      <c r="AE880" s="494">
        <v>45257</v>
      </c>
      <c r="AF880" s="494">
        <v>45622</v>
      </c>
      <c r="AG880" s="241"/>
      <c r="AH880" s="253"/>
      <c r="AI880" s="296" t="s">
        <v>4208</v>
      </c>
      <c r="AJ880" s="303" t="s">
        <v>136</v>
      </c>
      <c r="AK880" s="241">
        <v>4</v>
      </c>
      <c r="AL880" s="123" t="s">
        <v>477</v>
      </c>
      <c r="AM880" s="123" t="s">
        <v>460</v>
      </c>
      <c r="AN880" s="151"/>
      <c r="AO880" s="151"/>
      <c r="AP880" s="115"/>
      <c r="AQ880" s="115"/>
      <c r="AR880" s="115"/>
      <c r="AS880" s="115"/>
      <c r="AT880" s="115"/>
    </row>
    <row r="881" spans="1:46" ht="39" customHeight="1" x14ac:dyDescent="0.25">
      <c r="A881" s="1468">
        <v>880</v>
      </c>
      <c r="B881" s="141">
        <v>1</v>
      </c>
      <c r="C881" s="378" t="s">
        <v>323</v>
      </c>
      <c r="D881" s="303"/>
      <c r="E881" s="241"/>
      <c r="F881" s="241"/>
      <c r="G881" s="261" t="s">
        <v>324</v>
      </c>
      <c r="H881" s="262" t="s">
        <v>87</v>
      </c>
      <c r="I881" s="364"/>
      <c r="J881" s="245" t="s">
        <v>561</v>
      </c>
      <c r="K881" s="257"/>
      <c r="L881" s="288" t="s">
        <v>5144</v>
      </c>
      <c r="M881" s="288" t="s">
        <v>5144</v>
      </c>
      <c r="N881" s="245"/>
      <c r="O881" s="1392" t="s">
        <v>5241</v>
      </c>
      <c r="P881" s="1312"/>
      <c r="Q881" s="380" t="s">
        <v>87</v>
      </c>
      <c r="R881" s="1003" t="s">
        <v>5195</v>
      </c>
      <c r="S881" s="279">
        <v>38364</v>
      </c>
      <c r="T881" s="289"/>
      <c r="U881" s="251" t="s">
        <v>54</v>
      </c>
      <c r="V881" s="245" t="s">
        <v>5171</v>
      </c>
      <c r="W881" s="250" t="s">
        <v>295</v>
      </c>
      <c r="X881" s="197"/>
      <c r="Y881" s="981" t="s">
        <v>5829</v>
      </c>
      <c r="Z881" s="246">
        <v>45260</v>
      </c>
      <c r="AA881" s="245"/>
      <c r="AB881" s="288" t="s">
        <v>5278</v>
      </c>
      <c r="AC881" s="223" t="s">
        <v>946</v>
      </c>
      <c r="AD881" s="245" t="s">
        <v>467</v>
      </c>
      <c r="AE881" s="494">
        <v>45257</v>
      </c>
      <c r="AF881" s="494">
        <v>45622</v>
      </c>
      <c r="AG881" s="241"/>
      <c r="AH881" s="253"/>
      <c r="AI881" s="296" t="s">
        <v>4208</v>
      </c>
      <c r="AJ881" s="303" t="s">
        <v>136</v>
      </c>
      <c r="AK881" s="241">
        <v>4</v>
      </c>
      <c r="AL881" s="123" t="s">
        <v>477</v>
      </c>
      <c r="AM881" s="123" t="s">
        <v>460</v>
      </c>
      <c r="AN881" s="167"/>
      <c r="AO881" s="151"/>
      <c r="AP881" s="115"/>
      <c r="AQ881" s="115"/>
      <c r="AR881" s="115"/>
      <c r="AS881" s="115"/>
      <c r="AT881" s="115"/>
    </row>
    <row r="882" spans="1:46" ht="39" customHeight="1" x14ac:dyDescent="0.25">
      <c r="A882" s="1468">
        <v>881</v>
      </c>
      <c r="B882" s="117">
        <v>1</v>
      </c>
      <c r="C882" s="260" t="s">
        <v>325</v>
      </c>
      <c r="D882" s="241"/>
      <c r="E882" s="241"/>
      <c r="F882" s="241"/>
      <c r="G882" s="261" t="s">
        <v>324</v>
      </c>
      <c r="H882" s="262" t="s">
        <v>87</v>
      </c>
      <c r="I882" s="357"/>
      <c r="J882" s="245" t="s">
        <v>561</v>
      </c>
      <c r="K882" s="216"/>
      <c r="L882" s="299" t="s">
        <v>1508</v>
      </c>
      <c r="M882" s="299" t="s">
        <v>1708</v>
      </c>
      <c r="N882" s="245"/>
      <c r="O882" s="392" t="s">
        <v>3023</v>
      </c>
      <c r="P882" s="627"/>
      <c r="Q882" s="594" t="s">
        <v>293</v>
      </c>
      <c r="R882" s="1267" t="s">
        <v>6068</v>
      </c>
      <c r="S882" s="279"/>
      <c r="T882" s="289"/>
      <c r="U882" s="251" t="s">
        <v>54</v>
      </c>
      <c r="V882" s="197"/>
      <c r="W882" s="197" t="s">
        <v>295</v>
      </c>
      <c r="X882" s="197"/>
      <c r="Y882" s="197"/>
      <c r="Z882" s="246"/>
      <c r="AA882" s="281"/>
      <c r="AB882" s="197" t="s">
        <v>4432</v>
      </c>
      <c r="AC882" s="223" t="s">
        <v>946</v>
      </c>
      <c r="AD882" s="245"/>
      <c r="AE882" s="494">
        <v>45112</v>
      </c>
      <c r="AF882" s="494">
        <v>45477</v>
      </c>
      <c r="AG882" s="241"/>
      <c r="AH882" s="253"/>
      <c r="AI882" s="284" t="s">
        <v>1351</v>
      </c>
      <c r="AJ882" s="303" t="s">
        <v>136</v>
      </c>
      <c r="AK882" s="241">
        <v>4</v>
      </c>
      <c r="AL882" s="123" t="s">
        <v>477</v>
      </c>
      <c r="AM882" s="123" t="s">
        <v>460</v>
      </c>
      <c r="AN882" s="151"/>
      <c r="AO882" s="151"/>
      <c r="AP882" s="115"/>
      <c r="AQ882" s="115"/>
      <c r="AR882" s="115"/>
      <c r="AS882" s="115"/>
      <c r="AT882" s="115"/>
    </row>
    <row r="883" spans="1:46" ht="39" customHeight="1" x14ac:dyDescent="0.25">
      <c r="A883" s="1468">
        <v>882</v>
      </c>
      <c r="B883" s="117"/>
      <c r="C883" s="324"/>
      <c r="D883" s="664"/>
      <c r="E883" s="664"/>
      <c r="F883" s="664"/>
      <c r="G883" s="227"/>
      <c r="H883" s="228"/>
      <c r="I883" s="228"/>
      <c r="J883" s="229"/>
      <c r="K883" s="227"/>
      <c r="L883" s="229"/>
      <c r="M883" s="229"/>
      <c r="N883" s="229"/>
      <c r="O883" s="216"/>
      <c r="P883" s="230" t="s">
        <v>327</v>
      </c>
      <c r="Q883" s="373"/>
      <c r="R883" s="982"/>
      <c r="S883" s="279"/>
      <c r="T883" s="232"/>
      <c r="U883" s="250"/>
      <c r="V883" s="232"/>
      <c r="W883" s="232"/>
      <c r="X883" s="232"/>
      <c r="Y883" s="232"/>
      <c r="Z883" s="233"/>
      <c r="AA883" s="234"/>
      <c r="AB883" s="235"/>
      <c r="AC883" s="236"/>
      <c r="AD883" s="235"/>
      <c r="AE883" s="494"/>
      <c r="AF883" s="494"/>
      <c r="AG883" s="664"/>
      <c r="AH883" s="238"/>
      <c r="AI883" s="239"/>
      <c r="AJ883" s="303"/>
      <c r="AK883" s="241"/>
      <c r="AL883" s="122"/>
      <c r="AM883" s="122"/>
      <c r="AN883" s="163"/>
      <c r="AO883" s="114"/>
      <c r="AP883" s="115"/>
      <c r="AQ883" s="115"/>
      <c r="AR883" s="115"/>
      <c r="AS883" s="115"/>
      <c r="AT883" s="116"/>
    </row>
    <row r="884" spans="1:46" ht="39" customHeight="1" x14ac:dyDescent="0.25">
      <c r="A884" s="1468">
        <v>883</v>
      </c>
      <c r="B884" s="128">
        <v>5</v>
      </c>
      <c r="C884" s="290" t="s">
        <v>288</v>
      </c>
      <c r="D884" s="344"/>
      <c r="E884" s="344" t="s">
        <v>47</v>
      </c>
      <c r="F884" s="344"/>
      <c r="G884" s="292" t="s">
        <v>289</v>
      </c>
      <c r="H884" s="346" t="s">
        <v>132</v>
      </c>
      <c r="I884" s="344">
        <v>144</v>
      </c>
      <c r="J884" s="256">
        <v>403</v>
      </c>
      <c r="K884" s="257" t="s">
        <v>4571</v>
      </c>
      <c r="L884" s="288" t="s">
        <v>3678</v>
      </c>
      <c r="M884" s="288" t="s">
        <v>3678</v>
      </c>
      <c r="N884" s="281" t="s">
        <v>4217</v>
      </c>
      <c r="O884" s="392" t="s">
        <v>3821</v>
      </c>
      <c r="P884" s="627"/>
      <c r="Q884" s="380" t="s">
        <v>87</v>
      </c>
      <c r="R884" s="1188" t="s">
        <v>3820</v>
      </c>
      <c r="S884" s="279">
        <v>38466</v>
      </c>
      <c r="T884" s="289"/>
      <c r="U884" s="251" t="s">
        <v>468</v>
      </c>
      <c r="V884" s="245" t="s">
        <v>5393</v>
      </c>
      <c r="W884" s="250" t="s">
        <v>3509</v>
      </c>
      <c r="X884" s="197" t="s">
        <v>2030</v>
      </c>
      <c r="Y884" s="245" t="s">
        <v>5394</v>
      </c>
      <c r="Z884" s="246">
        <v>45264</v>
      </c>
      <c r="AA884" s="246">
        <v>45275</v>
      </c>
      <c r="AB884" s="288" t="s">
        <v>4231</v>
      </c>
      <c r="AC884" s="223" t="s">
        <v>946</v>
      </c>
      <c r="AD884" s="299" t="s">
        <v>467</v>
      </c>
      <c r="AE884" s="494">
        <v>45104</v>
      </c>
      <c r="AF884" s="494">
        <v>45469</v>
      </c>
      <c r="AG884" s="241"/>
      <c r="AH884" s="253"/>
      <c r="AI884" s="296" t="s">
        <v>1351</v>
      </c>
      <c r="AJ884" s="303" t="s">
        <v>136</v>
      </c>
      <c r="AK884" s="348">
        <v>3</v>
      </c>
      <c r="AL884" s="123" t="s">
        <v>477</v>
      </c>
      <c r="AM884" s="123" t="s">
        <v>460</v>
      </c>
      <c r="AN884" s="138"/>
      <c r="AO884" s="138"/>
      <c r="AP884" s="115"/>
      <c r="AQ884" s="115"/>
      <c r="AR884" s="115"/>
      <c r="AS884" s="115"/>
      <c r="AT884" s="115"/>
    </row>
    <row r="885" spans="1:46" ht="39" customHeight="1" x14ac:dyDescent="0.25">
      <c r="A885" s="1468">
        <v>884</v>
      </c>
      <c r="B885" s="141">
        <v>3</v>
      </c>
      <c r="C885" s="356" t="s">
        <v>290</v>
      </c>
      <c r="D885" s="241" t="s">
        <v>134</v>
      </c>
      <c r="E885" s="241"/>
      <c r="F885" s="241"/>
      <c r="G885" s="261" t="s">
        <v>291</v>
      </c>
      <c r="H885" s="262" t="s">
        <v>85</v>
      </c>
      <c r="I885" s="346"/>
      <c r="J885" s="245" t="s">
        <v>556</v>
      </c>
      <c r="K885" s="288" t="s">
        <v>158</v>
      </c>
      <c r="L885" s="288" t="s">
        <v>3678</v>
      </c>
      <c r="M885" s="288" t="s">
        <v>3678</v>
      </c>
      <c r="N885" s="281" t="s">
        <v>4217</v>
      </c>
      <c r="O885" s="392" t="s">
        <v>3811</v>
      </c>
      <c r="P885" s="387"/>
      <c r="Q885" s="594" t="s">
        <v>293</v>
      </c>
      <c r="R885" s="1188" t="s">
        <v>3810</v>
      </c>
      <c r="S885" s="279">
        <v>38074</v>
      </c>
      <c r="T885" s="250"/>
      <c r="U885" s="251" t="s">
        <v>54</v>
      </c>
      <c r="V885" s="245" t="s">
        <v>3904</v>
      </c>
      <c r="W885" s="250" t="s">
        <v>295</v>
      </c>
      <c r="X885" s="197" t="s">
        <v>475</v>
      </c>
      <c r="Y885" s="245" t="s">
        <v>3975</v>
      </c>
      <c r="Z885" s="246">
        <v>45224</v>
      </c>
      <c r="AA885" s="246"/>
      <c r="AB885" s="288" t="s">
        <v>4295</v>
      </c>
      <c r="AC885" s="223" t="s">
        <v>946</v>
      </c>
      <c r="AD885" s="299" t="s">
        <v>467</v>
      </c>
      <c r="AE885" s="494">
        <v>45109</v>
      </c>
      <c r="AF885" s="494">
        <v>45474</v>
      </c>
      <c r="AG885" s="392"/>
      <c r="AH885" s="283"/>
      <c r="AI885" s="296" t="s">
        <v>1351</v>
      </c>
      <c r="AJ885" s="303" t="s">
        <v>136</v>
      </c>
      <c r="AK885" s="241">
        <v>4</v>
      </c>
      <c r="AL885" s="123" t="s">
        <v>477</v>
      </c>
      <c r="AM885" s="123" t="s">
        <v>460</v>
      </c>
      <c r="AN885" s="110" t="s">
        <v>4184</v>
      </c>
      <c r="AO885" s="138"/>
      <c r="AP885" s="115"/>
      <c r="AQ885" s="115"/>
      <c r="AR885" s="115"/>
      <c r="AS885" s="115"/>
      <c r="AT885" s="115"/>
    </row>
    <row r="886" spans="1:46" ht="39" customHeight="1" x14ac:dyDescent="0.25">
      <c r="A886" s="1468">
        <v>885</v>
      </c>
      <c r="B886" s="141">
        <v>3</v>
      </c>
      <c r="C886" s="358" t="s">
        <v>297</v>
      </c>
      <c r="D886" s="241" t="s">
        <v>134</v>
      </c>
      <c r="E886" s="241"/>
      <c r="F886" s="241"/>
      <c r="G886" s="261" t="s">
        <v>298</v>
      </c>
      <c r="H886" s="262" t="s">
        <v>85</v>
      </c>
      <c r="I886" s="346"/>
      <c r="J886" s="245" t="s">
        <v>556</v>
      </c>
      <c r="K886" s="288" t="s">
        <v>158</v>
      </c>
      <c r="L886" s="288" t="s">
        <v>3678</v>
      </c>
      <c r="M886" s="288" t="s">
        <v>3678</v>
      </c>
      <c r="N886" s="281" t="s">
        <v>4217</v>
      </c>
      <c r="O886" s="392" t="s">
        <v>3813</v>
      </c>
      <c r="P886" s="387"/>
      <c r="Q886" s="594" t="s">
        <v>293</v>
      </c>
      <c r="R886" s="1188" t="s">
        <v>3812</v>
      </c>
      <c r="S886" s="279">
        <v>37927</v>
      </c>
      <c r="T886" s="250"/>
      <c r="U886" s="251" t="s">
        <v>54</v>
      </c>
      <c r="V886" s="245" t="s">
        <v>5948</v>
      </c>
      <c r="W886" s="250" t="s">
        <v>295</v>
      </c>
      <c r="X886" s="197" t="s">
        <v>475</v>
      </c>
      <c r="Y886" s="981" t="s">
        <v>5950</v>
      </c>
      <c r="Z886" s="246">
        <v>45309</v>
      </c>
      <c r="AA886" s="246"/>
      <c r="AB886" s="288" t="s">
        <v>4250</v>
      </c>
      <c r="AC886" s="223" t="s">
        <v>946</v>
      </c>
      <c r="AD886" s="299" t="s">
        <v>467</v>
      </c>
      <c r="AE886" s="494">
        <v>45107</v>
      </c>
      <c r="AF886" s="494">
        <v>45472</v>
      </c>
      <c r="AG886" s="392"/>
      <c r="AH886" s="283"/>
      <c r="AI886" s="296" t="s">
        <v>1351</v>
      </c>
      <c r="AJ886" s="303" t="s">
        <v>136</v>
      </c>
      <c r="AK886" s="241">
        <v>4</v>
      </c>
      <c r="AL886" s="123" t="s">
        <v>477</v>
      </c>
      <c r="AM886" s="123" t="s">
        <v>460</v>
      </c>
      <c r="AN886" s="138"/>
      <c r="AO886" s="138"/>
      <c r="AP886" s="115"/>
      <c r="AQ886" s="115"/>
      <c r="AR886" s="115"/>
      <c r="AS886" s="115"/>
      <c r="AT886" s="116"/>
    </row>
    <row r="887" spans="1:46" ht="39" customHeight="1" x14ac:dyDescent="0.25">
      <c r="A887" s="1468">
        <v>886</v>
      </c>
      <c r="B887" s="141">
        <v>2</v>
      </c>
      <c r="C887" s="260" t="s">
        <v>311</v>
      </c>
      <c r="D887" s="241"/>
      <c r="E887" s="241"/>
      <c r="F887" s="241"/>
      <c r="G887" s="261" t="s">
        <v>312</v>
      </c>
      <c r="H887" s="262" t="s">
        <v>85</v>
      </c>
      <c r="I887" s="346"/>
      <c r="J887" s="245" t="s">
        <v>556</v>
      </c>
      <c r="K887" s="257"/>
      <c r="L887" s="299" t="s">
        <v>1508</v>
      </c>
      <c r="M887" s="299" t="s">
        <v>1708</v>
      </c>
      <c r="N887" s="245"/>
      <c r="O887" s="392" t="s">
        <v>3065</v>
      </c>
      <c r="P887" s="627"/>
      <c r="Q887" s="594" t="s">
        <v>293</v>
      </c>
      <c r="R887" s="999" t="s">
        <v>1626</v>
      </c>
      <c r="S887" s="279">
        <v>38241</v>
      </c>
      <c r="T887" s="289"/>
      <c r="U887" s="251" t="s">
        <v>54</v>
      </c>
      <c r="V887" s="197"/>
      <c r="W887" s="197" t="s">
        <v>295</v>
      </c>
      <c r="X887" s="197"/>
      <c r="Y887" s="197"/>
      <c r="Z887" s="246"/>
      <c r="AA887" s="281"/>
      <c r="AB887" s="250" t="s">
        <v>4431</v>
      </c>
      <c r="AC887" s="223" t="s">
        <v>946</v>
      </c>
      <c r="AD887" s="245"/>
      <c r="AE887" s="494">
        <v>45112</v>
      </c>
      <c r="AF887" s="494">
        <v>45477</v>
      </c>
      <c r="AG887" s="241"/>
      <c r="AH887" s="253"/>
      <c r="AI887" s="284" t="s">
        <v>1351</v>
      </c>
      <c r="AJ887" s="303" t="s">
        <v>136</v>
      </c>
      <c r="AK887" s="241">
        <v>4</v>
      </c>
      <c r="AL887" s="123" t="s">
        <v>477</v>
      </c>
      <c r="AM887" s="123" t="s">
        <v>460</v>
      </c>
      <c r="AN887" s="138"/>
      <c r="AO887" s="138"/>
      <c r="AP887" s="115"/>
      <c r="AQ887" s="115"/>
      <c r="AR887" s="115"/>
      <c r="AS887" s="115"/>
      <c r="AT887" s="115"/>
    </row>
    <row r="888" spans="1:46" ht="39" customHeight="1" x14ac:dyDescent="0.25">
      <c r="A888" s="1468">
        <v>887</v>
      </c>
      <c r="B888" s="141">
        <v>2</v>
      </c>
      <c r="C888" s="260" t="s">
        <v>317</v>
      </c>
      <c r="D888" s="241"/>
      <c r="E888" s="241"/>
      <c r="F888" s="241"/>
      <c r="G888" s="261" t="s">
        <v>318</v>
      </c>
      <c r="H888" s="262" t="s">
        <v>87</v>
      </c>
      <c r="I888" s="357"/>
      <c r="J888" s="245" t="s">
        <v>561</v>
      </c>
      <c r="K888" s="257"/>
      <c r="L888" s="299" t="s">
        <v>1508</v>
      </c>
      <c r="M888" s="299" t="s">
        <v>1708</v>
      </c>
      <c r="N888" s="245"/>
      <c r="O888" s="392" t="s">
        <v>3045</v>
      </c>
      <c r="P888" s="627"/>
      <c r="Q888" s="594" t="s">
        <v>293</v>
      </c>
      <c r="R888" s="381" t="s">
        <v>1624</v>
      </c>
      <c r="S888" s="279">
        <v>37584</v>
      </c>
      <c r="T888" s="289"/>
      <c r="U888" s="251" t="s">
        <v>54</v>
      </c>
      <c r="V888" s="197"/>
      <c r="W888" s="197" t="s">
        <v>295</v>
      </c>
      <c r="X888" s="197"/>
      <c r="Y888" s="197"/>
      <c r="Z888" s="246"/>
      <c r="AA888" s="281"/>
      <c r="AB888" s="250" t="s">
        <v>4433</v>
      </c>
      <c r="AC888" s="223" t="s">
        <v>946</v>
      </c>
      <c r="AD888" s="245"/>
      <c r="AE888" s="494">
        <v>45112</v>
      </c>
      <c r="AF888" s="494">
        <v>45477</v>
      </c>
      <c r="AG888" s="241"/>
      <c r="AH888" s="253"/>
      <c r="AI888" s="284" t="s">
        <v>1351</v>
      </c>
      <c r="AJ888" s="303" t="s">
        <v>136</v>
      </c>
      <c r="AK888" s="241">
        <v>4</v>
      </c>
      <c r="AL888" s="123" t="s">
        <v>477</v>
      </c>
      <c r="AM888" s="123" t="s">
        <v>460</v>
      </c>
      <c r="AN888" s="110"/>
      <c r="AO888" s="151"/>
      <c r="AP888" s="115"/>
      <c r="AQ888" s="115"/>
      <c r="AR888" s="115"/>
      <c r="AS888" s="115"/>
      <c r="AT888" s="115"/>
    </row>
    <row r="889" spans="1:46" ht="39" customHeight="1" x14ac:dyDescent="0.25">
      <c r="A889" s="1468">
        <v>888</v>
      </c>
      <c r="B889" s="146">
        <v>2</v>
      </c>
      <c r="C889" s="260" t="s">
        <v>319</v>
      </c>
      <c r="D889" s="241"/>
      <c r="E889" s="241"/>
      <c r="F889" s="241"/>
      <c r="G889" s="261" t="s">
        <v>320</v>
      </c>
      <c r="H889" s="262" t="s">
        <v>87</v>
      </c>
      <c r="I889" s="357"/>
      <c r="J889" s="245" t="s">
        <v>561</v>
      </c>
      <c r="K889" s="216"/>
      <c r="L889" s="288" t="s">
        <v>5144</v>
      </c>
      <c r="M889" s="288" t="s">
        <v>5144</v>
      </c>
      <c r="N889" s="245"/>
      <c r="O889" s="1392" t="s">
        <v>5242</v>
      </c>
      <c r="P889" s="627"/>
      <c r="Q889" s="380" t="s">
        <v>87</v>
      </c>
      <c r="R889" s="1003" t="s">
        <v>5196</v>
      </c>
      <c r="S889" s="279">
        <v>37615</v>
      </c>
      <c r="T889" s="289"/>
      <c r="U889" s="251" t="s">
        <v>54</v>
      </c>
      <c r="V889" s="245" t="s">
        <v>5171</v>
      </c>
      <c r="W889" s="250" t="s">
        <v>295</v>
      </c>
      <c r="X889" s="197"/>
      <c r="Y889" s="981" t="s">
        <v>5829</v>
      </c>
      <c r="Z889" s="246">
        <v>45260</v>
      </c>
      <c r="AA889" s="281"/>
      <c r="AB889" s="288" t="s">
        <v>5280</v>
      </c>
      <c r="AC889" s="223" t="s">
        <v>946</v>
      </c>
      <c r="AD889" s="245" t="s">
        <v>467</v>
      </c>
      <c r="AE889" s="494">
        <v>45256</v>
      </c>
      <c r="AF889" s="494">
        <v>45621</v>
      </c>
      <c r="AG889" s="241"/>
      <c r="AH889" s="253"/>
      <c r="AI889" s="296" t="s">
        <v>4208</v>
      </c>
      <c r="AJ889" s="303" t="s">
        <v>136</v>
      </c>
      <c r="AK889" s="241">
        <v>4</v>
      </c>
      <c r="AL889" s="123" t="s">
        <v>477</v>
      </c>
      <c r="AM889" s="123" t="s">
        <v>460</v>
      </c>
      <c r="AN889" s="110"/>
      <c r="AO889" s="129"/>
      <c r="AP889" s="164"/>
      <c r="AQ889" s="136"/>
      <c r="AR889" s="115"/>
      <c r="AS889" s="115"/>
      <c r="AT889" s="116"/>
    </row>
    <row r="890" spans="1:46" ht="39" customHeight="1" x14ac:dyDescent="0.25">
      <c r="A890" s="1468">
        <v>889</v>
      </c>
      <c r="B890" s="141">
        <v>2</v>
      </c>
      <c r="C890" s="378" t="s">
        <v>321</v>
      </c>
      <c r="D890" s="303"/>
      <c r="E890" s="241"/>
      <c r="F890" s="241"/>
      <c r="G890" s="261" t="s">
        <v>322</v>
      </c>
      <c r="H890" s="262" t="s">
        <v>87</v>
      </c>
      <c r="I890" s="357"/>
      <c r="J890" s="245" t="s">
        <v>561</v>
      </c>
      <c r="K890" s="216"/>
      <c r="L890" s="299" t="s">
        <v>1508</v>
      </c>
      <c r="M890" s="299" t="s">
        <v>1708</v>
      </c>
      <c r="N890" s="245"/>
      <c r="O890" s="392" t="s">
        <v>3087</v>
      </c>
      <c r="P890" s="627"/>
      <c r="Q890" s="594" t="s">
        <v>293</v>
      </c>
      <c r="R890" s="381" t="s">
        <v>1629</v>
      </c>
      <c r="S890" s="279">
        <v>37883</v>
      </c>
      <c r="T890" s="289"/>
      <c r="U890" s="251" t="s">
        <v>54</v>
      </c>
      <c r="V890" s="197"/>
      <c r="W890" s="197" t="s">
        <v>295</v>
      </c>
      <c r="X890" s="197"/>
      <c r="Y890" s="197"/>
      <c r="Z890" s="246"/>
      <c r="AA890" s="281"/>
      <c r="AB890" s="197" t="s">
        <v>4434</v>
      </c>
      <c r="AC890" s="223" t="s">
        <v>946</v>
      </c>
      <c r="AD890" s="245"/>
      <c r="AE890" s="494">
        <v>45113</v>
      </c>
      <c r="AF890" s="494">
        <v>45478</v>
      </c>
      <c r="AG890" s="241"/>
      <c r="AH890" s="253"/>
      <c r="AI890" s="284" t="s">
        <v>1351</v>
      </c>
      <c r="AJ890" s="303" t="s">
        <v>136</v>
      </c>
      <c r="AK890" s="241">
        <v>4</v>
      </c>
      <c r="AL890" s="123" t="s">
        <v>477</v>
      </c>
      <c r="AM890" s="123" t="s">
        <v>460</v>
      </c>
      <c r="AN890" s="151"/>
      <c r="AO890" s="151"/>
      <c r="AP890" s="115"/>
      <c r="AQ890" s="115"/>
      <c r="AR890" s="115"/>
      <c r="AS890" s="115"/>
      <c r="AT890" s="115"/>
    </row>
    <row r="891" spans="1:46" ht="39" customHeight="1" x14ac:dyDescent="0.25">
      <c r="A891" s="1468">
        <v>890</v>
      </c>
      <c r="B891" s="141">
        <v>1</v>
      </c>
      <c r="C891" s="378" t="s">
        <v>323</v>
      </c>
      <c r="D891" s="303"/>
      <c r="E891" s="241"/>
      <c r="F891" s="241"/>
      <c r="G891" s="261" t="s">
        <v>324</v>
      </c>
      <c r="H891" s="262" t="s">
        <v>87</v>
      </c>
      <c r="I891" s="357"/>
      <c r="J891" s="245" t="s">
        <v>561</v>
      </c>
      <c r="K891" s="257"/>
      <c r="L891" s="299" t="s">
        <v>1508</v>
      </c>
      <c r="M891" s="299" t="s">
        <v>1708</v>
      </c>
      <c r="N891" s="245"/>
      <c r="O891" s="392" t="s">
        <v>3131</v>
      </c>
      <c r="P891" s="627"/>
      <c r="Q891" s="594" t="s">
        <v>293</v>
      </c>
      <c r="R891" s="381" t="s">
        <v>1635</v>
      </c>
      <c r="S891" s="279">
        <v>37956</v>
      </c>
      <c r="T891" s="289"/>
      <c r="U891" s="251" t="s">
        <v>54</v>
      </c>
      <c r="V891" s="197"/>
      <c r="W891" s="197" t="s">
        <v>295</v>
      </c>
      <c r="X891" s="197"/>
      <c r="Y891" s="197"/>
      <c r="Z891" s="246"/>
      <c r="AA891" s="281"/>
      <c r="AB891" s="245"/>
      <c r="AC891" s="223" t="s">
        <v>4227</v>
      </c>
      <c r="AD891" s="245"/>
      <c r="AE891" s="494"/>
      <c r="AF891" s="494"/>
      <c r="AG891" s="241"/>
      <c r="AH891" s="253"/>
      <c r="AI891" s="284" t="s">
        <v>1351</v>
      </c>
      <c r="AJ891" s="303" t="s">
        <v>136</v>
      </c>
      <c r="AK891" s="241">
        <v>4</v>
      </c>
      <c r="AL891" s="123" t="s">
        <v>477</v>
      </c>
      <c r="AM891" s="123" t="s">
        <v>460</v>
      </c>
      <c r="AN891" s="167"/>
      <c r="AO891" s="151"/>
      <c r="AP891" s="115"/>
      <c r="AQ891" s="115"/>
      <c r="AR891" s="115"/>
      <c r="AS891" s="115"/>
      <c r="AT891" s="115"/>
    </row>
    <row r="892" spans="1:46" ht="39" customHeight="1" x14ac:dyDescent="0.25">
      <c r="A892" s="1468">
        <v>891</v>
      </c>
      <c r="B892" s="161">
        <v>1</v>
      </c>
      <c r="C892" s="503" t="s">
        <v>325</v>
      </c>
      <c r="D892" s="471"/>
      <c r="E892" s="471"/>
      <c r="F892" s="471"/>
      <c r="G892" s="472" t="s">
        <v>324</v>
      </c>
      <c r="H892" s="1302" t="s">
        <v>87</v>
      </c>
      <c r="I892" s="492"/>
      <c r="J892" s="264" t="s">
        <v>561</v>
      </c>
      <c r="K892" s="268"/>
      <c r="L892" s="496" t="s">
        <v>1508</v>
      </c>
      <c r="M892" s="496" t="s">
        <v>1708</v>
      </c>
      <c r="N892" s="264"/>
      <c r="O892" s="626" t="s">
        <v>2931</v>
      </c>
      <c r="P892" s="1363"/>
      <c r="Q892" s="802" t="s">
        <v>293</v>
      </c>
      <c r="R892" s="572" t="s">
        <v>1604</v>
      </c>
      <c r="S892" s="279">
        <v>37800</v>
      </c>
      <c r="T892" s="440"/>
      <c r="U892" s="251" t="s">
        <v>54</v>
      </c>
      <c r="V892" s="268"/>
      <c r="W892" s="268" t="s">
        <v>295</v>
      </c>
      <c r="X892" s="1410"/>
      <c r="Y892" s="268"/>
      <c r="Z892" s="405"/>
      <c r="AA892" s="438"/>
      <c r="AB892" s="836" t="s">
        <v>4435</v>
      </c>
      <c r="AC892" s="474" t="s">
        <v>4227</v>
      </c>
      <c r="AD892" s="264"/>
      <c r="AE892" s="881">
        <v>45114</v>
      </c>
      <c r="AF892" s="881">
        <v>45479</v>
      </c>
      <c r="AG892" s="471"/>
      <c r="AH892" s="803"/>
      <c r="AI892" s="1353" t="s">
        <v>1351</v>
      </c>
      <c r="AJ892" s="470" t="s">
        <v>136</v>
      </c>
      <c r="AK892" s="471">
        <v>4</v>
      </c>
      <c r="AL892" s="176" t="s">
        <v>477</v>
      </c>
      <c r="AM892" s="176" t="s">
        <v>460</v>
      </c>
      <c r="AN892" s="151"/>
      <c r="AO892" s="167"/>
      <c r="AP892" s="115"/>
      <c r="AQ892" s="115"/>
      <c r="AR892" s="115"/>
      <c r="AS892" s="115"/>
      <c r="AT892" s="115"/>
    </row>
    <row r="893" spans="1:46" ht="39" customHeight="1" x14ac:dyDescent="0.25">
      <c r="A893" s="1468">
        <v>892</v>
      </c>
      <c r="B893" s="987"/>
      <c r="C893" s="989"/>
      <c r="D893" s="664"/>
      <c r="E893" s="664"/>
      <c r="F893" s="664"/>
      <c r="G893" s="227"/>
      <c r="H893" s="228"/>
      <c r="I893" s="228"/>
      <c r="J893" s="229"/>
      <c r="K893" s="227"/>
      <c r="L893" s="229"/>
      <c r="M893" s="229"/>
      <c r="N893" s="229"/>
      <c r="O893" s="309"/>
      <c r="P893" s="230" t="s">
        <v>478</v>
      </c>
      <c r="Q893" s="726"/>
      <c r="R893" s="1004"/>
      <c r="S893" s="279"/>
      <c r="T893" s="232"/>
      <c r="U893" s="250"/>
      <c r="V893" s="232"/>
      <c r="W893" s="232"/>
      <c r="X893" s="232"/>
      <c r="Y893" s="232"/>
      <c r="Z893" s="233"/>
      <c r="AA893" s="234"/>
      <c r="AB893" s="235"/>
      <c r="AC893" s="236"/>
      <c r="AD893" s="235"/>
      <c r="AE893" s="1412"/>
      <c r="AF893" s="1412"/>
      <c r="AG893" s="664"/>
      <c r="AH893" s="238"/>
      <c r="AI893" s="239"/>
      <c r="AJ893" s="576"/>
      <c r="AK893" s="664"/>
      <c r="AL893" s="113"/>
      <c r="AM893" s="113"/>
      <c r="AN893" s="163"/>
      <c r="AO893" s="114"/>
      <c r="AP893" s="115"/>
      <c r="AQ893" s="115"/>
      <c r="AR893" s="115"/>
      <c r="AS893" s="115"/>
      <c r="AT893" s="116"/>
    </row>
    <row r="894" spans="1:46" ht="39" customHeight="1" x14ac:dyDescent="0.25">
      <c r="A894" s="1468">
        <v>893</v>
      </c>
      <c r="B894" s="174">
        <v>14</v>
      </c>
      <c r="C894" s="793" t="s">
        <v>339</v>
      </c>
      <c r="D894" s="476"/>
      <c r="E894" s="442" t="s">
        <v>47</v>
      </c>
      <c r="F894" s="476"/>
      <c r="G894" s="757" t="s">
        <v>340</v>
      </c>
      <c r="H894" s="758" t="s">
        <v>78</v>
      </c>
      <c r="I894" s="758"/>
      <c r="J894" s="276">
        <v>300</v>
      </c>
      <c r="K894" s="277" t="s">
        <v>1095</v>
      </c>
      <c r="L894" s="441" t="s">
        <v>1096</v>
      </c>
      <c r="M894" s="441" t="s">
        <v>1096</v>
      </c>
      <c r="N894" s="276"/>
      <c r="O894" s="277" t="s">
        <v>1097</v>
      </c>
      <c r="P894" s="278"/>
      <c r="Q894" s="978" t="s">
        <v>78</v>
      </c>
      <c r="R894" s="1411" t="s">
        <v>2359</v>
      </c>
      <c r="S894" s="279">
        <v>34751</v>
      </c>
      <c r="T894" s="443"/>
      <c r="U894" s="251" t="s">
        <v>54</v>
      </c>
      <c r="V894" s="280" t="s">
        <v>1098</v>
      </c>
      <c r="W894" s="280" t="s">
        <v>1099</v>
      </c>
      <c r="X894" s="280" t="s">
        <v>475</v>
      </c>
      <c r="Y894" s="280" t="s">
        <v>1100</v>
      </c>
      <c r="Z894" s="486">
        <v>44680</v>
      </c>
      <c r="AA894" s="486"/>
      <c r="AB894" s="441"/>
      <c r="AC894" s="488" t="s">
        <v>946</v>
      </c>
      <c r="AD894" s="441" t="s">
        <v>128</v>
      </c>
      <c r="AE894" s="494">
        <v>43974</v>
      </c>
      <c r="AF894" s="494">
        <v>45099</v>
      </c>
      <c r="AG894" s="476" t="s">
        <v>61</v>
      </c>
      <c r="AH894" s="489"/>
      <c r="AI894" s="721"/>
      <c r="AJ894" s="755" t="s">
        <v>62</v>
      </c>
      <c r="AK894" s="442">
        <v>1</v>
      </c>
      <c r="AL894" s="175" t="s">
        <v>479</v>
      </c>
      <c r="AM894" s="175" t="s">
        <v>460</v>
      </c>
      <c r="AN894" s="137"/>
      <c r="AO894" s="800"/>
      <c r="AP894" s="115"/>
      <c r="AQ894" s="115"/>
      <c r="AR894" s="115"/>
      <c r="AS894" s="115"/>
      <c r="AT894" s="115"/>
    </row>
    <row r="895" spans="1:46" ht="39" customHeight="1" x14ac:dyDescent="0.25">
      <c r="A895" s="1468">
        <v>894</v>
      </c>
      <c r="B895" s="131">
        <v>9</v>
      </c>
      <c r="C895" s="311" t="s">
        <v>284</v>
      </c>
      <c r="D895" s="241"/>
      <c r="E895" s="312" t="s">
        <v>47</v>
      </c>
      <c r="F895" s="241"/>
      <c r="G895" s="313" t="s">
        <v>285</v>
      </c>
      <c r="H895" s="314" t="s">
        <v>283</v>
      </c>
      <c r="I895" s="350"/>
      <c r="J895" s="281">
        <v>410</v>
      </c>
      <c r="K895" s="216"/>
      <c r="L895" s="281"/>
      <c r="M895" s="281"/>
      <c r="N895" s="216"/>
      <c r="O895" s="216" t="s">
        <v>2443</v>
      </c>
      <c r="P895" s="402" t="s">
        <v>1828</v>
      </c>
      <c r="Q895" s="353" t="s">
        <v>283</v>
      </c>
      <c r="R895" s="1140" t="s">
        <v>2442</v>
      </c>
      <c r="S895" s="279">
        <v>28392</v>
      </c>
      <c r="T895" s="197"/>
      <c r="U895" s="251" t="s">
        <v>54</v>
      </c>
      <c r="V895" s="280" t="s">
        <v>3959</v>
      </c>
      <c r="W895" s="197" t="s">
        <v>70</v>
      </c>
      <c r="X895" s="289" t="s">
        <v>71</v>
      </c>
      <c r="Y895" s="280" t="s">
        <v>4351</v>
      </c>
      <c r="Z895" s="486">
        <v>45226</v>
      </c>
      <c r="AA895" s="246"/>
      <c r="AB895" s="361"/>
      <c r="AC895" s="223"/>
      <c r="AD895" s="281"/>
      <c r="AE895" s="494"/>
      <c r="AF895" s="494"/>
      <c r="AG895" s="241"/>
      <c r="AH895" s="283"/>
      <c r="AI895" s="296"/>
      <c r="AJ895" s="317" t="s">
        <v>47</v>
      </c>
      <c r="AK895" s="312">
        <v>2</v>
      </c>
      <c r="AL895" s="123" t="s">
        <v>479</v>
      </c>
      <c r="AM895" s="123" t="s">
        <v>460</v>
      </c>
      <c r="AN895" s="157"/>
      <c r="AO895" s="157"/>
      <c r="AP895" s="115"/>
      <c r="AQ895" s="115"/>
      <c r="AR895" s="115"/>
      <c r="AS895" s="115"/>
      <c r="AT895" s="115"/>
    </row>
    <row r="896" spans="1:46" ht="39" customHeight="1" x14ac:dyDescent="0.25">
      <c r="A896" s="1468">
        <v>895</v>
      </c>
      <c r="B896" s="117"/>
      <c r="C896" s="989"/>
      <c r="D896" s="664"/>
      <c r="E896" s="664"/>
      <c r="F896" s="664"/>
      <c r="G896" s="227"/>
      <c r="H896" s="228"/>
      <c r="I896" s="228"/>
      <c r="J896" s="229"/>
      <c r="K896" s="227"/>
      <c r="L896" s="229"/>
      <c r="M896" s="229"/>
      <c r="N896" s="229"/>
      <c r="O896" s="309"/>
      <c r="P896" s="230" t="s">
        <v>342</v>
      </c>
      <c r="Q896" s="726"/>
      <c r="R896" s="1004"/>
      <c r="S896" s="279"/>
      <c r="T896" s="232"/>
      <c r="U896" s="250"/>
      <c r="V896" s="232"/>
      <c r="W896" s="232"/>
      <c r="X896" s="232"/>
      <c r="Y896" s="232"/>
      <c r="Z896" s="233"/>
      <c r="AA896" s="234"/>
      <c r="AB896" s="235"/>
      <c r="AC896" s="236"/>
      <c r="AD896" s="235"/>
      <c r="AE896" s="1412"/>
      <c r="AF896" s="1412"/>
      <c r="AG896" s="664"/>
      <c r="AH896" s="238"/>
      <c r="AI896" s="239"/>
      <c r="AJ896" s="576"/>
      <c r="AK896" s="664"/>
      <c r="AL896" s="113"/>
      <c r="AM896" s="113"/>
      <c r="AN896" s="163"/>
      <c r="AO896" s="114"/>
      <c r="AP896" s="115"/>
      <c r="AQ896" s="115"/>
      <c r="AR896" s="115"/>
      <c r="AS896" s="115"/>
      <c r="AT896" s="116"/>
    </row>
    <row r="897" spans="1:46" ht="39" customHeight="1" x14ac:dyDescent="0.25">
      <c r="A897" s="1468">
        <v>896</v>
      </c>
      <c r="B897" s="119">
        <v>10</v>
      </c>
      <c r="C897" s="240" t="s">
        <v>343</v>
      </c>
      <c r="D897" s="241"/>
      <c r="E897" s="242" t="s">
        <v>47</v>
      </c>
      <c r="F897" s="241"/>
      <c r="G897" s="243" t="s">
        <v>340</v>
      </c>
      <c r="H897" s="244" t="s">
        <v>83</v>
      </c>
      <c r="I897" s="340"/>
      <c r="J897" s="245">
        <v>302</v>
      </c>
      <c r="K897" s="197" t="s">
        <v>50</v>
      </c>
      <c r="L897" s="281" t="s">
        <v>1908</v>
      </c>
      <c r="M897" s="281" t="s">
        <v>1908</v>
      </c>
      <c r="N897" s="245"/>
      <c r="O897" s="634" t="s">
        <v>3311</v>
      </c>
      <c r="P897" s="247"/>
      <c r="Q897" s="326" t="s">
        <v>119</v>
      </c>
      <c r="R897" s="990" t="s">
        <v>1949</v>
      </c>
      <c r="S897" s="279">
        <v>36773</v>
      </c>
      <c r="T897" s="250"/>
      <c r="U897" s="251" t="s">
        <v>54</v>
      </c>
      <c r="V897" s="197" t="s">
        <v>3296</v>
      </c>
      <c r="W897" s="197" t="s">
        <v>295</v>
      </c>
      <c r="X897" s="197" t="s">
        <v>475</v>
      </c>
      <c r="Y897" s="288" t="s">
        <v>3300</v>
      </c>
      <c r="Z897" s="246">
        <v>45198</v>
      </c>
      <c r="AA897" s="246"/>
      <c r="AB897" s="281"/>
      <c r="AC897" s="223"/>
      <c r="AD897" s="281"/>
      <c r="AE897" s="494"/>
      <c r="AF897" s="494"/>
      <c r="AG897" s="241"/>
      <c r="AH897" s="283"/>
      <c r="AI897" s="296"/>
      <c r="AJ897" s="255" t="s">
        <v>62</v>
      </c>
      <c r="AK897" s="242">
        <v>1</v>
      </c>
      <c r="AL897" s="123" t="s">
        <v>479</v>
      </c>
      <c r="AM897" s="123" t="s">
        <v>460</v>
      </c>
      <c r="AN897" s="137"/>
      <c r="AO897" s="137"/>
      <c r="AP897" s="115"/>
      <c r="AQ897" s="115"/>
      <c r="AR897" s="115"/>
      <c r="AS897" s="115"/>
      <c r="AT897" s="115"/>
    </row>
    <row r="898" spans="1:46" ht="39" customHeight="1" x14ac:dyDescent="0.25">
      <c r="A898" s="1468">
        <v>897</v>
      </c>
      <c r="B898" s="128">
        <v>7</v>
      </c>
      <c r="C898" s="290" t="s">
        <v>344</v>
      </c>
      <c r="D898" s="291"/>
      <c r="E898" s="291" t="s">
        <v>47</v>
      </c>
      <c r="F898" s="291"/>
      <c r="G898" s="292" t="s">
        <v>345</v>
      </c>
      <c r="H898" s="293" t="s">
        <v>132</v>
      </c>
      <c r="I898" s="346">
        <v>178</v>
      </c>
      <c r="J898" s="256">
        <v>403</v>
      </c>
      <c r="K898" s="216"/>
      <c r="L898" s="299"/>
      <c r="M898" s="299"/>
      <c r="N898" s="245"/>
      <c r="O898" s="216"/>
      <c r="P898" s="372"/>
      <c r="Q898" s="344"/>
      <c r="R898" s="982" t="s">
        <v>66</v>
      </c>
      <c r="S898" s="279"/>
      <c r="T898" s="289"/>
      <c r="U898" s="250"/>
      <c r="V898" s="197"/>
      <c r="W898" s="197"/>
      <c r="X898" s="197"/>
      <c r="Y898" s="288"/>
      <c r="Z898" s="246"/>
      <c r="AA898" s="252"/>
      <c r="AB898" s="245"/>
      <c r="AC898" s="223"/>
      <c r="AD898" s="245"/>
      <c r="AE898" s="494"/>
      <c r="AF898" s="494"/>
      <c r="AG898" s="241"/>
      <c r="AH898" s="253"/>
      <c r="AI898" s="284"/>
      <c r="AJ898" s="348"/>
      <c r="AK898" s="348">
        <v>3</v>
      </c>
      <c r="AL898" s="123" t="s">
        <v>479</v>
      </c>
      <c r="AM898" s="123" t="s">
        <v>460</v>
      </c>
      <c r="AN898" s="170"/>
      <c r="AO898" s="138"/>
      <c r="AP898" s="115"/>
      <c r="AQ898" s="115"/>
      <c r="AR898" s="115"/>
      <c r="AS898" s="115"/>
      <c r="AT898" s="115"/>
    </row>
    <row r="899" spans="1:46" ht="39" customHeight="1" x14ac:dyDescent="0.25">
      <c r="A899" s="1468">
        <v>898</v>
      </c>
      <c r="B899" s="117">
        <v>3</v>
      </c>
      <c r="C899" s="260" t="s">
        <v>346</v>
      </c>
      <c r="D899" s="241"/>
      <c r="E899" s="241"/>
      <c r="F899" s="241"/>
      <c r="G899" s="261" t="s">
        <v>347</v>
      </c>
      <c r="H899" s="262" t="s">
        <v>85</v>
      </c>
      <c r="I899" s="357"/>
      <c r="J899" s="245" t="s">
        <v>556</v>
      </c>
      <c r="K899" s="280"/>
      <c r="L899" s="288"/>
      <c r="M899" s="288"/>
      <c r="N899" s="276"/>
      <c r="O899" s="1392"/>
      <c r="P899" s="720"/>
      <c r="Q899" s="380"/>
      <c r="R899" s="1003" t="s">
        <v>66</v>
      </c>
      <c r="S899" s="279"/>
      <c r="T899" s="443"/>
      <c r="U899" s="250"/>
      <c r="V899" s="245"/>
      <c r="W899" s="250"/>
      <c r="X899" s="197"/>
      <c r="Y899" s="981"/>
      <c r="Z899" s="246"/>
      <c r="AA899" s="486"/>
      <c r="AB899" s="288"/>
      <c r="AC899" s="223"/>
      <c r="AD899" s="245"/>
      <c r="AE899" s="494"/>
      <c r="AF899" s="494"/>
      <c r="AG899" s="476"/>
      <c r="AH899" s="489"/>
      <c r="AI899" s="296"/>
      <c r="AJ899" s="303"/>
      <c r="AK899" s="241">
        <v>4</v>
      </c>
      <c r="AL899" s="123" t="s">
        <v>479</v>
      </c>
      <c r="AM899" s="123" t="s">
        <v>460</v>
      </c>
      <c r="AN899" s="151"/>
      <c r="AO899" s="151"/>
      <c r="AP899" s="115"/>
      <c r="AQ899" s="115"/>
      <c r="AR899" s="115"/>
      <c r="AS899" s="115"/>
      <c r="AT899" s="115"/>
    </row>
    <row r="900" spans="1:46" ht="39" customHeight="1" x14ac:dyDescent="0.25">
      <c r="A900" s="1468">
        <v>899</v>
      </c>
      <c r="B900" s="161">
        <v>3</v>
      </c>
      <c r="C900" s="501" t="s">
        <v>348</v>
      </c>
      <c r="D900" s="241"/>
      <c r="E900" s="241"/>
      <c r="F900" s="241"/>
      <c r="G900" s="261" t="s">
        <v>349</v>
      </c>
      <c r="H900" s="262" t="s">
        <v>85</v>
      </c>
      <c r="I900" s="364"/>
      <c r="J900" s="245" t="s">
        <v>556</v>
      </c>
      <c r="K900" s="216"/>
      <c r="L900" s="288" t="s">
        <v>5144</v>
      </c>
      <c r="M900" s="288" t="s">
        <v>5144</v>
      </c>
      <c r="N900" s="366"/>
      <c r="O900" s="1392" t="s">
        <v>5243</v>
      </c>
      <c r="P900" s="402"/>
      <c r="Q900" s="380" t="s">
        <v>87</v>
      </c>
      <c r="R900" s="1003" t="s">
        <v>5197</v>
      </c>
      <c r="S900" s="279">
        <v>38341</v>
      </c>
      <c r="T900" s="197"/>
      <c r="U900" s="251" t="s">
        <v>54</v>
      </c>
      <c r="V900" s="245" t="s">
        <v>5171</v>
      </c>
      <c r="W900" s="250" t="s">
        <v>295</v>
      </c>
      <c r="X900" s="197"/>
      <c r="Y900" s="981" t="s">
        <v>5829</v>
      </c>
      <c r="Z900" s="246">
        <v>45260</v>
      </c>
      <c r="AA900" s="252"/>
      <c r="AB900" s="288" t="s">
        <v>5284</v>
      </c>
      <c r="AC900" s="223" t="s">
        <v>946</v>
      </c>
      <c r="AD900" s="245" t="s">
        <v>467</v>
      </c>
      <c r="AE900" s="494">
        <v>45257</v>
      </c>
      <c r="AF900" s="494">
        <v>45622</v>
      </c>
      <c r="AG900" s="241"/>
      <c r="AH900" s="283"/>
      <c r="AI900" s="296" t="s">
        <v>4208</v>
      </c>
      <c r="AJ900" s="303" t="s">
        <v>136</v>
      </c>
      <c r="AK900" s="241">
        <v>4</v>
      </c>
      <c r="AL900" s="123" t="s">
        <v>479</v>
      </c>
      <c r="AM900" s="123" t="s">
        <v>460</v>
      </c>
      <c r="AN900" s="151" t="s">
        <v>5764</v>
      </c>
      <c r="AO900" s="151"/>
      <c r="AP900" s="115"/>
      <c r="AQ900" s="115"/>
      <c r="AR900" s="115"/>
      <c r="AS900" s="115"/>
      <c r="AT900" s="115"/>
    </row>
    <row r="901" spans="1:46" ht="39" customHeight="1" x14ac:dyDescent="0.25">
      <c r="A901" s="1468">
        <v>900</v>
      </c>
      <c r="B901" s="146">
        <v>2</v>
      </c>
      <c r="C901" s="260" t="s">
        <v>319</v>
      </c>
      <c r="D901" s="241"/>
      <c r="E901" s="241"/>
      <c r="F901" s="241"/>
      <c r="G901" s="261" t="s">
        <v>350</v>
      </c>
      <c r="H901" s="262" t="s">
        <v>87</v>
      </c>
      <c r="I901" s="357"/>
      <c r="J901" s="245" t="s">
        <v>561</v>
      </c>
      <c r="K901" s="216"/>
      <c r="L901" s="288" t="s">
        <v>5144</v>
      </c>
      <c r="M901" s="288" t="s">
        <v>5144</v>
      </c>
      <c r="N901" s="366"/>
      <c r="O901" s="1392" t="s">
        <v>5244</v>
      </c>
      <c r="P901" s="402"/>
      <c r="Q901" s="380" t="s">
        <v>87</v>
      </c>
      <c r="R901" s="1003" t="s">
        <v>5198</v>
      </c>
      <c r="S901" s="279">
        <v>38026</v>
      </c>
      <c r="T901" s="197"/>
      <c r="U901" s="251" t="s">
        <v>54</v>
      </c>
      <c r="V901" s="245" t="s">
        <v>5171</v>
      </c>
      <c r="W901" s="250" t="s">
        <v>295</v>
      </c>
      <c r="X901" s="197"/>
      <c r="Y901" s="981" t="s">
        <v>5829</v>
      </c>
      <c r="Z901" s="246">
        <v>45260</v>
      </c>
      <c r="AA901" s="246"/>
      <c r="AB901" s="288" t="s">
        <v>5285</v>
      </c>
      <c r="AC901" s="223" t="s">
        <v>946</v>
      </c>
      <c r="AD901" s="245" t="s">
        <v>467</v>
      </c>
      <c r="AE901" s="494">
        <v>45256</v>
      </c>
      <c r="AF901" s="494">
        <v>45621</v>
      </c>
      <c r="AG901" s="241"/>
      <c r="AH901" s="283"/>
      <c r="AI901" s="296" t="s">
        <v>4208</v>
      </c>
      <c r="AJ901" s="303" t="s">
        <v>136</v>
      </c>
      <c r="AK901" s="241">
        <v>4</v>
      </c>
      <c r="AL901" s="123" t="s">
        <v>479</v>
      </c>
      <c r="AM901" s="123" t="s">
        <v>460</v>
      </c>
      <c r="AN901" s="151"/>
      <c r="AO901" s="151"/>
      <c r="AP901" s="115"/>
      <c r="AQ901" s="115"/>
      <c r="AR901" s="115"/>
      <c r="AS901" s="115"/>
      <c r="AT901" s="115"/>
    </row>
    <row r="902" spans="1:46" ht="39" customHeight="1" x14ac:dyDescent="0.25">
      <c r="A902" s="1468">
        <v>901</v>
      </c>
      <c r="B902" s="146">
        <v>2</v>
      </c>
      <c r="C902" s="260" t="s">
        <v>319</v>
      </c>
      <c r="D902" s="241"/>
      <c r="E902" s="241"/>
      <c r="F902" s="241"/>
      <c r="G902" s="261" t="s">
        <v>350</v>
      </c>
      <c r="H902" s="262" t="s">
        <v>87</v>
      </c>
      <c r="I902" s="357"/>
      <c r="J902" s="245" t="s">
        <v>561</v>
      </c>
      <c r="K902" s="216"/>
      <c r="L902" s="281" t="s">
        <v>1527</v>
      </c>
      <c r="M902" s="281" t="s">
        <v>1676</v>
      </c>
      <c r="N902" s="366"/>
      <c r="O902" s="392" t="s">
        <v>2897</v>
      </c>
      <c r="P902" s="402"/>
      <c r="Q902" s="301" t="s">
        <v>87</v>
      </c>
      <c r="R902" s="427" t="s">
        <v>1725</v>
      </c>
      <c r="S902" s="279" t="s">
        <v>4770</v>
      </c>
      <c r="T902" s="197"/>
      <c r="U902" s="251" t="s">
        <v>54</v>
      </c>
      <c r="V902" s="197" t="s">
        <v>3296</v>
      </c>
      <c r="W902" s="197" t="s">
        <v>295</v>
      </c>
      <c r="X902" s="197" t="s">
        <v>475</v>
      </c>
      <c r="Y902" s="288" t="s">
        <v>3300</v>
      </c>
      <c r="Z902" s="246">
        <v>45198</v>
      </c>
      <c r="AA902" s="246"/>
      <c r="AB902" s="296" t="s">
        <v>4436</v>
      </c>
      <c r="AC902" s="223" t="s">
        <v>4219</v>
      </c>
      <c r="AD902" s="376"/>
      <c r="AE902" s="494" t="s">
        <v>4359</v>
      </c>
      <c r="AF902" s="494">
        <v>45477</v>
      </c>
      <c r="AG902" s="241"/>
      <c r="AH902" s="283"/>
      <c r="AI902" s="254" t="s">
        <v>1351</v>
      </c>
      <c r="AJ902" s="303" t="s">
        <v>136</v>
      </c>
      <c r="AK902" s="241">
        <v>4</v>
      </c>
      <c r="AL902" s="123" t="s">
        <v>479</v>
      </c>
      <c r="AM902" s="123" t="s">
        <v>460</v>
      </c>
      <c r="AN902" s="151"/>
      <c r="AO902" s="151"/>
      <c r="AP902" s="115"/>
      <c r="AQ902" s="115"/>
      <c r="AR902" s="115"/>
      <c r="AS902" s="115"/>
      <c r="AT902" s="115"/>
    </row>
    <row r="903" spans="1:46" ht="39" customHeight="1" x14ac:dyDescent="0.25">
      <c r="A903" s="1468">
        <v>902</v>
      </c>
      <c r="B903" s="128">
        <v>4</v>
      </c>
      <c r="C903" s="290" t="s">
        <v>351</v>
      </c>
      <c r="D903" s="291"/>
      <c r="E903" s="291" t="s">
        <v>47</v>
      </c>
      <c r="F903" s="291"/>
      <c r="G903" s="292" t="s">
        <v>352</v>
      </c>
      <c r="H903" s="293" t="s">
        <v>132</v>
      </c>
      <c r="I903" s="346"/>
      <c r="J903" s="256">
        <v>403</v>
      </c>
      <c r="K903" s="216"/>
      <c r="L903" s="299" t="s">
        <v>1508</v>
      </c>
      <c r="M903" s="299" t="s">
        <v>1708</v>
      </c>
      <c r="N903" s="245"/>
      <c r="O903" s="392" t="s">
        <v>2910</v>
      </c>
      <c r="P903" s="627"/>
      <c r="Q903" s="594" t="s">
        <v>293</v>
      </c>
      <c r="R903" s="381" t="s">
        <v>3297</v>
      </c>
      <c r="S903" s="279">
        <v>37900</v>
      </c>
      <c r="T903" s="289"/>
      <c r="U903" s="251" t="s">
        <v>54</v>
      </c>
      <c r="V903" s="197" t="s">
        <v>3296</v>
      </c>
      <c r="W903" s="197" t="s">
        <v>295</v>
      </c>
      <c r="X903" s="197" t="s">
        <v>475</v>
      </c>
      <c r="Y903" s="288" t="s">
        <v>3300</v>
      </c>
      <c r="Z903" s="246">
        <v>45198</v>
      </c>
      <c r="AA903" s="281"/>
      <c r="AB903" s="250" t="s">
        <v>4403</v>
      </c>
      <c r="AC903" s="223" t="s">
        <v>946</v>
      </c>
      <c r="AD903" s="245"/>
      <c r="AE903" s="494">
        <v>45112</v>
      </c>
      <c r="AF903" s="494">
        <v>45477</v>
      </c>
      <c r="AG903" s="241"/>
      <c r="AH903" s="253"/>
      <c r="AI903" s="284" t="s">
        <v>1351</v>
      </c>
      <c r="AJ903" s="303" t="s">
        <v>136</v>
      </c>
      <c r="AK903" s="348">
        <v>3</v>
      </c>
      <c r="AL903" s="123" t="s">
        <v>479</v>
      </c>
      <c r="AM903" s="123" t="s">
        <v>460</v>
      </c>
      <c r="AN903" s="138"/>
      <c r="AO903" s="138"/>
      <c r="AP903" s="115"/>
      <c r="AQ903" s="115"/>
      <c r="AR903" s="115"/>
      <c r="AS903" s="115"/>
      <c r="AT903" s="115"/>
    </row>
    <row r="904" spans="1:46" ht="39" customHeight="1" x14ac:dyDescent="0.25">
      <c r="A904" s="1468">
        <v>903</v>
      </c>
      <c r="B904" s="117">
        <v>3</v>
      </c>
      <c r="C904" s="260" t="s">
        <v>346</v>
      </c>
      <c r="D904" s="241"/>
      <c r="E904" s="241"/>
      <c r="F904" s="241"/>
      <c r="G904" s="261" t="s">
        <v>347</v>
      </c>
      <c r="H904" s="262" t="s">
        <v>85</v>
      </c>
      <c r="I904" s="357"/>
      <c r="J904" s="245" t="s">
        <v>556</v>
      </c>
      <c r="K904" s="305"/>
      <c r="L904" s="299" t="s">
        <v>1508</v>
      </c>
      <c r="M904" s="299" t="s">
        <v>1708</v>
      </c>
      <c r="N904" s="245"/>
      <c r="O904" s="392" t="s">
        <v>3049</v>
      </c>
      <c r="P904" s="627"/>
      <c r="Q904" s="281" t="s">
        <v>293</v>
      </c>
      <c r="R904" s="682" t="s">
        <v>1670</v>
      </c>
      <c r="S904" s="279">
        <v>37797</v>
      </c>
      <c r="T904" s="289"/>
      <c r="U904" s="251" t="s">
        <v>54</v>
      </c>
      <c r="V904" s="197" t="s">
        <v>3296</v>
      </c>
      <c r="W904" s="197" t="s">
        <v>295</v>
      </c>
      <c r="X904" s="197" t="s">
        <v>475</v>
      </c>
      <c r="Y904" s="288" t="s">
        <v>3300</v>
      </c>
      <c r="Z904" s="246">
        <v>45198</v>
      </c>
      <c r="AA904" s="281"/>
      <c r="AB904" s="288" t="s">
        <v>4437</v>
      </c>
      <c r="AC904" s="223" t="s">
        <v>946</v>
      </c>
      <c r="AD904" s="245"/>
      <c r="AE904" s="494">
        <v>45115</v>
      </c>
      <c r="AF904" s="494">
        <v>45480</v>
      </c>
      <c r="AG904" s="241"/>
      <c r="AH904" s="253"/>
      <c r="AI904" s="284" t="s">
        <v>1351</v>
      </c>
      <c r="AJ904" s="303" t="s">
        <v>136</v>
      </c>
      <c r="AK904" s="241">
        <v>4</v>
      </c>
      <c r="AL904" s="123" t="s">
        <v>479</v>
      </c>
      <c r="AM904" s="123" t="s">
        <v>460</v>
      </c>
      <c r="AN904" s="110"/>
      <c r="AO904" s="110"/>
      <c r="AP904" s="115"/>
      <c r="AQ904" s="115"/>
      <c r="AR904" s="115"/>
      <c r="AS904" s="115"/>
      <c r="AT904" s="115"/>
    </row>
    <row r="905" spans="1:46" ht="39" customHeight="1" x14ac:dyDescent="0.25">
      <c r="A905" s="1468">
        <v>904</v>
      </c>
      <c r="B905" s="146">
        <v>2</v>
      </c>
      <c r="C905" s="260" t="s">
        <v>319</v>
      </c>
      <c r="D905" s="241"/>
      <c r="E905" s="241"/>
      <c r="F905" s="241"/>
      <c r="G905" s="261" t="s">
        <v>350</v>
      </c>
      <c r="H905" s="262" t="s">
        <v>87</v>
      </c>
      <c r="I905" s="357"/>
      <c r="J905" s="245" t="s">
        <v>561</v>
      </c>
      <c r="K905" s="216"/>
      <c r="L905" s="299" t="s">
        <v>1508</v>
      </c>
      <c r="M905" s="299" t="s">
        <v>1708</v>
      </c>
      <c r="N905" s="245"/>
      <c r="O905" s="392" t="s">
        <v>3035</v>
      </c>
      <c r="P905" s="627"/>
      <c r="Q905" s="281" t="s">
        <v>293</v>
      </c>
      <c r="R905" s="682" t="s">
        <v>1669</v>
      </c>
      <c r="S905" s="279">
        <v>37715</v>
      </c>
      <c r="T905" s="289"/>
      <c r="U905" s="251" t="s">
        <v>54</v>
      </c>
      <c r="V905" s="197" t="s">
        <v>3296</v>
      </c>
      <c r="W905" s="197" t="s">
        <v>295</v>
      </c>
      <c r="X905" s="197" t="s">
        <v>475</v>
      </c>
      <c r="Y905" s="288" t="s">
        <v>3300</v>
      </c>
      <c r="Z905" s="246">
        <v>45198</v>
      </c>
      <c r="AA905" s="281"/>
      <c r="AB905" s="1239" t="s">
        <v>4438</v>
      </c>
      <c r="AC905" s="223" t="s">
        <v>946</v>
      </c>
      <c r="AD905" s="245"/>
      <c r="AE905" s="494">
        <v>45114</v>
      </c>
      <c r="AF905" s="494">
        <v>45479</v>
      </c>
      <c r="AG905" s="241"/>
      <c r="AH905" s="253"/>
      <c r="AI905" s="284" t="s">
        <v>1351</v>
      </c>
      <c r="AJ905" s="303" t="s">
        <v>136</v>
      </c>
      <c r="AK905" s="241">
        <v>4</v>
      </c>
      <c r="AL905" s="123" t="s">
        <v>479</v>
      </c>
      <c r="AM905" s="123" t="s">
        <v>460</v>
      </c>
      <c r="AN905" s="151"/>
      <c r="AO905" s="151"/>
      <c r="AP905" s="115"/>
      <c r="AQ905" s="115"/>
      <c r="AR905" s="115"/>
      <c r="AS905" s="115"/>
      <c r="AT905" s="115"/>
    </row>
    <row r="906" spans="1:46" ht="39" customHeight="1" x14ac:dyDescent="0.25">
      <c r="A906" s="1468">
        <v>905</v>
      </c>
      <c r="B906" s="146">
        <v>2</v>
      </c>
      <c r="C906" s="260" t="s">
        <v>319</v>
      </c>
      <c r="D906" s="241"/>
      <c r="E906" s="241"/>
      <c r="F906" s="241"/>
      <c r="G906" s="261" t="s">
        <v>350</v>
      </c>
      <c r="H906" s="262" t="s">
        <v>87</v>
      </c>
      <c r="I906" s="357"/>
      <c r="J906" s="245" t="s">
        <v>561</v>
      </c>
      <c r="K906" s="257"/>
      <c r="L906" s="299" t="s">
        <v>1508</v>
      </c>
      <c r="M906" s="299" t="s">
        <v>1708</v>
      </c>
      <c r="N906" s="245"/>
      <c r="O906" s="216"/>
      <c r="P906" s="627"/>
      <c r="Q906" s="594" t="s">
        <v>293</v>
      </c>
      <c r="R906" s="1267" t="s">
        <v>1628</v>
      </c>
      <c r="S906" s="279">
        <v>37880</v>
      </c>
      <c r="T906" s="289"/>
      <c r="U906" s="251" t="s">
        <v>54</v>
      </c>
      <c r="V906" s="197"/>
      <c r="W906" s="197" t="s">
        <v>295</v>
      </c>
      <c r="X906" s="197"/>
      <c r="Y906" s="197"/>
      <c r="Z906" s="246"/>
      <c r="AA906" s="281"/>
      <c r="AB906" s="245"/>
      <c r="AC906" s="223" t="s">
        <v>946</v>
      </c>
      <c r="AD906" s="245"/>
      <c r="AE906" s="494"/>
      <c r="AF906" s="494"/>
      <c r="AG906" s="241"/>
      <c r="AH906" s="253"/>
      <c r="AI906" s="284" t="s">
        <v>1351</v>
      </c>
      <c r="AJ906" s="303" t="s">
        <v>136</v>
      </c>
      <c r="AK906" s="241">
        <v>4</v>
      </c>
      <c r="AL906" s="123" t="s">
        <v>479</v>
      </c>
      <c r="AM906" s="123" t="s">
        <v>460</v>
      </c>
      <c r="AN906" s="151"/>
      <c r="AO906" s="151"/>
      <c r="AP906" s="115"/>
      <c r="AQ906" s="115"/>
      <c r="AR906" s="115"/>
      <c r="AS906" s="115"/>
      <c r="AT906" s="115"/>
    </row>
    <row r="907" spans="1:46" ht="39" customHeight="1" x14ac:dyDescent="0.25">
      <c r="A907" s="1468">
        <v>906</v>
      </c>
      <c r="B907" s="117">
        <v>2</v>
      </c>
      <c r="C907" s="501" t="s">
        <v>353</v>
      </c>
      <c r="D907" s="241"/>
      <c r="E907" s="241"/>
      <c r="F907" s="241"/>
      <c r="G907" s="261" t="s">
        <v>354</v>
      </c>
      <c r="H907" s="262" t="s">
        <v>87</v>
      </c>
      <c r="I907" s="357"/>
      <c r="J907" s="245" t="s">
        <v>561</v>
      </c>
      <c r="K907" s="257"/>
      <c r="L907" s="288" t="s">
        <v>5144</v>
      </c>
      <c r="M907" s="288" t="s">
        <v>5144</v>
      </c>
      <c r="N907" s="245"/>
      <c r="O907" s="1392" t="s">
        <v>5245</v>
      </c>
      <c r="P907" s="1312"/>
      <c r="Q907" s="380" t="s">
        <v>87</v>
      </c>
      <c r="R907" s="1003" t="s">
        <v>5199</v>
      </c>
      <c r="S907" s="279">
        <v>35820</v>
      </c>
      <c r="T907" s="289"/>
      <c r="U907" s="251" t="s">
        <v>54</v>
      </c>
      <c r="V907" s="245" t="s">
        <v>5171</v>
      </c>
      <c r="W907" s="250" t="s">
        <v>295</v>
      </c>
      <c r="X907" s="197"/>
      <c r="Y907" s="981" t="s">
        <v>5829</v>
      </c>
      <c r="Z907" s="246">
        <v>45260</v>
      </c>
      <c r="AA907" s="245"/>
      <c r="AB907" s="288" t="s">
        <v>5286</v>
      </c>
      <c r="AC907" s="223" t="s">
        <v>946</v>
      </c>
      <c r="AD907" s="245" t="s">
        <v>467</v>
      </c>
      <c r="AE907" s="494">
        <v>45256</v>
      </c>
      <c r="AF907" s="494">
        <v>45621</v>
      </c>
      <c r="AG907" s="241"/>
      <c r="AH907" s="253"/>
      <c r="AI907" s="296" t="s">
        <v>4208</v>
      </c>
      <c r="AJ907" s="303" t="s">
        <v>136</v>
      </c>
      <c r="AK907" s="241">
        <v>4</v>
      </c>
      <c r="AL907" s="123" t="s">
        <v>479</v>
      </c>
      <c r="AM907" s="123" t="s">
        <v>460</v>
      </c>
      <c r="AN907" s="151" t="s">
        <v>5764</v>
      </c>
      <c r="AO907" s="151"/>
      <c r="AP907" s="115"/>
      <c r="AQ907" s="115"/>
      <c r="AR907" s="115"/>
      <c r="AS907" s="115"/>
      <c r="AT907" s="115"/>
    </row>
    <row r="908" spans="1:46" ht="39" customHeight="1" x14ac:dyDescent="0.25">
      <c r="A908" s="1468">
        <v>907</v>
      </c>
      <c r="B908" s="158">
        <v>4</v>
      </c>
      <c r="C908" s="290" t="s">
        <v>351</v>
      </c>
      <c r="D908" s="291"/>
      <c r="E908" s="291" t="s">
        <v>47</v>
      </c>
      <c r="F908" s="291"/>
      <c r="G908" s="292" t="s">
        <v>352</v>
      </c>
      <c r="H908" s="370" t="s">
        <v>132</v>
      </c>
      <c r="I908" s="371"/>
      <c r="J908" s="256">
        <v>403</v>
      </c>
      <c r="K908" s="257"/>
      <c r="L908" s="299"/>
      <c r="M908" s="299"/>
      <c r="N908" s="245"/>
      <c r="O908" s="570"/>
      <c r="P908" s="1312"/>
      <c r="Q908" s="344"/>
      <c r="R908" s="982" t="s">
        <v>66</v>
      </c>
      <c r="S908" s="279"/>
      <c r="T908" s="289"/>
      <c r="U908" s="250"/>
      <c r="V908" s="197"/>
      <c r="W908" s="197"/>
      <c r="X908" s="197"/>
      <c r="Y908" s="197"/>
      <c r="Z908" s="246"/>
      <c r="AA908" s="245"/>
      <c r="AB908" s="296"/>
      <c r="AC908" s="223"/>
      <c r="AD908" s="245"/>
      <c r="AE908" s="494"/>
      <c r="AF908" s="494"/>
      <c r="AG908" s="241"/>
      <c r="AH908" s="253"/>
      <c r="AI908" s="284"/>
      <c r="AJ908" s="348"/>
      <c r="AK908" s="348">
        <v>3</v>
      </c>
      <c r="AL908" s="123" t="s">
        <v>479</v>
      </c>
      <c r="AM908" s="123" t="s">
        <v>460</v>
      </c>
      <c r="AN908" s="138"/>
      <c r="AO908" s="138"/>
      <c r="AP908" s="115"/>
      <c r="AQ908" s="115"/>
      <c r="AR908" s="115"/>
      <c r="AS908" s="115"/>
      <c r="AT908" s="115"/>
    </row>
    <row r="909" spans="1:46" ht="39" customHeight="1" x14ac:dyDescent="0.25">
      <c r="A909" s="1468">
        <v>908</v>
      </c>
      <c r="B909" s="117">
        <v>3</v>
      </c>
      <c r="C909" s="260" t="s">
        <v>346</v>
      </c>
      <c r="D909" s="241"/>
      <c r="E909" s="241"/>
      <c r="F909" s="241"/>
      <c r="G909" s="261" t="s">
        <v>347</v>
      </c>
      <c r="H909" s="262" t="s">
        <v>85</v>
      </c>
      <c r="I909" s="357"/>
      <c r="J909" s="245" t="s">
        <v>556</v>
      </c>
      <c r="K909" s="216"/>
      <c r="L909" s="299" t="s">
        <v>1508</v>
      </c>
      <c r="M909" s="299" t="s">
        <v>1708</v>
      </c>
      <c r="N909" s="245"/>
      <c r="O909" s="392" t="s">
        <v>3060</v>
      </c>
      <c r="P909" s="627"/>
      <c r="Q909" s="594" t="s">
        <v>293</v>
      </c>
      <c r="R909" s="381" t="s">
        <v>1671</v>
      </c>
      <c r="S909" s="279">
        <v>37439</v>
      </c>
      <c r="T909" s="289"/>
      <c r="U909" s="251" t="s">
        <v>54</v>
      </c>
      <c r="V909" s="197" t="s">
        <v>3296</v>
      </c>
      <c r="W909" s="197" t="s">
        <v>295</v>
      </c>
      <c r="X909" s="197" t="s">
        <v>475</v>
      </c>
      <c r="Y909" s="979" t="s">
        <v>3300</v>
      </c>
      <c r="Z909" s="246">
        <v>45198</v>
      </c>
      <c r="AA909" s="281"/>
      <c r="AB909" s="1183" t="s">
        <v>4439</v>
      </c>
      <c r="AC909" s="223" t="s">
        <v>946</v>
      </c>
      <c r="AD909" s="245"/>
      <c r="AE909" s="494">
        <v>45115</v>
      </c>
      <c r="AF909" s="494">
        <v>45480</v>
      </c>
      <c r="AG909" s="241"/>
      <c r="AH909" s="253"/>
      <c r="AI909" s="284" t="s">
        <v>1351</v>
      </c>
      <c r="AJ909" s="303" t="s">
        <v>136</v>
      </c>
      <c r="AK909" s="241">
        <v>4</v>
      </c>
      <c r="AL909" s="123" t="s">
        <v>479</v>
      </c>
      <c r="AM909" s="123" t="s">
        <v>460</v>
      </c>
      <c r="AN909" s="151"/>
      <c r="AO909" s="151"/>
      <c r="AP909" s="115"/>
      <c r="AQ909" s="115"/>
      <c r="AR909" s="115"/>
      <c r="AS909" s="115"/>
      <c r="AT909" s="115"/>
    </row>
    <row r="910" spans="1:46" ht="39" customHeight="1" x14ac:dyDescent="0.25">
      <c r="A910" s="1468">
        <v>909</v>
      </c>
      <c r="B910" s="146">
        <v>2</v>
      </c>
      <c r="C910" s="260" t="s">
        <v>319</v>
      </c>
      <c r="D910" s="241"/>
      <c r="E910" s="241"/>
      <c r="F910" s="241"/>
      <c r="G910" s="261" t="s">
        <v>350</v>
      </c>
      <c r="H910" s="262" t="s">
        <v>87</v>
      </c>
      <c r="I910" s="364"/>
      <c r="J910" s="245" t="s">
        <v>561</v>
      </c>
      <c r="K910" s="595"/>
      <c r="L910" s="288"/>
      <c r="M910" s="288"/>
      <c r="N910" s="366"/>
      <c r="O910" s="1392"/>
      <c r="P910" s="402"/>
      <c r="Q910" s="380"/>
      <c r="R910" s="1003" t="s">
        <v>66</v>
      </c>
      <c r="S910" s="279"/>
      <c r="T910" s="197"/>
      <c r="U910" s="250"/>
      <c r="V910" s="245"/>
      <c r="W910" s="250"/>
      <c r="X910" s="197"/>
      <c r="Y910" s="1108"/>
      <c r="Z910" s="246"/>
      <c r="AA910" s="246"/>
      <c r="AB910" s="288"/>
      <c r="AC910" s="223"/>
      <c r="AD910" s="245"/>
      <c r="AE910" s="494"/>
      <c r="AF910" s="494"/>
      <c r="AG910" s="241"/>
      <c r="AH910" s="283"/>
      <c r="AI910" s="296"/>
      <c r="AJ910" s="303"/>
      <c r="AK910" s="241">
        <v>4</v>
      </c>
      <c r="AL910" s="123" t="s">
        <v>479</v>
      </c>
      <c r="AM910" s="123" t="s">
        <v>460</v>
      </c>
      <c r="AN910" s="151"/>
      <c r="AO910" s="151"/>
      <c r="AP910" s="115"/>
      <c r="AQ910" s="115"/>
      <c r="AR910" s="115"/>
      <c r="AS910" s="115"/>
      <c r="AT910" s="115"/>
    </row>
    <row r="911" spans="1:46" ht="39" customHeight="1" x14ac:dyDescent="0.25">
      <c r="A911" s="1468">
        <v>910</v>
      </c>
      <c r="B911" s="146">
        <v>2</v>
      </c>
      <c r="C911" s="260" t="s">
        <v>319</v>
      </c>
      <c r="D911" s="241"/>
      <c r="E911" s="241"/>
      <c r="F911" s="241"/>
      <c r="G911" s="261" t="s">
        <v>350</v>
      </c>
      <c r="H911" s="262" t="s">
        <v>87</v>
      </c>
      <c r="I911" s="357"/>
      <c r="J911" s="245" t="s">
        <v>561</v>
      </c>
      <c r="K911" s="216"/>
      <c r="L911" s="299" t="s">
        <v>1508</v>
      </c>
      <c r="M911" s="299" t="s">
        <v>1708</v>
      </c>
      <c r="N911" s="245"/>
      <c r="O911" s="392" t="s">
        <v>3074</v>
      </c>
      <c r="P911" s="627"/>
      <c r="Q911" s="594" t="s">
        <v>293</v>
      </c>
      <c r="R911" s="381" t="s">
        <v>1672</v>
      </c>
      <c r="S911" s="279">
        <v>37954</v>
      </c>
      <c r="T911" s="289"/>
      <c r="U911" s="251" t="s">
        <v>54</v>
      </c>
      <c r="V911" s="197" t="s">
        <v>3296</v>
      </c>
      <c r="W911" s="197" t="s">
        <v>295</v>
      </c>
      <c r="X911" s="197" t="s">
        <v>475</v>
      </c>
      <c r="Y911" s="1108" t="s">
        <v>3300</v>
      </c>
      <c r="Z911" s="246">
        <v>45198</v>
      </c>
      <c r="AA911" s="281"/>
      <c r="AB911" s="245"/>
      <c r="AC911" s="223" t="s">
        <v>946</v>
      </c>
      <c r="AD911" s="245"/>
      <c r="AE911" s="494">
        <v>45114</v>
      </c>
      <c r="AF911" s="494">
        <v>45479</v>
      </c>
      <c r="AG911" s="241"/>
      <c r="AH911" s="253"/>
      <c r="AI911" s="284" t="s">
        <v>1351</v>
      </c>
      <c r="AJ911" s="303" t="s">
        <v>136</v>
      </c>
      <c r="AK911" s="241">
        <v>4</v>
      </c>
      <c r="AL911" s="123" t="s">
        <v>479</v>
      </c>
      <c r="AM911" s="123" t="s">
        <v>460</v>
      </c>
      <c r="AN911" s="167"/>
      <c r="AO911" s="151"/>
      <c r="AP911" s="115"/>
      <c r="AQ911" s="115"/>
      <c r="AR911" s="115"/>
      <c r="AS911" s="115"/>
      <c r="AT911" s="115"/>
    </row>
    <row r="912" spans="1:46" ht="39" customHeight="1" x14ac:dyDescent="0.25">
      <c r="A912" s="1468">
        <v>911</v>
      </c>
      <c r="B912" s="117">
        <v>2</v>
      </c>
      <c r="C912" s="504" t="s">
        <v>353</v>
      </c>
      <c r="D912" s="471"/>
      <c r="E912" s="471"/>
      <c r="F912" s="471"/>
      <c r="G912" s="472" t="s">
        <v>354</v>
      </c>
      <c r="H912" s="262" t="s">
        <v>87</v>
      </c>
      <c r="I912" s="473"/>
      <c r="J912" s="245" t="s">
        <v>561</v>
      </c>
      <c r="K912" s="257"/>
      <c r="L912" s="288" t="s">
        <v>5144</v>
      </c>
      <c r="M912" s="288" t="s">
        <v>5144</v>
      </c>
      <c r="N912" s="245"/>
      <c r="O912" s="1392" t="s">
        <v>5247</v>
      </c>
      <c r="P912" s="1312"/>
      <c r="Q912" s="380" t="s">
        <v>87</v>
      </c>
      <c r="R912" s="1003" t="s">
        <v>5201</v>
      </c>
      <c r="S912" s="279">
        <v>38082</v>
      </c>
      <c r="T912" s="289"/>
      <c r="U912" s="251" t="s">
        <v>54</v>
      </c>
      <c r="V912" s="245" t="s">
        <v>5171</v>
      </c>
      <c r="W912" s="250" t="s">
        <v>295</v>
      </c>
      <c r="X912" s="197"/>
      <c r="Y912" s="981" t="s">
        <v>5829</v>
      </c>
      <c r="Z912" s="246">
        <v>45260</v>
      </c>
      <c r="AA912" s="245"/>
      <c r="AB912" s="288" t="s">
        <v>5267</v>
      </c>
      <c r="AC912" s="223" t="s">
        <v>946</v>
      </c>
      <c r="AD912" s="245" t="s">
        <v>467</v>
      </c>
      <c r="AE912" s="494">
        <v>45257</v>
      </c>
      <c r="AF912" s="494">
        <v>45622</v>
      </c>
      <c r="AG912" s="241"/>
      <c r="AH912" s="253"/>
      <c r="AI912" s="296" t="s">
        <v>4208</v>
      </c>
      <c r="AJ912" s="303" t="s">
        <v>136</v>
      </c>
      <c r="AK912" s="471">
        <v>4</v>
      </c>
      <c r="AL912" s="176" t="s">
        <v>479</v>
      </c>
      <c r="AM912" s="176" t="s">
        <v>460</v>
      </c>
      <c r="AN912" s="151" t="s">
        <v>5764</v>
      </c>
      <c r="AO912" s="151"/>
      <c r="AP912" s="115"/>
      <c r="AQ912" s="115"/>
      <c r="AR912" s="115"/>
      <c r="AS912" s="115"/>
      <c r="AT912" s="115"/>
    </row>
    <row r="913" spans="1:46" ht="39" customHeight="1" x14ac:dyDescent="0.25">
      <c r="A913" s="1468">
        <v>912</v>
      </c>
      <c r="B913" s="987"/>
      <c r="C913" s="989"/>
      <c r="D913" s="664"/>
      <c r="E913" s="664"/>
      <c r="F913" s="664"/>
      <c r="G913" s="227"/>
      <c r="H913" s="228"/>
      <c r="I913" s="228"/>
      <c r="J913" s="229"/>
      <c r="K913" s="227"/>
      <c r="L913" s="229"/>
      <c r="M913" s="229"/>
      <c r="N913" s="229"/>
      <c r="O913" s="309"/>
      <c r="P913" s="230" t="s">
        <v>355</v>
      </c>
      <c r="Q913" s="726"/>
      <c r="R913" s="1004"/>
      <c r="S913" s="279"/>
      <c r="T913" s="232"/>
      <c r="U913" s="250"/>
      <c r="V913" s="232"/>
      <c r="W913" s="232"/>
      <c r="X913" s="232"/>
      <c r="Y913" s="232"/>
      <c r="Z913" s="233"/>
      <c r="AA913" s="234"/>
      <c r="AB913" s="235"/>
      <c r="AC913" s="236"/>
      <c r="AD913" s="235"/>
      <c r="AE913" s="1412"/>
      <c r="AF913" s="1412"/>
      <c r="AG913" s="664"/>
      <c r="AH913" s="238"/>
      <c r="AI913" s="239"/>
      <c r="AJ913" s="576"/>
      <c r="AK913" s="664"/>
      <c r="AL913" s="113"/>
      <c r="AM913" s="113"/>
      <c r="AN913" s="163"/>
      <c r="AO913" s="114"/>
      <c r="AP913" s="115"/>
      <c r="AQ913" s="115"/>
      <c r="AR913" s="115"/>
      <c r="AS913" s="115"/>
      <c r="AT913" s="116"/>
    </row>
    <row r="914" spans="1:46" ht="39" customHeight="1" x14ac:dyDescent="0.25">
      <c r="A914" s="1468">
        <v>913</v>
      </c>
      <c r="B914" s="119">
        <v>10</v>
      </c>
      <c r="C914" s="793" t="s">
        <v>305</v>
      </c>
      <c r="D914" s="476"/>
      <c r="E914" s="442" t="s">
        <v>47</v>
      </c>
      <c r="F914" s="476"/>
      <c r="G914" s="757" t="s">
        <v>340</v>
      </c>
      <c r="H914" s="244" t="s">
        <v>83</v>
      </c>
      <c r="I914" s="733"/>
      <c r="J914" s="245">
        <v>302</v>
      </c>
      <c r="K914" s="280" t="s">
        <v>50</v>
      </c>
      <c r="L914" s="441" t="s">
        <v>1908</v>
      </c>
      <c r="M914" s="441" t="s">
        <v>1908</v>
      </c>
      <c r="N914" s="276"/>
      <c r="O914" s="1477" t="s">
        <v>3310</v>
      </c>
      <c r="P914" s="720"/>
      <c r="Q914" s="978" t="s">
        <v>119</v>
      </c>
      <c r="R914" s="1163" t="s">
        <v>1950</v>
      </c>
      <c r="S914" s="279">
        <v>36673</v>
      </c>
      <c r="T914" s="443"/>
      <c r="U914" s="251" t="s">
        <v>54</v>
      </c>
      <c r="V914" s="197" t="s">
        <v>3296</v>
      </c>
      <c r="W914" s="197" t="s">
        <v>295</v>
      </c>
      <c r="X914" s="197" t="s">
        <v>475</v>
      </c>
      <c r="Y914" s="288" t="s">
        <v>3300</v>
      </c>
      <c r="Z914" s="246">
        <v>45198</v>
      </c>
      <c r="AA914" s="486"/>
      <c r="AB914" s="441"/>
      <c r="AC914" s="488"/>
      <c r="AD914" s="441"/>
      <c r="AE914" s="494"/>
      <c r="AF914" s="494"/>
      <c r="AG914" s="476"/>
      <c r="AH914" s="489"/>
      <c r="AI914" s="721"/>
      <c r="AJ914" s="755" t="s">
        <v>62</v>
      </c>
      <c r="AK914" s="442">
        <v>1</v>
      </c>
      <c r="AL914" s="175" t="s">
        <v>479</v>
      </c>
      <c r="AM914" s="175" t="s">
        <v>460</v>
      </c>
      <c r="AN914" s="137"/>
      <c r="AO914" s="137"/>
      <c r="AP914" s="115"/>
      <c r="AQ914" s="115"/>
      <c r="AR914" s="115"/>
      <c r="AS914" s="115"/>
      <c r="AT914" s="115"/>
    </row>
    <row r="915" spans="1:46" ht="39" customHeight="1" x14ac:dyDescent="0.25">
      <c r="A915" s="1468">
        <v>914</v>
      </c>
      <c r="B915" s="128">
        <v>7</v>
      </c>
      <c r="C915" s="290" t="s">
        <v>344</v>
      </c>
      <c r="D915" s="291"/>
      <c r="E915" s="291" t="s">
        <v>47</v>
      </c>
      <c r="F915" s="291"/>
      <c r="G915" s="292" t="s">
        <v>345</v>
      </c>
      <c r="H915" s="293" t="s">
        <v>132</v>
      </c>
      <c r="I915" s="346">
        <v>178</v>
      </c>
      <c r="J915" s="256">
        <v>403</v>
      </c>
      <c r="K915" s="197"/>
      <c r="L915" s="281"/>
      <c r="M915" s="281"/>
      <c r="N915" s="245"/>
      <c r="O915" s="634"/>
      <c r="P915" s="247"/>
      <c r="Q915" s="326"/>
      <c r="R915" s="1538" t="s">
        <v>66</v>
      </c>
      <c r="S915" s="279"/>
      <c r="T915" s="250"/>
      <c r="U915" s="250"/>
      <c r="V915" s="197"/>
      <c r="W915" s="197"/>
      <c r="X915" s="197"/>
      <c r="Y915" s="288"/>
      <c r="Z915" s="246"/>
      <c r="AA915" s="246"/>
      <c r="AB915" s="281"/>
      <c r="AC915" s="223"/>
      <c r="AD915" s="281"/>
      <c r="AE915" s="494"/>
      <c r="AF915" s="494"/>
      <c r="AG915" s="241"/>
      <c r="AH915" s="283"/>
      <c r="AI915" s="296"/>
      <c r="AJ915" s="255"/>
      <c r="AK915" s="348">
        <v>3</v>
      </c>
      <c r="AL915" s="123" t="s">
        <v>479</v>
      </c>
      <c r="AM915" s="123" t="s">
        <v>460</v>
      </c>
      <c r="AN915" s="177"/>
      <c r="AO915" s="130"/>
      <c r="AP915" s="115"/>
      <c r="AQ915" s="115"/>
      <c r="AR915" s="115"/>
      <c r="AS915" s="115"/>
      <c r="AT915" s="115"/>
    </row>
    <row r="916" spans="1:46" ht="39" customHeight="1" x14ac:dyDescent="0.25">
      <c r="A916" s="1468">
        <v>915</v>
      </c>
      <c r="B916" s="117">
        <v>3</v>
      </c>
      <c r="C916" s="260" t="s">
        <v>346</v>
      </c>
      <c r="D916" s="241"/>
      <c r="E916" s="241"/>
      <c r="F916" s="241"/>
      <c r="G916" s="261" t="s">
        <v>347</v>
      </c>
      <c r="H916" s="262" t="s">
        <v>85</v>
      </c>
      <c r="I916" s="357"/>
      <c r="J916" s="245" t="s">
        <v>556</v>
      </c>
      <c r="K916" s="216"/>
      <c r="L916" s="281" t="s">
        <v>1527</v>
      </c>
      <c r="M916" s="281" t="s">
        <v>1676</v>
      </c>
      <c r="N916" s="366"/>
      <c r="O916" s="392" t="s">
        <v>2941</v>
      </c>
      <c r="P916" s="402"/>
      <c r="Q916" s="380" t="s">
        <v>87</v>
      </c>
      <c r="R916" s="427" t="s">
        <v>1730</v>
      </c>
      <c r="S916" s="279" t="s">
        <v>4771</v>
      </c>
      <c r="T916" s="197" t="s">
        <v>5918</v>
      </c>
      <c r="U916" s="251" t="s">
        <v>54</v>
      </c>
      <c r="V916" s="197" t="s">
        <v>3296</v>
      </c>
      <c r="W916" s="197" t="s">
        <v>295</v>
      </c>
      <c r="X916" s="197" t="s">
        <v>475</v>
      </c>
      <c r="Y916" s="288" t="s">
        <v>3300</v>
      </c>
      <c r="Z916" s="246">
        <v>45198</v>
      </c>
      <c r="AA916" s="246"/>
      <c r="AB916" s="296" t="s">
        <v>4441</v>
      </c>
      <c r="AC916" s="223" t="s">
        <v>946</v>
      </c>
      <c r="AD916" s="376"/>
      <c r="AE916" s="494" t="s">
        <v>4359</v>
      </c>
      <c r="AF916" s="494">
        <v>45477</v>
      </c>
      <c r="AG916" s="241"/>
      <c r="AH916" s="283"/>
      <c r="AI916" s="254" t="s">
        <v>1351</v>
      </c>
      <c r="AJ916" s="303" t="s">
        <v>136</v>
      </c>
      <c r="AK916" s="241">
        <v>4</v>
      </c>
      <c r="AL916" s="123" t="s">
        <v>479</v>
      </c>
      <c r="AM916" s="123" t="s">
        <v>460</v>
      </c>
      <c r="AN916" s="151"/>
      <c r="AO916" s="151"/>
      <c r="AP916" s="115"/>
      <c r="AQ916" s="115"/>
      <c r="AR916" s="115"/>
      <c r="AS916" s="115"/>
      <c r="AT916" s="115"/>
    </row>
    <row r="917" spans="1:46" ht="39" customHeight="1" x14ac:dyDescent="0.25">
      <c r="A917" s="1468">
        <v>916</v>
      </c>
      <c r="B917" s="146">
        <v>2</v>
      </c>
      <c r="C917" s="260" t="s">
        <v>319</v>
      </c>
      <c r="D917" s="241"/>
      <c r="E917" s="241"/>
      <c r="F917" s="241"/>
      <c r="G917" s="261" t="s">
        <v>350</v>
      </c>
      <c r="H917" s="262" t="s">
        <v>87</v>
      </c>
      <c r="I917" s="357"/>
      <c r="J917" s="245" t="s">
        <v>561</v>
      </c>
      <c r="K917" s="257"/>
      <c r="L917" s="281" t="s">
        <v>1527</v>
      </c>
      <c r="M917" s="281" t="s">
        <v>1676</v>
      </c>
      <c r="N917" s="366"/>
      <c r="O917" s="392" t="s">
        <v>3038</v>
      </c>
      <c r="P917" s="402"/>
      <c r="Q917" s="380" t="s">
        <v>87</v>
      </c>
      <c r="R917" s="427" t="s">
        <v>1740</v>
      </c>
      <c r="S917" s="279" t="s">
        <v>1979</v>
      </c>
      <c r="T917" s="197"/>
      <c r="U917" s="251" t="s">
        <v>54</v>
      </c>
      <c r="V917" s="197" t="s">
        <v>3296</v>
      </c>
      <c r="W917" s="197" t="s">
        <v>295</v>
      </c>
      <c r="X917" s="197" t="s">
        <v>475</v>
      </c>
      <c r="Y917" s="288" t="s">
        <v>3300</v>
      </c>
      <c r="Z917" s="246">
        <v>45198</v>
      </c>
      <c r="AA917" s="246"/>
      <c r="AB917" s="296" t="s">
        <v>4442</v>
      </c>
      <c r="AC917" s="223" t="s">
        <v>946</v>
      </c>
      <c r="AD917" s="376"/>
      <c r="AE917" s="494" t="s">
        <v>4359</v>
      </c>
      <c r="AF917" s="494">
        <v>45477</v>
      </c>
      <c r="AG917" s="241"/>
      <c r="AH917" s="283"/>
      <c r="AI917" s="254" t="s">
        <v>1351</v>
      </c>
      <c r="AJ917" s="303" t="s">
        <v>136</v>
      </c>
      <c r="AK917" s="241">
        <v>4</v>
      </c>
      <c r="AL917" s="123" t="s">
        <v>479</v>
      </c>
      <c r="AM917" s="123" t="s">
        <v>460</v>
      </c>
      <c r="AN917" s="151"/>
      <c r="AO917" s="151"/>
      <c r="AP917" s="115"/>
      <c r="AQ917" s="115"/>
      <c r="AR917" s="115"/>
      <c r="AS917" s="115"/>
      <c r="AT917" s="115"/>
    </row>
    <row r="918" spans="1:46" ht="39" customHeight="1" x14ac:dyDescent="0.25">
      <c r="A918" s="1468">
        <v>917</v>
      </c>
      <c r="B918" s="161">
        <v>2</v>
      </c>
      <c r="C918" s="260" t="s">
        <v>356</v>
      </c>
      <c r="D918" s="241"/>
      <c r="E918" s="241"/>
      <c r="F918" s="241"/>
      <c r="G918" s="261" t="s">
        <v>357</v>
      </c>
      <c r="H918" s="262" t="s">
        <v>87</v>
      </c>
      <c r="I918" s="364">
        <v>533</v>
      </c>
      <c r="J918" s="245" t="s">
        <v>561</v>
      </c>
      <c r="K918" s="257"/>
      <c r="L918" s="281" t="s">
        <v>1527</v>
      </c>
      <c r="M918" s="281" t="s">
        <v>1676</v>
      </c>
      <c r="N918" s="366"/>
      <c r="O918" s="392" t="s">
        <v>3079</v>
      </c>
      <c r="P918" s="402"/>
      <c r="Q918" s="380" t="s">
        <v>87</v>
      </c>
      <c r="R918" s="427" t="s">
        <v>1749</v>
      </c>
      <c r="S918" s="279" t="s">
        <v>4772</v>
      </c>
      <c r="T918" s="197"/>
      <c r="U918" s="251" t="s">
        <v>54</v>
      </c>
      <c r="V918" s="197" t="s">
        <v>3296</v>
      </c>
      <c r="W918" s="197" t="s">
        <v>295</v>
      </c>
      <c r="X918" s="197" t="s">
        <v>475</v>
      </c>
      <c r="Y918" s="288" t="s">
        <v>3300</v>
      </c>
      <c r="Z918" s="246">
        <v>45198</v>
      </c>
      <c r="AA918" s="246"/>
      <c r="AB918" s="296" t="s">
        <v>4443</v>
      </c>
      <c r="AC918" s="223" t="s">
        <v>946</v>
      </c>
      <c r="AD918" s="376"/>
      <c r="AE918" s="494" t="s">
        <v>4359</v>
      </c>
      <c r="AF918" s="494">
        <v>45477</v>
      </c>
      <c r="AG918" s="241"/>
      <c r="AH918" s="283"/>
      <c r="AI918" s="254" t="s">
        <v>1351</v>
      </c>
      <c r="AJ918" s="303" t="s">
        <v>136</v>
      </c>
      <c r="AK918" s="241">
        <v>4</v>
      </c>
      <c r="AL918" s="123" t="s">
        <v>479</v>
      </c>
      <c r="AM918" s="123" t="s">
        <v>460</v>
      </c>
      <c r="AN918" s="151"/>
      <c r="AO918" s="151"/>
      <c r="AP918" s="115"/>
      <c r="AQ918" s="115"/>
      <c r="AR918" s="115"/>
      <c r="AS918" s="115"/>
      <c r="AT918" s="115"/>
    </row>
    <row r="919" spans="1:46" ht="39" customHeight="1" x14ac:dyDescent="0.25">
      <c r="A919" s="1468">
        <v>918</v>
      </c>
      <c r="B919" s="117">
        <v>2</v>
      </c>
      <c r="C919" s="501" t="s">
        <v>353</v>
      </c>
      <c r="D919" s="241"/>
      <c r="E919" s="241"/>
      <c r="F919" s="241"/>
      <c r="G919" s="261" t="s">
        <v>354</v>
      </c>
      <c r="H919" s="262" t="s">
        <v>87</v>
      </c>
      <c r="I919" s="357"/>
      <c r="J919" s="245" t="s">
        <v>561</v>
      </c>
      <c r="K919" s="257"/>
      <c r="L919" s="288" t="s">
        <v>5144</v>
      </c>
      <c r="M919" s="288" t="s">
        <v>5144</v>
      </c>
      <c r="N919" s="245"/>
      <c r="O919" s="1392" t="s">
        <v>5248</v>
      </c>
      <c r="P919" s="1312"/>
      <c r="Q919" s="380" t="s">
        <v>87</v>
      </c>
      <c r="R919" s="1003" t="s">
        <v>5202</v>
      </c>
      <c r="S919" s="279">
        <v>37961</v>
      </c>
      <c r="T919" s="289"/>
      <c r="U919" s="251" t="s">
        <v>54</v>
      </c>
      <c r="V919" s="245" t="s">
        <v>5171</v>
      </c>
      <c r="W919" s="250" t="s">
        <v>295</v>
      </c>
      <c r="X919" s="197"/>
      <c r="Y919" s="949" t="s">
        <v>5829</v>
      </c>
      <c r="Z919" s="246">
        <v>45260</v>
      </c>
      <c r="AA919" s="245"/>
      <c r="AB919" s="288" t="s">
        <v>5288</v>
      </c>
      <c r="AC919" s="223" t="s">
        <v>946</v>
      </c>
      <c r="AD919" s="245" t="s">
        <v>467</v>
      </c>
      <c r="AE919" s="494">
        <v>45256</v>
      </c>
      <c r="AF919" s="494">
        <v>45621</v>
      </c>
      <c r="AG919" s="241"/>
      <c r="AH919" s="253"/>
      <c r="AI919" s="296" t="s">
        <v>4208</v>
      </c>
      <c r="AJ919" s="303" t="s">
        <v>136</v>
      </c>
      <c r="AK919" s="241">
        <v>4</v>
      </c>
      <c r="AL919" s="123" t="s">
        <v>479</v>
      </c>
      <c r="AM919" s="123" t="s">
        <v>460</v>
      </c>
      <c r="AN919" s="151" t="s">
        <v>4193</v>
      </c>
      <c r="AO919" s="151"/>
      <c r="AP919" s="115"/>
      <c r="AQ919" s="115"/>
      <c r="AR919" s="115"/>
      <c r="AS919" s="115"/>
      <c r="AT919" s="115"/>
    </row>
    <row r="920" spans="1:46" ht="39" customHeight="1" x14ac:dyDescent="0.25">
      <c r="A920" s="1468">
        <v>919</v>
      </c>
      <c r="B920" s="128">
        <v>4</v>
      </c>
      <c r="C920" s="290" t="s">
        <v>351</v>
      </c>
      <c r="D920" s="291"/>
      <c r="E920" s="291" t="s">
        <v>47</v>
      </c>
      <c r="F920" s="291"/>
      <c r="G920" s="292" t="s">
        <v>352</v>
      </c>
      <c r="H920" s="293" t="s">
        <v>132</v>
      </c>
      <c r="I920" s="346"/>
      <c r="J920" s="256">
        <v>403</v>
      </c>
      <c r="K920" s="216"/>
      <c r="L920" s="281" t="s">
        <v>1527</v>
      </c>
      <c r="M920" s="281" t="s">
        <v>1676</v>
      </c>
      <c r="N920" s="366"/>
      <c r="O920" s="392" t="s">
        <v>3096</v>
      </c>
      <c r="P920" s="402"/>
      <c r="Q920" s="301" t="s">
        <v>87</v>
      </c>
      <c r="R920" s="427" t="s">
        <v>1712</v>
      </c>
      <c r="S920" s="279" t="s">
        <v>4773</v>
      </c>
      <c r="T920" s="197"/>
      <c r="U920" s="251" t="s">
        <v>54</v>
      </c>
      <c r="V920" s="197" t="s">
        <v>3296</v>
      </c>
      <c r="W920" s="197" t="s">
        <v>295</v>
      </c>
      <c r="X920" s="197" t="s">
        <v>475</v>
      </c>
      <c r="Y920" s="288" t="s">
        <v>3300</v>
      </c>
      <c r="Z920" s="246">
        <v>45198</v>
      </c>
      <c r="AA920" s="246"/>
      <c r="AB920" s="296" t="s">
        <v>4444</v>
      </c>
      <c r="AC920" s="223" t="s">
        <v>946</v>
      </c>
      <c r="AD920" s="376"/>
      <c r="AE920" s="494" t="s">
        <v>4359</v>
      </c>
      <c r="AF920" s="494">
        <v>45477</v>
      </c>
      <c r="AG920" s="241"/>
      <c r="AH920" s="283"/>
      <c r="AI920" s="254" t="s">
        <v>1351</v>
      </c>
      <c r="AJ920" s="303" t="s">
        <v>136</v>
      </c>
      <c r="AK920" s="291">
        <v>3</v>
      </c>
      <c r="AL920" s="123" t="s">
        <v>479</v>
      </c>
      <c r="AM920" s="123" t="s">
        <v>460</v>
      </c>
      <c r="AN920" s="138"/>
      <c r="AO920" s="138"/>
      <c r="AP920" s="115"/>
      <c r="AQ920" s="115"/>
      <c r="AR920" s="115"/>
      <c r="AS920" s="115"/>
      <c r="AT920" s="115"/>
    </row>
    <row r="921" spans="1:46" ht="39" customHeight="1" x14ac:dyDescent="0.25">
      <c r="A921" s="1468">
        <v>920</v>
      </c>
      <c r="B921" s="117">
        <v>3</v>
      </c>
      <c r="C921" s="260" t="s">
        <v>346</v>
      </c>
      <c r="D921" s="241"/>
      <c r="E921" s="241"/>
      <c r="F921" s="241"/>
      <c r="G921" s="261" t="s">
        <v>347</v>
      </c>
      <c r="H921" s="262" t="s">
        <v>85</v>
      </c>
      <c r="I921" s="357"/>
      <c r="J921" s="245" t="s">
        <v>556</v>
      </c>
      <c r="K921" s="595"/>
      <c r="L921" s="281" t="s">
        <v>1527</v>
      </c>
      <c r="M921" s="281" t="s">
        <v>1676</v>
      </c>
      <c r="N921" s="366"/>
      <c r="O921" s="392" t="s">
        <v>3135</v>
      </c>
      <c r="P921" s="402"/>
      <c r="Q921" s="301" t="s">
        <v>87</v>
      </c>
      <c r="R921" s="427" t="s">
        <v>1719</v>
      </c>
      <c r="S921" s="279" t="s">
        <v>4774</v>
      </c>
      <c r="T921" s="197"/>
      <c r="U921" s="251" t="s">
        <v>54</v>
      </c>
      <c r="V921" s="197" t="s">
        <v>3296</v>
      </c>
      <c r="W921" s="197" t="s">
        <v>295</v>
      </c>
      <c r="X921" s="197" t="s">
        <v>475</v>
      </c>
      <c r="Y921" s="288" t="s">
        <v>3300</v>
      </c>
      <c r="Z921" s="246">
        <v>45198</v>
      </c>
      <c r="AA921" s="246"/>
      <c r="AB921" s="296" t="s">
        <v>4441</v>
      </c>
      <c r="AC921" s="223" t="s">
        <v>946</v>
      </c>
      <c r="AD921" s="376"/>
      <c r="AE921" s="494" t="s">
        <v>4359</v>
      </c>
      <c r="AF921" s="494">
        <v>45477</v>
      </c>
      <c r="AG921" s="241"/>
      <c r="AH921" s="283"/>
      <c r="AI921" s="254" t="s">
        <v>1351</v>
      </c>
      <c r="AJ921" s="303" t="s">
        <v>136</v>
      </c>
      <c r="AK921" s="241">
        <v>4</v>
      </c>
      <c r="AL921" s="123" t="s">
        <v>479</v>
      </c>
      <c r="AM921" s="123" t="s">
        <v>460</v>
      </c>
      <c r="AN921" s="151"/>
      <c r="AO921" s="151"/>
      <c r="AP921" s="115"/>
      <c r="AQ921" s="115"/>
      <c r="AR921" s="115"/>
      <c r="AS921" s="115"/>
      <c r="AT921" s="115"/>
    </row>
    <row r="922" spans="1:46" ht="39" customHeight="1" x14ac:dyDescent="0.25">
      <c r="A922" s="1468">
        <v>921</v>
      </c>
      <c r="B922" s="146">
        <v>2</v>
      </c>
      <c r="C922" s="260" t="s">
        <v>319</v>
      </c>
      <c r="D922" s="241"/>
      <c r="E922" s="241"/>
      <c r="F922" s="241"/>
      <c r="G922" s="261" t="s">
        <v>350</v>
      </c>
      <c r="H922" s="262" t="s">
        <v>87</v>
      </c>
      <c r="I922" s="357"/>
      <c r="J922" s="245" t="s">
        <v>561</v>
      </c>
      <c r="K922" s="257"/>
      <c r="L922" s="299" t="s">
        <v>1508</v>
      </c>
      <c r="M922" s="299" t="s">
        <v>1708</v>
      </c>
      <c r="N922" s="245"/>
      <c r="O922" s="392" t="s">
        <v>2996</v>
      </c>
      <c r="P922" s="627"/>
      <c r="Q922" s="594" t="s">
        <v>293</v>
      </c>
      <c r="R922" s="275" t="s">
        <v>1615</v>
      </c>
      <c r="S922" s="279">
        <v>36706</v>
      </c>
      <c r="T922" s="289"/>
      <c r="U922" s="251" t="s">
        <v>54</v>
      </c>
      <c r="V922" s="197" t="s">
        <v>3296</v>
      </c>
      <c r="W922" s="197" t="s">
        <v>295</v>
      </c>
      <c r="X922" s="197" t="s">
        <v>475</v>
      </c>
      <c r="Y922" s="288" t="s">
        <v>3300</v>
      </c>
      <c r="Z922" s="246">
        <v>45198</v>
      </c>
      <c r="AA922" s="281"/>
      <c r="AB922" s="250" t="s">
        <v>4445</v>
      </c>
      <c r="AC922" s="223" t="s">
        <v>946</v>
      </c>
      <c r="AD922" s="245"/>
      <c r="AE922" s="494" t="s">
        <v>4354</v>
      </c>
      <c r="AF922" s="494">
        <v>45477</v>
      </c>
      <c r="AG922" s="241"/>
      <c r="AH922" s="253"/>
      <c r="AI922" s="284" t="s">
        <v>1351</v>
      </c>
      <c r="AJ922" s="303" t="s">
        <v>136</v>
      </c>
      <c r="AK922" s="241">
        <v>4</v>
      </c>
      <c r="AL922" s="123" t="s">
        <v>479</v>
      </c>
      <c r="AM922" s="123" t="s">
        <v>460</v>
      </c>
      <c r="AN922" s="110"/>
      <c r="AO922" s="110"/>
      <c r="AP922" s="115"/>
      <c r="AQ922" s="115"/>
      <c r="AR922" s="115"/>
      <c r="AS922" s="115"/>
      <c r="AT922" s="115"/>
    </row>
    <row r="923" spans="1:46" ht="39" customHeight="1" x14ac:dyDescent="0.25">
      <c r="A923" s="1468">
        <v>922</v>
      </c>
      <c r="B923" s="146">
        <v>2</v>
      </c>
      <c r="C923" s="260" t="s">
        <v>319</v>
      </c>
      <c r="D923" s="241"/>
      <c r="E923" s="241"/>
      <c r="F923" s="241"/>
      <c r="G923" s="261" t="s">
        <v>350</v>
      </c>
      <c r="H923" s="262" t="s">
        <v>87</v>
      </c>
      <c r="I923" s="357"/>
      <c r="J923" s="245" t="s">
        <v>561</v>
      </c>
      <c r="K923" s="216"/>
      <c r="L923" s="281" t="s">
        <v>1527</v>
      </c>
      <c r="M923" s="281" t="s">
        <v>1676</v>
      </c>
      <c r="N923" s="366"/>
      <c r="O923" s="392" t="s">
        <v>2960</v>
      </c>
      <c r="P923" s="402"/>
      <c r="Q923" s="380" t="s">
        <v>87</v>
      </c>
      <c r="R923" s="427" t="s">
        <v>1731</v>
      </c>
      <c r="S923" s="279" t="s">
        <v>4775</v>
      </c>
      <c r="T923" s="197"/>
      <c r="U923" s="251" t="s">
        <v>54</v>
      </c>
      <c r="V923" s="197" t="s">
        <v>3296</v>
      </c>
      <c r="W923" s="197" t="s">
        <v>295</v>
      </c>
      <c r="X923" s="197" t="s">
        <v>475</v>
      </c>
      <c r="Y923" s="288" t="s">
        <v>3300</v>
      </c>
      <c r="Z923" s="246">
        <v>45198</v>
      </c>
      <c r="AA923" s="246"/>
      <c r="AB923" s="296" t="s">
        <v>4446</v>
      </c>
      <c r="AC923" s="223" t="s">
        <v>946</v>
      </c>
      <c r="AD923" s="376"/>
      <c r="AE923" s="494" t="s">
        <v>4440</v>
      </c>
      <c r="AF923" s="494">
        <v>45476</v>
      </c>
      <c r="AG923" s="241"/>
      <c r="AH923" s="283"/>
      <c r="AI923" s="254" t="s">
        <v>1351</v>
      </c>
      <c r="AJ923" s="303" t="s">
        <v>136</v>
      </c>
      <c r="AK923" s="241">
        <v>4</v>
      </c>
      <c r="AL923" s="123" t="s">
        <v>479</v>
      </c>
      <c r="AM923" s="123" t="s">
        <v>460</v>
      </c>
      <c r="AN923" s="151"/>
      <c r="AO923" s="151"/>
      <c r="AP923" s="115"/>
      <c r="AQ923" s="115"/>
      <c r="AR923" s="115"/>
      <c r="AS923" s="115"/>
      <c r="AT923" s="115"/>
    </row>
    <row r="924" spans="1:46" ht="39" customHeight="1" x14ac:dyDescent="0.25">
      <c r="A924" s="1468">
        <v>923</v>
      </c>
      <c r="B924" s="117">
        <v>2</v>
      </c>
      <c r="C924" s="501" t="s">
        <v>353</v>
      </c>
      <c r="D924" s="241"/>
      <c r="E924" s="241"/>
      <c r="F924" s="241"/>
      <c r="G924" s="261" t="s">
        <v>354</v>
      </c>
      <c r="H924" s="262" t="s">
        <v>87</v>
      </c>
      <c r="I924" s="357"/>
      <c r="J924" s="245" t="s">
        <v>561</v>
      </c>
      <c r="K924" s="288"/>
      <c r="L924" s="288" t="s">
        <v>5144</v>
      </c>
      <c r="M924" s="288" t="s">
        <v>5144</v>
      </c>
      <c r="N924" s="366"/>
      <c r="O924" s="1392" t="s">
        <v>5249</v>
      </c>
      <c r="P924" s="402"/>
      <c r="Q924" s="380" t="s">
        <v>87</v>
      </c>
      <c r="R924" s="1003" t="s">
        <v>5203</v>
      </c>
      <c r="S924" s="279">
        <v>37579</v>
      </c>
      <c r="T924" s="197"/>
      <c r="U924" s="251" t="s">
        <v>54</v>
      </c>
      <c r="V924" s="245" t="s">
        <v>5171</v>
      </c>
      <c r="W924" s="250" t="s">
        <v>295</v>
      </c>
      <c r="X924" s="197"/>
      <c r="Y924" s="949" t="s">
        <v>5829</v>
      </c>
      <c r="Z924" s="246">
        <v>45260</v>
      </c>
      <c r="AA924" s="246"/>
      <c r="AB924" s="288" t="s">
        <v>5269</v>
      </c>
      <c r="AC924" s="223"/>
      <c r="AD924" s="245" t="s">
        <v>467</v>
      </c>
      <c r="AE924" s="494">
        <v>45256</v>
      </c>
      <c r="AF924" s="494">
        <v>45621</v>
      </c>
      <c r="AG924" s="241"/>
      <c r="AH924" s="283"/>
      <c r="AI924" s="296" t="s">
        <v>4208</v>
      </c>
      <c r="AJ924" s="303" t="s">
        <v>136</v>
      </c>
      <c r="AK924" s="241">
        <v>4</v>
      </c>
      <c r="AL924" s="123" t="s">
        <v>479</v>
      </c>
      <c r="AM924" s="123" t="s">
        <v>460</v>
      </c>
      <c r="AN924" s="151" t="s">
        <v>5764</v>
      </c>
      <c r="AO924" s="151"/>
      <c r="AP924" s="115"/>
      <c r="AQ924" s="115"/>
      <c r="AR924" s="115"/>
      <c r="AS924" s="115"/>
      <c r="AT924" s="115"/>
    </row>
    <row r="925" spans="1:46" ht="39" customHeight="1" x14ac:dyDescent="0.25">
      <c r="A925" s="1468">
        <v>924</v>
      </c>
      <c r="B925" s="128">
        <v>4</v>
      </c>
      <c r="C925" s="290" t="s">
        <v>351</v>
      </c>
      <c r="D925" s="291"/>
      <c r="E925" s="291" t="s">
        <v>47</v>
      </c>
      <c r="F925" s="291"/>
      <c r="G925" s="292" t="s">
        <v>352</v>
      </c>
      <c r="H925" s="293" t="s">
        <v>132</v>
      </c>
      <c r="I925" s="346"/>
      <c r="J925" s="256">
        <v>403</v>
      </c>
      <c r="K925" s="216"/>
      <c r="L925" s="281" t="s">
        <v>1527</v>
      </c>
      <c r="M925" s="281" t="s">
        <v>1676</v>
      </c>
      <c r="N925" s="366"/>
      <c r="O925" s="392" t="s">
        <v>3111</v>
      </c>
      <c r="P925" s="402"/>
      <c r="Q925" s="380" t="s">
        <v>87</v>
      </c>
      <c r="R925" s="427" t="s">
        <v>1714</v>
      </c>
      <c r="S925" s="279" t="s">
        <v>4777</v>
      </c>
      <c r="T925" s="197"/>
      <c r="U925" s="251" t="s">
        <v>468</v>
      </c>
      <c r="V925" s="280" t="s">
        <v>2028</v>
      </c>
      <c r="W925" s="988" t="s">
        <v>2029</v>
      </c>
      <c r="X925" s="280" t="s">
        <v>2030</v>
      </c>
      <c r="Y925" s="245"/>
      <c r="Z925" s="246"/>
      <c r="AA925" s="246"/>
      <c r="AB925" s="296" t="s">
        <v>4447</v>
      </c>
      <c r="AC925" s="223" t="s">
        <v>946</v>
      </c>
      <c r="AD925" s="376"/>
      <c r="AE925" s="494" t="s">
        <v>4440</v>
      </c>
      <c r="AF925" s="494">
        <v>45476</v>
      </c>
      <c r="AG925" s="241"/>
      <c r="AH925" s="283"/>
      <c r="AI925" s="254" t="s">
        <v>1351</v>
      </c>
      <c r="AJ925" s="303" t="s">
        <v>136</v>
      </c>
      <c r="AK925" s="291">
        <v>3</v>
      </c>
      <c r="AL925" s="123" t="s">
        <v>479</v>
      </c>
      <c r="AM925" s="123" t="s">
        <v>460</v>
      </c>
      <c r="AN925" s="138"/>
      <c r="AO925" s="138"/>
      <c r="AP925" s="115"/>
      <c r="AQ925" s="115"/>
      <c r="AR925" s="115"/>
      <c r="AS925" s="115"/>
      <c r="AT925" s="115"/>
    </row>
    <row r="926" spans="1:46" ht="39" customHeight="1" x14ac:dyDescent="0.25">
      <c r="A926" s="1468">
        <v>925</v>
      </c>
      <c r="B926" s="161">
        <v>3</v>
      </c>
      <c r="C926" s="260" t="s">
        <v>346</v>
      </c>
      <c r="D926" s="241"/>
      <c r="E926" s="241"/>
      <c r="F926" s="241"/>
      <c r="G926" s="261" t="s">
        <v>347</v>
      </c>
      <c r="H926" s="262" t="s">
        <v>85</v>
      </c>
      <c r="I926" s="364"/>
      <c r="J926" s="245" t="s">
        <v>556</v>
      </c>
      <c r="K926" s="257"/>
      <c r="L926" s="288"/>
      <c r="M926" s="288"/>
      <c r="N926" s="245"/>
      <c r="O926" s="1392"/>
      <c r="P926" s="1312"/>
      <c r="Q926" s="380"/>
      <c r="R926" s="1003" t="s">
        <v>66</v>
      </c>
      <c r="S926" s="279"/>
      <c r="T926" s="289"/>
      <c r="U926" s="251"/>
      <c r="V926" s="245"/>
      <c r="W926" s="250"/>
      <c r="X926" s="197"/>
      <c r="Y926" s="949"/>
      <c r="Z926" s="246"/>
      <c r="AA926" s="245"/>
      <c r="AB926" s="288"/>
      <c r="AC926" s="223"/>
      <c r="AD926" s="245"/>
      <c r="AE926" s="494"/>
      <c r="AF926" s="494"/>
      <c r="AG926" s="241"/>
      <c r="AH926" s="253"/>
      <c r="AI926" s="296"/>
      <c r="AJ926" s="303"/>
      <c r="AK926" s="241">
        <v>4</v>
      </c>
      <c r="AL926" s="123" t="s">
        <v>479</v>
      </c>
      <c r="AM926" s="123" t="s">
        <v>460</v>
      </c>
      <c r="AN926" s="151"/>
      <c r="AO926" s="151"/>
      <c r="AP926" s="115"/>
      <c r="AQ926" s="115"/>
      <c r="AR926" s="115"/>
      <c r="AS926" s="115"/>
      <c r="AT926" s="115"/>
    </row>
    <row r="927" spans="1:46" ht="39" customHeight="1" x14ac:dyDescent="0.25">
      <c r="A927" s="1468">
        <v>926</v>
      </c>
      <c r="B927" s="146">
        <v>2</v>
      </c>
      <c r="C927" s="260" t="s">
        <v>319</v>
      </c>
      <c r="D927" s="241"/>
      <c r="E927" s="241"/>
      <c r="F927" s="241"/>
      <c r="G927" s="261" t="s">
        <v>350</v>
      </c>
      <c r="H927" s="262" t="s">
        <v>87</v>
      </c>
      <c r="I927" s="357"/>
      <c r="J927" s="245" t="s">
        <v>561</v>
      </c>
      <c r="K927" s="216"/>
      <c r="L927" s="281" t="s">
        <v>1527</v>
      </c>
      <c r="M927" s="281" t="s">
        <v>1676</v>
      </c>
      <c r="N927" s="366"/>
      <c r="O927" s="216"/>
      <c r="P927" s="402"/>
      <c r="Q927" s="301" t="s">
        <v>87</v>
      </c>
      <c r="R927" s="427" t="s">
        <v>1715</v>
      </c>
      <c r="S927" s="279" t="s">
        <v>4569</v>
      </c>
      <c r="T927" s="197"/>
      <c r="U927" s="251" t="s">
        <v>54</v>
      </c>
      <c r="V927" s="197" t="s">
        <v>3296</v>
      </c>
      <c r="W927" s="197" t="s">
        <v>295</v>
      </c>
      <c r="X927" s="197" t="s">
        <v>475</v>
      </c>
      <c r="Y927" s="288" t="s">
        <v>3300</v>
      </c>
      <c r="Z927" s="246">
        <v>45198</v>
      </c>
      <c r="AA927" s="246"/>
      <c r="AB927" s="296" t="s">
        <v>4443</v>
      </c>
      <c r="AC927" s="223" t="s">
        <v>946</v>
      </c>
      <c r="AD927" s="376"/>
      <c r="AE927" s="494" t="s">
        <v>4359</v>
      </c>
      <c r="AF927" s="494">
        <v>45477</v>
      </c>
      <c r="AG927" s="241"/>
      <c r="AH927" s="283"/>
      <c r="AI927" s="254" t="s">
        <v>1351</v>
      </c>
      <c r="AJ927" s="303" t="s">
        <v>136</v>
      </c>
      <c r="AK927" s="241">
        <v>4</v>
      </c>
      <c r="AL927" s="123" t="s">
        <v>479</v>
      </c>
      <c r="AM927" s="123" t="s">
        <v>460</v>
      </c>
      <c r="AN927" s="151"/>
      <c r="AO927" s="151"/>
      <c r="AP927" s="115"/>
      <c r="AQ927" s="115"/>
      <c r="AR927" s="115"/>
      <c r="AS927" s="115"/>
      <c r="AT927" s="115"/>
    </row>
    <row r="928" spans="1:46" ht="39" customHeight="1" x14ac:dyDescent="0.25">
      <c r="A928" s="1468">
        <v>927</v>
      </c>
      <c r="B928" s="146">
        <v>2</v>
      </c>
      <c r="C928" s="260" t="s">
        <v>319</v>
      </c>
      <c r="D928" s="241"/>
      <c r="E928" s="241"/>
      <c r="F928" s="241"/>
      <c r="G928" s="261" t="s">
        <v>350</v>
      </c>
      <c r="H928" s="262" t="s">
        <v>87</v>
      </c>
      <c r="I928" s="357"/>
      <c r="J928" s="245" t="s">
        <v>561</v>
      </c>
      <c r="K928" s="684"/>
      <c r="L928" s="685"/>
      <c r="M928" s="685"/>
      <c r="N928" s="684"/>
      <c r="O928" s="950" t="s">
        <v>2429</v>
      </c>
      <c r="P928" s="372"/>
      <c r="Q928" s="344" t="s">
        <v>293</v>
      </c>
      <c r="R928" s="1285" t="s">
        <v>2428</v>
      </c>
      <c r="S928" s="279">
        <v>34308</v>
      </c>
      <c r="T928" s="684"/>
      <c r="U928" s="251" t="s">
        <v>54</v>
      </c>
      <c r="V928" s="197" t="s">
        <v>5717</v>
      </c>
      <c r="W928" s="197" t="s">
        <v>295</v>
      </c>
      <c r="X928" s="197" t="s">
        <v>475</v>
      </c>
      <c r="Y928" s="1536" t="s">
        <v>5718</v>
      </c>
      <c r="Z928" s="246">
        <v>45273</v>
      </c>
      <c r="AA928" s="252"/>
      <c r="AB928" s="1290"/>
      <c r="AC928" s="684"/>
      <c r="AD928" s="686"/>
      <c r="AE928" s="494"/>
      <c r="AF928" s="494"/>
      <c r="AG928" s="684"/>
      <c r="AH928" s="684"/>
      <c r="AI928" s="685"/>
      <c r="AJ928" s="348" t="s">
        <v>560</v>
      </c>
      <c r="AK928" s="241">
        <v>4</v>
      </c>
      <c r="AL928" s="123" t="s">
        <v>479</v>
      </c>
      <c r="AM928" s="123" t="s">
        <v>460</v>
      </c>
      <c r="AN928" s="151"/>
      <c r="AO928" s="151"/>
      <c r="AP928" s="115"/>
      <c r="AQ928" s="115"/>
      <c r="AR928" s="115"/>
      <c r="AS928" s="115"/>
      <c r="AT928" s="115"/>
    </row>
    <row r="929" spans="1:46" ht="39" customHeight="1" x14ac:dyDescent="0.25">
      <c r="A929" s="1468">
        <v>928</v>
      </c>
      <c r="B929" s="117">
        <v>2</v>
      </c>
      <c r="C929" s="501" t="s">
        <v>353</v>
      </c>
      <c r="D929" s="241"/>
      <c r="E929" s="241"/>
      <c r="F929" s="241"/>
      <c r="G929" s="261" t="s">
        <v>354</v>
      </c>
      <c r="H929" s="262" t="s">
        <v>87</v>
      </c>
      <c r="I929" s="357"/>
      <c r="J929" s="245" t="s">
        <v>561</v>
      </c>
      <c r="K929" s="257"/>
      <c r="L929" s="288" t="s">
        <v>5144</v>
      </c>
      <c r="M929" s="288" t="s">
        <v>5144</v>
      </c>
      <c r="N929" s="245"/>
      <c r="O929" s="1392" t="s">
        <v>5250</v>
      </c>
      <c r="P929" s="1312"/>
      <c r="Q929" s="380" t="s">
        <v>87</v>
      </c>
      <c r="R929" s="1003" t="s">
        <v>5386</v>
      </c>
      <c r="S929" s="279">
        <v>36850</v>
      </c>
      <c r="T929" s="289"/>
      <c r="U929" s="251" t="s">
        <v>54</v>
      </c>
      <c r="V929" s="245" t="s">
        <v>5171</v>
      </c>
      <c r="W929" s="250" t="s">
        <v>295</v>
      </c>
      <c r="X929" s="197"/>
      <c r="Y929" s="949" t="s">
        <v>5829</v>
      </c>
      <c r="Z929" s="246">
        <v>45260</v>
      </c>
      <c r="AA929" s="245"/>
      <c r="AB929" s="288" t="s">
        <v>5289</v>
      </c>
      <c r="AC929" s="223" t="s">
        <v>4220</v>
      </c>
      <c r="AD929" s="245" t="s">
        <v>467</v>
      </c>
      <c r="AE929" s="494">
        <v>45256</v>
      </c>
      <c r="AF929" s="494">
        <v>45621</v>
      </c>
      <c r="AG929" s="241"/>
      <c r="AH929" s="253"/>
      <c r="AI929" s="296" t="s">
        <v>4208</v>
      </c>
      <c r="AJ929" s="303" t="s">
        <v>136</v>
      </c>
      <c r="AK929" s="241">
        <v>4</v>
      </c>
      <c r="AL929" s="123" t="s">
        <v>479</v>
      </c>
      <c r="AM929" s="123" t="s">
        <v>460</v>
      </c>
      <c r="AN929" s="151" t="s">
        <v>5764</v>
      </c>
      <c r="AO929" s="151"/>
      <c r="AP929" s="115"/>
      <c r="AQ929" s="115"/>
      <c r="AR929" s="115"/>
      <c r="AS929" s="115"/>
      <c r="AT929" s="115"/>
    </row>
    <row r="930" spans="1:46" ht="39" customHeight="1" x14ac:dyDescent="0.25">
      <c r="A930" s="1468">
        <v>929</v>
      </c>
      <c r="B930" s="117">
        <v>2</v>
      </c>
      <c r="C930" s="501" t="s">
        <v>360</v>
      </c>
      <c r="D930" s="241"/>
      <c r="E930" s="241"/>
      <c r="F930" s="241"/>
      <c r="G930" s="261" t="s">
        <v>354</v>
      </c>
      <c r="H930" s="262" t="s">
        <v>87</v>
      </c>
      <c r="I930" s="357" t="s">
        <v>361</v>
      </c>
      <c r="J930" s="245" t="s">
        <v>561</v>
      </c>
      <c r="K930" s="277"/>
      <c r="L930" s="288" t="s">
        <v>5144</v>
      </c>
      <c r="M930" s="288" t="s">
        <v>5144</v>
      </c>
      <c r="N930" s="276"/>
      <c r="O930" s="1392" t="s">
        <v>5251</v>
      </c>
      <c r="P930" s="772"/>
      <c r="Q930" s="380" t="s">
        <v>87</v>
      </c>
      <c r="R930" s="1003" t="s">
        <v>5204</v>
      </c>
      <c r="S930" s="279">
        <v>37657</v>
      </c>
      <c r="T930" s="399"/>
      <c r="U930" s="251" t="s">
        <v>54</v>
      </c>
      <c r="V930" s="245" t="s">
        <v>5171</v>
      </c>
      <c r="W930" s="250" t="s">
        <v>295</v>
      </c>
      <c r="X930" s="197"/>
      <c r="Y930" s="949" t="s">
        <v>5829</v>
      </c>
      <c r="Z930" s="246">
        <v>45260</v>
      </c>
      <c r="AA930" s="441"/>
      <c r="AB930" s="288" t="s">
        <v>5290</v>
      </c>
      <c r="AC930" s="488"/>
      <c r="AD930" s="245" t="s">
        <v>467</v>
      </c>
      <c r="AE930" s="494">
        <v>45256</v>
      </c>
      <c r="AF930" s="494">
        <v>45621</v>
      </c>
      <c r="AG930" s="476"/>
      <c r="AH930" s="871"/>
      <c r="AI930" s="296" t="s">
        <v>4208</v>
      </c>
      <c r="AJ930" s="303" t="s">
        <v>136</v>
      </c>
      <c r="AK930" s="241">
        <v>4</v>
      </c>
      <c r="AL930" s="123" t="s">
        <v>479</v>
      </c>
      <c r="AM930" s="123" t="s">
        <v>460</v>
      </c>
      <c r="AN930" s="151" t="s">
        <v>5764</v>
      </c>
      <c r="AO930" s="127"/>
      <c r="AP930" s="178"/>
      <c r="AQ930" s="164"/>
      <c r="AR930" s="115"/>
      <c r="AS930" s="115"/>
      <c r="AT930" s="115"/>
    </row>
    <row r="931" spans="1:46" ht="39" customHeight="1" x14ac:dyDescent="0.25">
      <c r="A931" s="1468">
        <v>930</v>
      </c>
      <c r="B931" s="117"/>
      <c r="C931" s="989"/>
      <c r="D931" s="664"/>
      <c r="E931" s="664"/>
      <c r="F931" s="664"/>
      <c r="G931" s="227"/>
      <c r="H931" s="228"/>
      <c r="I931" s="228"/>
      <c r="J931" s="229"/>
      <c r="K931" s="227"/>
      <c r="L931" s="229"/>
      <c r="M931" s="229"/>
      <c r="N931" s="229"/>
      <c r="O931" s="309"/>
      <c r="P931" s="230" t="s">
        <v>363</v>
      </c>
      <c r="Q931" s="726"/>
      <c r="R931" s="1004"/>
      <c r="S931" s="279"/>
      <c r="T931" s="232"/>
      <c r="U931" s="250"/>
      <c r="V931" s="232"/>
      <c r="W931" s="232"/>
      <c r="X931" s="232"/>
      <c r="Y931" s="232"/>
      <c r="Z931" s="233"/>
      <c r="AA931" s="234"/>
      <c r="AB931" s="235"/>
      <c r="AC931" s="236"/>
      <c r="AD931" s="235"/>
      <c r="AE931" s="1412"/>
      <c r="AF931" s="1412"/>
      <c r="AG931" s="664"/>
      <c r="AH931" s="238"/>
      <c r="AI931" s="239"/>
      <c r="AJ931" s="576"/>
      <c r="AK931" s="664"/>
      <c r="AL931" s="113"/>
      <c r="AM931" s="113"/>
      <c r="AN931" s="163"/>
      <c r="AO931" s="114"/>
      <c r="AP931" s="115"/>
      <c r="AQ931" s="115"/>
      <c r="AR931" s="115"/>
      <c r="AS931" s="115"/>
      <c r="AT931" s="116"/>
    </row>
    <row r="932" spans="1:46" ht="39" customHeight="1" x14ac:dyDescent="0.3">
      <c r="A932" s="1468">
        <v>931</v>
      </c>
      <c r="B932" s="119">
        <v>10</v>
      </c>
      <c r="C932" s="240" t="s">
        <v>305</v>
      </c>
      <c r="D932" s="241"/>
      <c r="E932" s="242" t="s">
        <v>47</v>
      </c>
      <c r="F932" s="241"/>
      <c r="G932" s="243" t="s">
        <v>340</v>
      </c>
      <c r="H932" s="244" t="s">
        <v>83</v>
      </c>
      <c r="I932" s="340"/>
      <c r="J932" s="245">
        <v>302</v>
      </c>
      <c r="K932" s="216" t="s">
        <v>50</v>
      </c>
      <c r="L932" s="281" t="s">
        <v>1478</v>
      </c>
      <c r="M932" s="281" t="s">
        <v>1478</v>
      </c>
      <c r="N932" s="281"/>
      <c r="O932" s="216" t="s">
        <v>1477</v>
      </c>
      <c r="P932" s="287"/>
      <c r="Q932" s="326" t="s">
        <v>83</v>
      </c>
      <c r="R932" s="1163" t="s">
        <v>1476</v>
      </c>
      <c r="S932" s="279">
        <v>35517</v>
      </c>
      <c r="T932" s="250"/>
      <c r="U932" s="250"/>
      <c r="V932" s="197"/>
      <c r="W932" s="197" t="s">
        <v>5026</v>
      </c>
      <c r="X932" s="197"/>
      <c r="Y932" s="1130"/>
      <c r="Z932" s="246"/>
      <c r="AA932" s="252"/>
      <c r="AB932" s="282"/>
      <c r="AC932" s="223"/>
      <c r="AD932" s="281"/>
      <c r="AE932" s="494"/>
      <c r="AF932" s="494"/>
      <c r="AG932" s="241"/>
      <c r="AH932" s="283"/>
      <c r="AI932" s="254"/>
      <c r="AJ932" s="255" t="s">
        <v>62</v>
      </c>
      <c r="AK932" s="242">
        <v>1</v>
      </c>
      <c r="AL932" s="123" t="s">
        <v>479</v>
      </c>
      <c r="AM932" s="123" t="s">
        <v>460</v>
      </c>
      <c r="AN932" s="137"/>
      <c r="AO932" s="137"/>
      <c r="AP932" s="115"/>
      <c r="AQ932" s="115"/>
      <c r="AR932" s="115"/>
      <c r="AS932" s="115"/>
      <c r="AT932" s="115"/>
    </row>
    <row r="933" spans="1:46" ht="39" customHeight="1" x14ac:dyDescent="0.25">
      <c r="A933" s="1468">
        <v>932</v>
      </c>
      <c r="B933" s="117">
        <v>3</v>
      </c>
      <c r="C933" s="260" t="s">
        <v>364</v>
      </c>
      <c r="D933" s="241"/>
      <c r="E933" s="241"/>
      <c r="F933" s="241"/>
      <c r="G933" s="261" t="s">
        <v>365</v>
      </c>
      <c r="H933" s="262" t="s">
        <v>85</v>
      </c>
      <c r="I933" s="357"/>
      <c r="J933" s="245" t="s">
        <v>556</v>
      </c>
      <c r="K933" s="216"/>
      <c r="L933" s="288" t="s">
        <v>5144</v>
      </c>
      <c r="M933" s="288" t="s">
        <v>5144</v>
      </c>
      <c r="N933" s="245"/>
      <c r="O933" s="1392" t="s">
        <v>5252</v>
      </c>
      <c r="P933" s="627"/>
      <c r="Q933" s="380" t="s">
        <v>87</v>
      </c>
      <c r="R933" s="1003" t="s">
        <v>5205</v>
      </c>
      <c r="S933" s="279">
        <v>38287</v>
      </c>
      <c r="T933" s="289"/>
      <c r="U933" s="251" t="s">
        <v>54</v>
      </c>
      <c r="V933" s="245" t="s">
        <v>5171</v>
      </c>
      <c r="W933" s="250" t="s">
        <v>295</v>
      </c>
      <c r="X933" s="197"/>
      <c r="Y933" s="981" t="s">
        <v>5829</v>
      </c>
      <c r="Z933" s="246">
        <v>45260</v>
      </c>
      <c r="AA933" s="281"/>
      <c r="AB933" s="288" t="s">
        <v>5291</v>
      </c>
      <c r="AC933" s="223" t="s">
        <v>946</v>
      </c>
      <c r="AD933" s="245" t="s">
        <v>467</v>
      </c>
      <c r="AE933" s="494">
        <v>45255</v>
      </c>
      <c r="AF933" s="494">
        <v>45620</v>
      </c>
      <c r="AG933" s="241"/>
      <c r="AH933" s="253"/>
      <c r="AI933" s="296" t="s">
        <v>4208</v>
      </c>
      <c r="AJ933" s="303" t="s">
        <v>136</v>
      </c>
      <c r="AK933" s="241">
        <v>4</v>
      </c>
      <c r="AL933" s="123" t="s">
        <v>479</v>
      </c>
      <c r="AM933" s="123" t="s">
        <v>460</v>
      </c>
      <c r="AN933" s="151"/>
      <c r="AO933" s="151"/>
      <c r="AP933" s="115"/>
      <c r="AQ933" s="115"/>
      <c r="AR933" s="115"/>
      <c r="AS933" s="115"/>
      <c r="AT933" s="115"/>
    </row>
    <row r="934" spans="1:46" ht="39" customHeight="1" x14ac:dyDescent="0.25">
      <c r="A934" s="1468">
        <v>933</v>
      </c>
      <c r="B934" s="117"/>
      <c r="C934" s="989"/>
      <c r="D934" s="664"/>
      <c r="E934" s="664"/>
      <c r="F934" s="664"/>
      <c r="G934" s="227"/>
      <c r="H934" s="228"/>
      <c r="I934" s="228"/>
      <c r="J934" s="229"/>
      <c r="K934" s="227"/>
      <c r="L934" s="229"/>
      <c r="M934" s="229"/>
      <c r="N934" s="229"/>
      <c r="O934" s="309"/>
      <c r="P934" s="230" t="s">
        <v>366</v>
      </c>
      <c r="Q934" s="726"/>
      <c r="R934" s="1004"/>
      <c r="S934" s="279"/>
      <c r="T934" s="232"/>
      <c r="U934" s="250"/>
      <c r="V934" s="232"/>
      <c r="W934" s="232"/>
      <c r="X934" s="232"/>
      <c r="Y934" s="232"/>
      <c r="Z934" s="233"/>
      <c r="AA934" s="234"/>
      <c r="AB934" s="235"/>
      <c r="AC934" s="236"/>
      <c r="AD934" s="235"/>
      <c r="AE934" s="1412"/>
      <c r="AF934" s="1412"/>
      <c r="AG934" s="664"/>
      <c r="AH934" s="238"/>
      <c r="AI934" s="239"/>
      <c r="AJ934" s="576"/>
      <c r="AK934" s="664"/>
      <c r="AL934" s="113"/>
      <c r="AM934" s="113"/>
      <c r="AN934" s="163"/>
      <c r="AO934" s="114"/>
      <c r="AP934" s="115"/>
      <c r="AQ934" s="115"/>
      <c r="AR934" s="115"/>
      <c r="AS934" s="115"/>
      <c r="AT934" s="116"/>
    </row>
    <row r="935" spans="1:46" ht="39" customHeight="1" x14ac:dyDescent="0.25">
      <c r="A935" s="1468">
        <v>934</v>
      </c>
      <c r="B935" s="128">
        <v>5</v>
      </c>
      <c r="C935" s="290" t="s">
        <v>367</v>
      </c>
      <c r="D935" s="291"/>
      <c r="E935" s="291" t="s">
        <v>47</v>
      </c>
      <c r="F935" s="291"/>
      <c r="G935" s="292" t="s">
        <v>368</v>
      </c>
      <c r="H935" s="293" t="s">
        <v>132</v>
      </c>
      <c r="I935" s="346"/>
      <c r="J935" s="256">
        <v>403</v>
      </c>
      <c r="K935" s="216"/>
      <c r="L935" s="299" t="s">
        <v>1508</v>
      </c>
      <c r="M935" s="299" t="s">
        <v>1708</v>
      </c>
      <c r="N935" s="245"/>
      <c r="O935" s="392" t="s">
        <v>2946</v>
      </c>
      <c r="P935" s="627"/>
      <c r="Q935" s="594" t="s">
        <v>293</v>
      </c>
      <c r="R935" s="381" t="s">
        <v>1606</v>
      </c>
      <c r="S935" s="279" t="s">
        <v>4778</v>
      </c>
      <c r="T935" s="289"/>
      <c r="U935" s="251" t="s">
        <v>54</v>
      </c>
      <c r="V935" s="197" t="s">
        <v>3296</v>
      </c>
      <c r="W935" s="197" t="s">
        <v>295</v>
      </c>
      <c r="X935" s="197" t="s">
        <v>475</v>
      </c>
      <c r="Y935" s="288" t="s">
        <v>3300</v>
      </c>
      <c r="Z935" s="246">
        <v>45198</v>
      </c>
      <c r="AA935" s="281"/>
      <c r="AB935" s="307" t="s">
        <v>4431</v>
      </c>
      <c r="AC935" s="223" t="s">
        <v>946</v>
      </c>
      <c r="AD935" s="245"/>
      <c r="AE935" s="494" t="s">
        <v>4354</v>
      </c>
      <c r="AF935" s="494">
        <v>45477</v>
      </c>
      <c r="AG935" s="241"/>
      <c r="AH935" s="253"/>
      <c r="AI935" s="284" t="s">
        <v>1351</v>
      </c>
      <c r="AJ935" s="303" t="s">
        <v>136</v>
      </c>
      <c r="AK935" s="348">
        <v>3</v>
      </c>
      <c r="AL935" s="123" t="s">
        <v>479</v>
      </c>
      <c r="AM935" s="123" t="s">
        <v>460</v>
      </c>
      <c r="AN935" s="138"/>
      <c r="AO935" s="138"/>
      <c r="AP935" s="115"/>
      <c r="AQ935" s="115"/>
      <c r="AR935" s="115"/>
      <c r="AS935" s="115"/>
      <c r="AT935" s="115"/>
    </row>
    <row r="936" spans="1:46" ht="39" customHeight="1" x14ac:dyDescent="0.25">
      <c r="A936" s="1468">
        <v>935</v>
      </c>
      <c r="B936" s="117">
        <v>3</v>
      </c>
      <c r="C936" s="378" t="s">
        <v>369</v>
      </c>
      <c r="D936" s="303"/>
      <c r="E936" s="241"/>
      <c r="F936" s="241"/>
      <c r="G936" s="261" t="s">
        <v>370</v>
      </c>
      <c r="H936" s="262" t="s">
        <v>87</v>
      </c>
      <c r="I936" s="357"/>
      <c r="J936" s="245" t="s">
        <v>561</v>
      </c>
      <c r="K936" s="257"/>
      <c r="L936" s="299" t="s">
        <v>1508</v>
      </c>
      <c r="M936" s="299" t="s">
        <v>1708</v>
      </c>
      <c r="N936" s="245"/>
      <c r="O936" s="392" t="s">
        <v>3005</v>
      </c>
      <c r="P936" s="627"/>
      <c r="Q936" s="594" t="s">
        <v>293</v>
      </c>
      <c r="R936" s="381" t="s">
        <v>1616</v>
      </c>
      <c r="S936" s="279">
        <v>38440</v>
      </c>
      <c r="T936" s="289"/>
      <c r="U936" s="251" t="s">
        <v>54</v>
      </c>
      <c r="V936" s="197" t="s">
        <v>3296</v>
      </c>
      <c r="W936" s="197" t="s">
        <v>295</v>
      </c>
      <c r="X936" s="197" t="s">
        <v>475</v>
      </c>
      <c r="Y936" s="288" t="s">
        <v>3300</v>
      </c>
      <c r="Z936" s="246">
        <v>45198</v>
      </c>
      <c r="AA936" s="281"/>
      <c r="AB936" s="245"/>
      <c r="AC936" s="223" t="s">
        <v>946</v>
      </c>
      <c r="AD936" s="245"/>
      <c r="AE936" s="494"/>
      <c r="AF936" s="494"/>
      <c r="AG936" s="241"/>
      <c r="AH936" s="253"/>
      <c r="AI936" s="284" t="s">
        <v>1351</v>
      </c>
      <c r="AJ936" s="303" t="s">
        <v>136</v>
      </c>
      <c r="AK936" s="241">
        <v>4</v>
      </c>
      <c r="AL936" s="123" t="s">
        <v>479</v>
      </c>
      <c r="AM936" s="123" t="s">
        <v>460</v>
      </c>
      <c r="AN936" s="173"/>
      <c r="AO936" s="151"/>
      <c r="AP936" s="115"/>
      <c r="AQ936" s="115"/>
      <c r="AR936" s="115"/>
      <c r="AS936" s="115"/>
      <c r="AT936" s="115"/>
    </row>
    <row r="937" spans="1:46" ht="39" customHeight="1" x14ac:dyDescent="0.25">
      <c r="A937" s="1468">
        <v>936</v>
      </c>
      <c r="B937" s="161">
        <v>2</v>
      </c>
      <c r="C937" s="260" t="s">
        <v>371</v>
      </c>
      <c r="D937" s="241"/>
      <c r="E937" s="241"/>
      <c r="F937" s="241"/>
      <c r="G937" s="261" t="s">
        <v>372</v>
      </c>
      <c r="H937" s="262" t="s">
        <v>87</v>
      </c>
      <c r="I937" s="364"/>
      <c r="J937" s="245" t="s">
        <v>561</v>
      </c>
      <c r="K937" s="197"/>
      <c r="L937" s="299" t="s">
        <v>1508</v>
      </c>
      <c r="M937" s="299" t="s">
        <v>1708</v>
      </c>
      <c r="N937" s="245"/>
      <c r="O937" s="392" t="s">
        <v>2899</v>
      </c>
      <c r="P937" s="706"/>
      <c r="Q937" s="594" t="s">
        <v>293</v>
      </c>
      <c r="R937" s="381" t="s">
        <v>6069</v>
      </c>
      <c r="S937" s="279" t="s">
        <v>4779</v>
      </c>
      <c r="T937" s="289"/>
      <c r="U937" s="251" t="s">
        <v>54</v>
      </c>
      <c r="V937" s="197" t="s">
        <v>3296</v>
      </c>
      <c r="W937" s="197" t="s">
        <v>295</v>
      </c>
      <c r="X937" s="197" t="s">
        <v>475</v>
      </c>
      <c r="Y937" s="288" t="s">
        <v>3300</v>
      </c>
      <c r="Z937" s="246">
        <v>45198</v>
      </c>
      <c r="AA937" s="281"/>
      <c r="AB937" s="307" t="s">
        <v>4373</v>
      </c>
      <c r="AC937" s="223" t="s">
        <v>946</v>
      </c>
      <c r="AD937" s="245"/>
      <c r="AE937" s="494" t="s">
        <v>4354</v>
      </c>
      <c r="AF937" s="494">
        <v>45477</v>
      </c>
      <c r="AG937" s="241"/>
      <c r="AH937" s="253"/>
      <c r="AI937" s="284" t="s">
        <v>1351</v>
      </c>
      <c r="AJ937" s="303" t="s">
        <v>136</v>
      </c>
      <c r="AK937" s="241">
        <v>4</v>
      </c>
      <c r="AL937" s="123" t="s">
        <v>479</v>
      </c>
      <c r="AM937" s="123" t="s">
        <v>460</v>
      </c>
      <c r="AN937" s="167"/>
      <c r="AO937" s="151"/>
      <c r="AP937" s="115"/>
      <c r="AQ937" s="115"/>
      <c r="AR937" s="115"/>
      <c r="AS937" s="115"/>
      <c r="AT937" s="115"/>
    </row>
    <row r="938" spans="1:46" ht="39" customHeight="1" x14ac:dyDescent="0.25">
      <c r="A938" s="1468">
        <v>937</v>
      </c>
      <c r="B938" s="117">
        <v>2</v>
      </c>
      <c r="C938" s="504" t="s">
        <v>353</v>
      </c>
      <c r="D938" s="471"/>
      <c r="E938" s="471"/>
      <c r="F938" s="471"/>
      <c r="G938" s="472" t="s">
        <v>354</v>
      </c>
      <c r="H938" s="1302" t="s">
        <v>87</v>
      </c>
      <c r="I938" s="473"/>
      <c r="J938" s="264" t="s">
        <v>561</v>
      </c>
      <c r="K938" s="265"/>
      <c r="L938" s="299" t="s">
        <v>5415</v>
      </c>
      <c r="M938" s="288" t="s">
        <v>5415</v>
      </c>
      <c r="N938" s="264"/>
      <c r="O938" s="626" t="s">
        <v>5461</v>
      </c>
      <c r="P938" s="1363"/>
      <c r="Q938" s="197" t="s">
        <v>87</v>
      </c>
      <c r="R938" s="682" t="s">
        <v>5460</v>
      </c>
      <c r="S938" s="279">
        <v>37728</v>
      </c>
      <c r="T938" s="440"/>
      <c r="U938" s="251" t="s">
        <v>54</v>
      </c>
      <c r="V938" s="299" t="s">
        <v>5415</v>
      </c>
      <c r="W938" s="197" t="s">
        <v>295</v>
      </c>
      <c r="X938" s="197"/>
      <c r="Y938" s="197" t="s">
        <v>5500</v>
      </c>
      <c r="Z938" s="246">
        <v>45266</v>
      </c>
      <c r="AA938" s="438"/>
      <c r="AB938" s="288" t="s">
        <v>5462</v>
      </c>
      <c r="AC938" s="223" t="s">
        <v>482</v>
      </c>
      <c r="AD938" s="264"/>
      <c r="AE938" s="494">
        <v>45261</v>
      </c>
      <c r="AF938" s="494">
        <v>45626</v>
      </c>
      <c r="AG938" s="471"/>
      <c r="AH938" s="803"/>
      <c r="AI938" s="307" t="s">
        <v>4208</v>
      </c>
      <c r="AJ938" s="303" t="s">
        <v>136</v>
      </c>
      <c r="AK938" s="471">
        <v>4</v>
      </c>
      <c r="AL938" s="176" t="s">
        <v>479</v>
      </c>
      <c r="AM938" s="176" t="s">
        <v>460</v>
      </c>
      <c r="AN938" s="151" t="s">
        <v>4193</v>
      </c>
      <c r="AO938" s="167"/>
      <c r="AP938" s="115"/>
      <c r="AQ938" s="115"/>
      <c r="AR938" s="115"/>
      <c r="AS938" s="115"/>
      <c r="AT938" s="115"/>
    </row>
    <row r="939" spans="1:46" ht="39" customHeight="1" x14ac:dyDescent="0.25">
      <c r="A939" s="1468">
        <v>938</v>
      </c>
      <c r="B939" s="987"/>
      <c r="C939" s="989"/>
      <c r="D939" s="664"/>
      <c r="E939" s="664"/>
      <c r="F939" s="664"/>
      <c r="G939" s="227"/>
      <c r="H939" s="228"/>
      <c r="I939" s="228"/>
      <c r="J939" s="229"/>
      <c r="K939" s="227"/>
      <c r="L939" s="229"/>
      <c r="M939" s="229"/>
      <c r="N939" s="229"/>
      <c r="O939" s="309"/>
      <c r="P939" s="230" t="s">
        <v>373</v>
      </c>
      <c r="Q939" s="726"/>
      <c r="R939" s="1004"/>
      <c r="S939" s="279"/>
      <c r="T939" s="232"/>
      <c r="U939" s="250"/>
      <c r="V939" s="232"/>
      <c r="W939" s="232"/>
      <c r="X939" s="232"/>
      <c r="Y939" s="232"/>
      <c r="Z939" s="233"/>
      <c r="AA939" s="234"/>
      <c r="AB939" s="235"/>
      <c r="AC939" s="236"/>
      <c r="AD939" s="235"/>
      <c r="AE939" s="1412"/>
      <c r="AF939" s="1412"/>
      <c r="AG939" s="664"/>
      <c r="AH939" s="238"/>
      <c r="AI939" s="239"/>
      <c r="AJ939" s="576"/>
      <c r="AK939" s="664"/>
      <c r="AL939" s="113"/>
      <c r="AM939" s="113"/>
      <c r="AN939" s="163"/>
      <c r="AO939" s="114"/>
      <c r="AP939" s="115"/>
      <c r="AQ939" s="115"/>
      <c r="AR939" s="115"/>
      <c r="AS939" s="115"/>
      <c r="AT939" s="116"/>
    </row>
    <row r="940" spans="1:46" ht="39" customHeight="1" x14ac:dyDescent="0.25">
      <c r="A940" s="1468">
        <v>939</v>
      </c>
      <c r="B940" s="128">
        <v>7</v>
      </c>
      <c r="C940" s="497" t="s">
        <v>374</v>
      </c>
      <c r="D940" s="498"/>
      <c r="E940" s="498" t="s">
        <v>47</v>
      </c>
      <c r="F940" s="498"/>
      <c r="G940" s="499" t="s">
        <v>375</v>
      </c>
      <c r="H940" s="500" t="s">
        <v>132</v>
      </c>
      <c r="I940" s="479"/>
      <c r="J940" s="734">
        <v>403</v>
      </c>
      <c r="K940" s="436"/>
      <c r="L940" s="412" t="s">
        <v>1508</v>
      </c>
      <c r="M940" s="412" t="s">
        <v>1708</v>
      </c>
      <c r="N940" s="276"/>
      <c r="O940" s="1381" t="s">
        <v>3006</v>
      </c>
      <c r="P940" s="772"/>
      <c r="Q940" s="1110" t="s">
        <v>293</v>
      </c>
      <c r="R940" s="999" t="s">
        <v>1617</v>
      </c>
      <c r="S940" s="279">
        <v>37950</v>
      </c>
      <c r="T940" s="399"/>
      <c r="U940" s="251" t="s">
        <v>54</v>
      </c>
      <c r="V940" s="280" t="s">
        <v>3296</v>
      </c>
      <c r="W940" s="280" t="s">
        <v>295</v>
      </c>
      <c r="X940" s="280" t="s">
        <v>475</v>
      </c>
      <c r="Y940" s="288" t="s">
        <v>3300</v>
      </c>
      <c r="Z940" s="486">
        <v>45198</v>
      </c>
      <c r="AA940" s="441"/>
      <c r="AB940" s="443" t="s">
        <v>4431</v>
      </c>
      <c r="AC940" s="488" t="s">
        <v>946</v>
      </c>
      <c r="AD940" s="276"/>
      <c r="AE940" s="494">
        <v>45112</v>
      </c>
      <c r="AF940" s="494">
        <v>45477</v>
      </c>
      <c r="AG940" s="476"/>
      <c r="AH940" s="871"/>
      <c r="AI940" s="760" t="s">
        <v>1351</v>
      </c>
      <c r="AJ940" s="507" t="s">
        <v>136</v>
      </c>
      <c r="AK940" s="491">
        <v>3</v>
      </c>
      <c r="AL940" s="175" t="s">
        <v>479</v>
      </c>
      <c r="AM940" s="175" t="s">
        <v>460</v>
      </c>
      <c r="AN940" s="138"/>
      <c r="AO940" s="170"/>
      <c r="AP940" s="115"/>
      <c r="AQ940" s="115"/>
      <c r="AR940" s="115"/>
      <c r="AS940" s="115"/>
      <c r="AT940" s="115"/>
    </row>
    <row r="941" spans="1:46" ht="39" customHeight="1" x14ac:dyDescent="0.25">
      <c r="A941" s="1468">
        <v>940</v>
      </c>
      <c r="B941" s="117">
        <v>3</v>
      </c>
      <c r="C941" s="260" t="s">
        <v>376</v>
      </c>
      <c r="D941" s="241"/>
      <c r="E941" s="241"/>
      <c r="F941" s="241"/>
      <c r="G941" s="261" t="s">
        <v>377</v>
      </c>
      <c r="H941" s="262" t="s">
        <v>85</v>
      </c>
      <c r="I941" s="357"/>
      <c r="J941" s="245" t="s">
        <v>556</v>
      </c>
      <c r="K941" s="216"/>
      <c r="L941" s="299" t="s">
        <v>1508</v>
      </c>
      <c r="M941" s="299" t="s">
        <v>1708</v>
      </c>
      <c r="N941" s="245"/>
      <c r="O941" s="392" t="s">
        <v>2948</v>
      </c>
      <c r="P941" s="627"/>
      <c r="Q941" s="594" t="s">
        <v>293</v>
      </c>
      <c r="R941" s="381" t="s">
        <v>6070</v>
      </c>
      <c r="S941" s="279" t="s">
        <v>4780</v>
      </c>
      <c r="T941" s="289"/>
      <c r="U941" s="251" t="s">
        <v>54</v>
      </c>
      <c r="V941" s="197" t="s">
        <v>3296</v>
      </c>
      <c r="W941" s="197" t="s">
        <v>295</v>
      </c>
      <c r="X941" s="197" t="s">
        <v>475</v>
      </c>
      <c r="Y941" s="288" t="s">
        <v>3300</v>
      </c>
      <c r="Z941" s="246">
        <v>45198</v>
      </c>
      <c r="AA941" s="281"/>
      <c r="AB941" s="296" t="s">
        <v>4449</v>
      </c>
      <c r="AC941" s="223" t="s">
        <v>946</v>
      </c>
      <c r="AD941" s="245"/>
      <c r="AE941" s="494" t="s">
        <v>4345</v>
      </c>
      <c r="AF941" s="494">
        <v>45478</v>
      </c>
      <c r="AG941" s="241"/>
      <c r="AH941" s="253"/>
      <c r="AI941" s="284" t="s">
        <v>1351</v>
      </c>
      <c r="AJ941" s="303" t="s">
        <v>136</v>
      </c>
      <c r="AK941" s="241">
        <v>4</v>
      </c>
      <c r="AL941" s="123" t="s">
        <v>479</v>
      </c>
      <c r="AM941" s="123" t="s">
        <v>460</v>
      </c>
      <c r="AN941" s="173"/>
      <c r="AO941" s="151"/>
      <c r="AP941" s="115"/>
      <c r="AQ941" s="115"/>
      <c r="AR941" s="115"/>
      <c r="AS941" s="115"/>
      <c r="AT941" s="115"/>
    </row>
    <row r="942" spans="1:46" ht="39" customHeight="1" x14ac:dyDescent="0.25">
      <c r="A942" s="1468">
        <v>941</v>
      </c>
      <c r="B942" s="117">
        <v>2</v>
      </c>
      <c r="C942" s="260" t="s">
        <v>299</v>
      </c>
      <c r="D942" s="241"/>
      <c r="E942" s="241"/>
      <c r="F942" s="241"/>
      <c r="G942" s="261" t="s">
        <v>300</v>
      </c>
      <c r="H942" s="262" t="s">
        <v>87</v>
      </c>
      <c r="I942" s="357"/>
      <c r="J942" s="245" t="s">
        <v>561</v>
      </c>
      <c r="K942" s="257"/>
      <c r="L942" s="288" t="s">
        <v>5144</v>
      </c>
      <c r="M942" s="288" t="s">
        <v>5144</v>
      </c>
      <c r="N942" s="245"/>
      <c r="O942" s="1392" t="s">
        <v>5253</v>
      </c>
      <c r="P942" s="1312"/>
      <c r="Q942" s="380" t="s">
        <v>87</v>
      </c>
      <c r="R942" s="1003" t="s">
        <v>5206</v>
      </c>
      <c r="S942" s="279">
        <v>37716</v>
      </c>
      <c r="T942" s="289"/>
      <c r="U942" s="251" t="s">
        <v>54</v>
      </c>
      <c r="V942" s="245" t="s">
        <v>5171</v>
      </c>
      <c r="W942" s="250" t="s">
        <v>295</v>
      </c>
      <c r="X942" s="197"/>
      <c r="Y942" s="949" t="s">
        <v>5829</v>
      </c>
      <c r="Z942" s="246">
        <v>45260</v>
      </c>
      <c r="AA942" s="245"/>
      <c r="AB942" s="288" t="s">
        <v>5292</v>
      </c>
      <c r="AC942" s="223"/>
      <c r="AD942" s="245" t="s">
        <v>467</v>
      </c>
      <c r="AE942" s="494">
        <v>45256</v>
      </c>
      <c r="AF942" s="494">
        <v>45621</v>
      </c>
      <c r="AG942" s="241"/>
      <c r="AH942" s="253"/>
      <c r="AI942" s="296" t="s">
        <v>4208</v>
      </c>
      <c r="AJ942" s="303" t="s">
        <v>136</v>
      </c>
      <c r="AK942" s="241">
        <v>4</v>
      </c>
      <c r="AL942" s="123" t="s">
        <v>479</v>
      </c>
      <c r="AM942" s="123" t="s">
        <v>460</v>
      </c>
      <c r="AN942" s="167"/>
      <c r="AO942" s="151"/>
      <c r="AP942" s="115"/>
      <c r="AQ942" s="115"/>
      <c r="AR942" s="115"/>
      <c r="AS942" s="115"/>
      <c r="AT942" s="115"/>
    </row>
    <row r="943" spans="1:46" ht="39" customHeight="1" x14ac:dyDescent="0.25">
      <c r="A943" s="1468">
        <v>942</v>
      </c>
      <c r="B943" s="117">
        <v>2</v>
      </c>
      <c r="C943" s="501" t="s">
        <v>360</v>
      </c>
      <c r="D943" s="241"/>
      <c r="E943" s="241"/>
      <c r="F943" s="241"/>
      <c r="G943" s="261" t="s">
        <v>354</v>
      </c>
      <c r="H943" s="262" t="s">
        <v>87</v>
      </c>
      <c r="I943" s="357"/>
      <c r="J943" s="245" t="s">
        <v>561</v>
      </c>
      <c r="K943" s="216"/>
      <c r="L943" s="299" t="s">
        <v>1508</v>
      </c>
      <c r="M943" s="299" t="s">
        <v>1708</v>
      </c>
      <c r="N943" s="245"/>
      <c r="O943" s="392" t="s">
        <v>2964</v>
      </c>
      <c r="P943" s="627"/>
      <c r="Q943" s="594" t="s">
        <v>293</v>
      </c>
      <c r="R943" s="381" t="s">
        <v>1612</v>
      </c>
      <c r="S943" s="279">
        <v>37966</v>
      </c>
      <c r="T943" s="289"/>
      <c r="U943" s="251" t="s">
        <v>54</v>
      </c>
      <c r="V943" s="197" t="s">
        <v>3296</v>
      </c>
      <c r="W943" s="197" t="s">
        <v>295</v>
      </c>
      <c r="X943" s="197" t="s">
        <v>475</v>
      </c>
      <c r="Y943" s="288" t="s">
        <v>3300</v>
      </c>
      <c r="Z943" s="246">
        <v>45198</v>
      </c>
      <c r="AA943" s="281"/>
      <c r="AB943" s="301" t="s">
        <v>4450</v>
      </c>
      <c r="AC943" s="223" t="s">
        <v>946</v>
      </c>
      <c r="AD943" s="245"/>
      <c r="AE943" s="494">
        <v>45112</v>
      </c>
      <c r="AF943" s="494">
        <v>45477</v>
      </c>
      <c r="AG943" s="241"/>
      <c r="AH943" s="253"/>
      <c r="AI943" s="284" t="s">
        <v>1351</v>
      </c>
      <c r="AJ943" s="303" t="s">
        <v>136</v>
      </c>
      <c r="AK943" s="241">
        <v>4</v>
      </c>
      <c r="AL943" s="123" t="s">
        <v>479</v>
      </c>
      <c r="AM943" s="123" t="s">
        <v>460</v>
      </c>
      <c r="AN943" s="151"/>
      <c r="AO943" s="151"/>
      <c r="AP943" s="115"/>
      <c r="AQ943" s="115"/>
      <c r="AR943" s="115"/>
      <c r="AS943" s="115"/>
      <c r="AT943" s="115"/>
    </row>
    <row r="944" spans="1:46" ht="39" customHeight="1" x14ac:dyDescent="0.25">
      <c r="A944" s="1468">
        <v>943</v>
      </c>
      <c r="B944" s="117"/>
      <c r="C944" s="989"/>
      <c r="D944" s="664"/>
      <c r="E944" s="664"/>
      <c r="F944" s="664"/>
      <c r="G944" s="227"/>
      <c r="H944" s="228"/>
      <c r="I944" s="228"/>
      <c r="J944" s="229"/>
      <c r="K944" s="227"/>
      <c r="L944" s="229"/>
      <c r="M944" s="229"/>
      <c r="N944" s="229"/>
      <c r="O944" s="309"/>
      <c r="P944" s="230" t="s">
        <v>1394</v>
      </c>
      <c r="Q944" s="726"/>
      <c r="R944" s="1004"/>
      <c r="S944" s="279"/>
      <c r="T944" s="232"/>
      <c r="U944" s="250"/>
      <c r="V944" s="232"/>
      <c r="W944" s="232"/>
      <c r="X944" s="232"/>
      <c r="Y944" s="232"/>
      <c r="Z944" s="233"/>
      <c r="AA944" s="234"/>
      <c r="AB944" s="235"/>
      <c r="AC944" s="236"/>
      <c r="AD944" s="235"/>
      <c r="AE944" s="1412"/>
      <c r="AF944" s="1412"/>
      <c r="AG944" s="664"/>
      <c r="AH944" s="238"/>
      <c r="AI944" s="239"/>
      <c r="AJ944" s="576"/>
      <c r="AK944" s="664"/>
      <c r="AL944" s="113"/>
      <c r="AM944" s="113"/>
      <c r="AN944" s="163"/>
      <c r="AO944" s="114"/>
      <c r="AP944" s="115"/>
      <c r="AQ944" s="115"/>
      <c r="AR944" s="115"/>
      <c r="AS944" s="115"/>
      <c r="AT944" s="116"/>
    </row>
    <row r="945" spans="1:46" ht="39" customHeight="1" x14ac:dyDescent="0.25">
      <c r="A945" s="1468">
        <v>944</v>
      </c>
      <c r="B945" s="119">
        <v>10</v>
      </c>
      <c r="C945" s="581" t="s">
        <v>305</v>
      </c>
      <c r="D945" s="481"/>
      <c r="E945" s="700" t="s">
        <v>47</v>
      </c>
      <c r="F945" s="481"/>
      <c r="G945" s="583" t="s">
        <v>91</v>
      </c>
      <c r="H945" s="244" t="s">
        <v>83</v>
      </c>
      <c r="I945" s="783"/>
      <c r="J945" s="245">
        <v>302</v>
      </c>
      <c r="K945" s="265"/>
      <c r="L945" s="438" t="s">
        <v>2789</v>
      </c>
      <c r="M945" s="438" t="s">
        <v>2789</v>
      </c>
      <c r="N945" s="264"/>
      <c r="O945" s="204" t="s">
        <v>3351</v>
      </c>
      <c r="P945" s="266"/>
      <c r="Q945" s="1195" t="s">
        <v>2053</v>
      </c>
      <c r="R945" s="1196" t="s">
        <v>3329</v>
      </c>
      <c r="S945" s="279">
        <v>36134</v>
      </c>
      <c r="T945" s="414"/>
      <c r="U945" s="251" t="s">
        <v>54</v>
      </c>
      <c r="V945" s="268" t="s">
        <v>3562</v>
      </c>
      <c r="W945" s="268" t="s">
        <v>56</v>
      </c>
      <c r="X945" s="268" t="s">
        <v>57</v>
      </c>
      <c r="Y945" s="268" t="s">
        <v>3563</v>
      </c>
      <c r="Z945" s="405">
        <v>45214</v>
      </c>
      <c r="AA945" s="405"/>
      <c r="AB945" s="438"/>
      <c r="AC945" s="474"/>
      <c r="AD945" s="438"/>
      <c r="AE945" s="494"/>
      <c r="AF945" s="494"/>
      <c r="AG945" s="471"/>
      <c r="AH945" s="585"/>
      <c r="AI945" s="586"/>
      <c r="AJ945" s="587" t="s">
        <v>62</v>
      </c>
      <c r="AK945" s="582">
        <v>1</v>
      </c>
      <c r="AL945" s="176" t="s">
        <v>481</v>
      </c>
      <c r="AM945" s="176" t="s">
        <v>460</v>
      </c>
      <c r="AN945" s="137"/>
      <c r="AO945" s="137"/>
      <c r="AP945" s="115"/>
      <c r="AQ945" s="115"/>
      <c r="AR945" s="115"/>
      <c r="AS945" s="115"/>
      <c r="AT945" s="115"/>
    </row>
    <row r="946" spans="1:46" ht="39" customHeight="1" x14ac:dyDescent="0.25">
      <c r="A946" s="1468">
        <v>945</v>
      </c>
      <c r="B946" s="987"/>
      <c r="C946" s="989"/>
      <c r="D946" s="664"/>
      <c r="E946" s="664"/>
      <c r="F946" s="664"/>
      <c r="G946" s="227"/>
      <c r="H946" s="228"/>
      <c r="I946" s="228"/>
      <c r="J946" s="229"/>
      <c r="K946" s="227"/>
      <c r="L946" s="229"/>
      <c r="M946" s="229"/>
      <c r="N946" s="229"/>
      <c r="O946" s="309"/>
      <c r="P946" s="230" t="s">
        <v>380</v>
      </c>
      <c r="Q946" s="726"/>
      <c r="R946" s="1004"/>
      <c r="S946" s="279"/>
      <c r="T946" s="232"/>
      <c r="U946" s="250"/>
      <c r="V946" s="232"/>
      <c r="W946" s="232"/>
      <c r="X946" s="232"/>
      <c r="Y946" s="232"/>
      <c r="Z946" s="233"/>
      <c r="AA946" s="234"/>
      <c r="AB946" s="235"/>
      <c r="AC946" s="236"/>
      <c r="AD946" s="235"/>
      <c r="AE946" s="1412"/>
      <c r="AF946" s="1412"/>
      <c r="AG946" s="664"/>
      <c r="AH946" s="238"/>
      <c r="AI946" s="239"/>
      <c r="AJ946" s="576"/>
      <c r="AK946" s="664"/>
      <c r="AL946" s="113"/>
      <c r="AM946" s="113"/>
      <c r="AN946" s="163"/>
      <c r="AO946" s="114"/>
      <c r="AP946" s="115"/>
      <c r="AQ946" s="115"/>
      <c r="AR946" s="115"/>
      <c r="AS946" s="115"/>
      <c r="AT946" s="116"/>
    </row>
    <row r="947" spans="1:46" ht="39" customHeight="1" x14ac:dyDescent="0.25">
      <c r="A947" s="1468">
        <v>946</v>
      </c>
      <c r="B947" s="128">
        <v>7</v>
      </c>
      <c r="C947" s="497" t="s">
        <v>374</v>
      </c>
      <c r="D947" s="709"/>
      <c r="E947" s="709" t="s">
        <v>47</v>
      </c>
      <c r="F947" s="709"/>
      <c r="G947" s="499" t="s">
        <v>381</v>
      </c>
      <c r="H947" s="500" t="s">
        <v>132</v>
      </c>
      <c r="I947" s="479"/>
      <c r="J947" s="256">
        <v>403</v>
      </c>
      <c r="K947" s="265"/>
      <c r="L947" s="438"/>
      <c r="M947" s="438"/>
      <c r="N947" s="264"/>
      <c r="O947" s="204"/>
      <c r="P947" s="266"/>
      <c r="Q947" s="344"/>
      <c r="R947" s="834" t="s">
        <v>66</v>
      </c>
      <c r="S947" s="279"/>
      <c r="T947" s="414"/>
      <c r="U947" s="250"/>
      <c r="V947" s="268"/>
      <c r="W947" s="268"/>
      <c r="X947" s="268"/>
      <c r="Y947" s="268"/>
      <c r="Z947" s="405"/>
      <c r="AA947" s="405"/>
      <c r="AB947" s="438"/>
      <c r="AC947" s="474"/>
      <c r="AD947" s="438"/>
      <c r="AE947" s="494"/>
      <c r="AF947" s="494"/>
      <c r="AG947" s="471"/>
      <c r="AH947" s="585"/>
      <c r="AI947" s="586"/>
      <c r="AJ947" s="587"/>
      <c r="AK947" s="498">
        <v>3</v>
      </c>
      <c r="AL947" s="175" t="s">
        <v>481</v>
      </c>
      <c r="AM947" s="175" t="s">
        <v>460</v>
      </c>
      <c r="AN947" s="138"/>
      <c r="AO947" s="138"/>
      <c r="AP947" s="115"/>
      <c r="AQ947" s="115"/>
      <c r="AR947" s="115"/>
      <c r="AS947" s="115"/>
      <c r="AT947" s="115"/>
    </row>
    <row r="948" spans="1:46" ht="39" customHeight="1" x14ac:dyDescent="0.25">
      <c r="A948" s="1468">
        <v>947</v>
      </c>
      <c r="B948" s="159">
        <v>4</v>
      </c>
      <c r="C948" s="356" t="s">
        <v>382</v>
      </c>
      <c r="D948" s="282" t="s">
        <v>134</v>
      </c>
      <c r="E948" s="282"/>
      <c r="F948" s="282"/>
      <c r="G948" s="261" t="s">
        <v>310</v>
      </c>
      <c r="H948" s="262" t="s">
        <v>85</v>
      </c>
      <c r="I948" s="357"/>
      <c r="J948" s="245" t="s">
        <v>556</v>
      </c>
      <c r="K948" s="288" t="s">
        <v>158</v>
      </c>
      <c r="L948" s="288" t="s">
        <v>3678</v>
      </c>
      <c r="M948" s="288" t="s">
        <v>3678</v>
      </c>
      <c r="N948" s="281" t="s">
        <v>4217</v>
      </c>
      <c r="O948" s="392" t="s">
        <v>3825</v>
      </c>
      <c r="P948" s="402"/>
      <c r="Q948" s="301" t="s">
        <v>87</v>
      </c>
      <c r="R948" s="1191" t="s">
        <v>3824</v>
      </c>
      <c r="S948" s="279">
        <v>37840</v>
      </c>
      <c r="T948" s="197"/>
      <c r="U948" s="251" t="s">
        <v>54</v>
      </c>
      <c r="V948" s="245" t="s">
        <v>3904</v>
      </c>
      <c r="W948" s="250" t="s">
        <v>295</v>
      </c>
      <c r="X948" s="197" t="s">
        <v>475</v>
      </c>
      <c r="Y948" s="245" t="s">
        <v>3975</v>
      </c>
      <c r="Z948" s="246">
        <v>45224</v>
      </c>
      <c r="AA948" s="246"/>
      <c r="AB948" s="288" t="s">
        <v>4299</v>
      </c>
      <c r="AC948" s="223" t="s">
        <v>946</v>
      </c>
      <c r="AD948" s="299" t="s">
        <v>467</v>
      </c>
      <c r="AE948" s="494">
        <v>45105</v>
      </c>
      <c r="AF948" s="494">
        <v>45470</v>
      </c>
      <c r="AG948" s="241"/>
      <c r="AH948" s="283"/>
      <c r="AI948" s="296" t="s">
        <v>1351</v>
      </c>
      <c r="AJ948" s="303" t="s">
        <v>136</v>
      </c>
      <c r="AK948" s="241">
        <v>4</v>
      </c>
      <c r="AL948" s="123" t="s">
        <v>481</v>
      </c>
      <c r="AM948" s="123" t="s">
        <v>460</v>
      </c>
      <c r="AN948" s="172" t="s">
        <v>4184</v>
      </c>
      <c r="AO948" s="151"/>
      <c r="AP948" s="115"/>
      <c r="AQ948" s="115"/>
      <c r="AR948" s="115"/>
      <c r="AS948" s="115"/>
      <c r="AT948" s="115"/>
    </row>
    <row r="949" spans="1:46" ht="39" customHeight="1" x14ac:dyDescent="0.25">
      <c r="A949" s="1468">
        <v>948</v>
      </c>
      <c r="B949" s="117">
        <v>3</v>
      </c>
      <c r="C949" s="260" t="s">
        <v>346</v>
      </c>
      <c r="D949" s="282"/>
      <c r="E949" s="282"/>
      <c r="F949" s="282"/>
      <c r="G949" s="261" t="s">
        <v>383</v>
      </c>
      <c r="H949" s="262" t="s">
        <v>85</v>
      </c>
      <c r="I949" s="357"/>
      <c r="J949" s="245" t="s">
        <v>556</v>
      </c>
      <c r="K949" s="216"/>
      <c r="L949" s="245" t="s">
        <v>1118</v>
      </c>
      <c r="M949" s="245" t="s">
        <v>1118</v>
      </c>
      <c r="N949" s="366"/>
      <c r="O949" s="245" t="s">
        <v>3308</v>
      </c>
      <c r="P949" s="245"/>
      <c r="Q949" s="344" t="s">
        <v>4854</v>
      </c>
      <c r="R949" s="834" t="s">
        <v>1119</v>
      </c>
      <c r="S949" s="279">
        <v>36528</v>
      </c>
      <c r="T949" s="197"/>
      <c r="U949" s="251" t="s">
        <v>178</v>
      </c>
      <c r="V949" s="197" t="s">
        <v>5928</v>
      </c>
      <c r="W949" s="250" t="s">
        <v>1955</v>
      </c>
      <c r="X949" s="197" t="s">
        <v>3511</v>
      </c>
      <c r="Y949" s="949" t="s">
        <v>5960</v>
      </c>
      <c r="Z949" s="246">
        <v>45313</v>
      </c>
      <c r="AA949" s="252">
        <v>45327</v>
      </c>
      <c r="AB949" s="241"/>
      <c r="AC949" s="223"/>
      <c r="AD949" s="257"/>
      <c r="AE949" s="494"/>
      <c r="AF949" s="494"/>
      <c r="AG949" s="301"/>
      <c r="AH949" s="253"/>
      <c r="AI949" s="284"/>
      <c r="AJ949" s="348" t="s">
        <v>560</v>
      </c>
      <c r="AK949" s="241">
        <v>4</v>
      </c>
      <c r="AL949" s="123" t="s">
        <v>481</v>
      </c>
      <c r="AM949" s="123" t="s">
        <v>460</v>
      </c>
      <c r="AN949" s="151"/>
      <c r="AO949" s="151"/>
      <c r="AP949" s="115"/>
      <c r="AQ949" s="115"/>
      <c r="AR949" s="115"/>
      <c r="AS949" s="115"/>
      <c r="AT949" s="115"/>
    </row>
    <row r="950" spans="1:46" ht="39" customHeight="1" x14ac:dyDescent="0.25">
      <c r="A950" s="1468">
        <v>949</v>
      </c>
      <c r="B950" s="159">
        <v>2</v>
      </c>
      <c r="C950" s="358" t="s">
        <v>385</v>
      </c>
      <c r="D950" s="282"/>
      <c r="E950" s="282"/>
      <c r="F950" s="282"/>
      <c r="G950" s="261" t="s">
        <v>386</v>
      </c>
      <c r="H950" s="262" t="s">
        <v>85</v>
      </c>
      <c r="I950" s="357"/>
      <c r="J950" s="245" t="s">
        <v>556</v>
      </c>
      <c r="K950" s="288" t="s">
        <v>158</v>
      </c>
      <c r="L950" s="288" t="s">
        <v>3678</v>
      </c>
      <c r="M950" s="288" t="s">
        <v>3678</v>
      </c>
      <c r="N950" s="281" t="s">
        <v>4217</v>
      </c>
      <c r="O950" s="1392" t="s">
        <v>3829</v>
      </c>
      <c r="P950" s="402"/>
      <c r="Q950" s="301" t="s">
        <v>87</v>
      </c>
      <c r="R950" s="1188" t="s">
        <v>3828</v>
      </c>
      <c r="S950" s="279">
        <v>37722</v>
      </c>
      <c r="T950" s="197"/>
      <c r="U950" s="251" t="s">
        <v>54</v>
      </c>
      <c r="V950" s="245" t="s">
        <v>3904</v>
      </c>
      <c r="W950" s="250" t="s">
        <v>295</v>
      </c>
      <c r="X950" s="197" t="s">
        <v>475</v>
      </c>
      <c r="Y950" s="245" t="s">
        <v>3975</v>
      </c>
      <c r="Z950" s="246">
        <v>45224</v>
      </c>
      <c r="AA950" s="246"/>
      <c r="AB950" s="288" t="s">
        <v>4327</v>
      </c>
      <c r="AC950" s="223" t="s">
        <v>946</v>
      </c>
      <c r="AD950" s="299" t="s">
        <v>467</v>
      </c>
      <c r="AE950" s="494">
        <v>45104</v>
      </c>
      <c r="AF950" s="494">
        <v>45469</v>
      </c>
      <c r="AG950" s="241"/>
      <c r="AH950" s="283"/>
      <c r="AI950" s="296" t="s">
        <v>1351</v>
      </c>
      <c r="AJ950" s="303" t="s">
        <v>136</v>
      </c>
      <c r="AK950" s="241">
        <v>4</v>
      </c>
      <c r="AL950" s="123" t="s">
        <v>481</v>
      </c>
      <c r="AM950" s="123" t="s">
        <v>460</v>
      </c>
      <c r="AN950" s="110"/>
      <c r="AO950" s="151"/>
      <c r="AP950" s="115"/>
      <c r="AQ950" s="115"/>
      <c r="AR950" s="115"/>
      <c r="AS950" s="115"/>
      <c r="AT950" s="116"/>
    </row>
    <row r="951" spans="1:46" ht="39" customHeight="1" x14ac:dyDescent="0.25">
      <c r="A951" s="1468">
        <v>950</v>
      </c>
      <c r="B951" s="146">
        <v>2</v>
      </c>
      <c r="C951" s="260" t="s">
        <v>319</v>
      </c>
      <c r="D951" s="282"/>
      <c r="E951" s="282"/>
      <c r="F951" s="282"/>
      <c r="G951" s="261" t="s">
        <v>387</v>
      </c>
      <c r="H951" s="262" t="s">
        <v>87</v>
      </c>
      <c r="I951" s="357"/>
      <c r="J951" s="245" t="s">
        <v>561</v>
      </c>
      <c r="K951" s="216"/>
      <c r="L951" s="281" t="s">
        <v>1527</v>
      </c>
      <c r="M951" s="281" t="s">
        <v>1676</v>
      </c>
      <c r="N951" s="366"/>
      <c r="O951" s="392" t="s">
        <v>2999</v>
      </c>
      <c r="P951" s="402"/>
      <c r="Q951" s="380" t="s">
        <v>87</v>
      </c>
      <c r="R951" s="427" t="s">
        <v>1734</v>
      </c>
      <c r="S951" s="279" t="s">
        <v>4782</v>
      </c>
      <c r="T951" s="197"/>
      <c r="U951" s="251" t="s">
        <v>54</v>
      </c>
      <c r="V951" s="245"/>
      <c r="W951" s="250" t="s">
        <v>295</v>
      </c>
      <c r="X951" s="685"/>
      <c r="Y951" s="245"/>
      <c r="Z951" s="246"/>
      <c r="AA951" s="246"/>
      <c r="AB951" s="296" t="s">
        <v>4443</v>
      </c>
      <c r="AC951" s="223" t="s">
        <v>946</v>
      </c>
      <c r="AD951" s="376"/>
      <c r="AE951" s="494" t="s">
        <v>4359</v>
      </c>
      <c r="AF951" s="494">
        <v>45477</v>
      </c>
      <c r="AG951" s="241"/>
      <c r="AH951" s="283"/>
      <c r="AI951" s="254" t="s">
        <v>1351</v>
      </c>
      <c r="AJ951" s="303" t="s">
        <v>136</v>
      </c>
      <c r="AK951" s="241">
        <v>4</v>
      </c>
      <c r="AL951" s="123" t="s">
        <v>481</v>
      </c>
      <c r="AM951" s="123" t="s">
        <v>460</v>
      </c>
      <c r="AN951" s="151"/>
      <c r="AO951" s="151"/>
      <c r="AP951" s="115"/>
      <c r="AQ951" s="115"/>
      <c r="AR951" s="115"/>
      <c r="AS951" s="115"/>
      <c r="AT951" s="115"/>
    </row>
    <row r="952" spans="1:46" ht="39" customHeight="1" x14ac:dyDescent="0.25">
      <c r="A952" s="1468">
        <v>951</v>
      </c>
      <c r="B952" s="117">
        <v>3</v>
      </c>
      <c r="C952" s="260" t="s">
        <v>346</v>
      </c>
      <c r="D952" s="282"/>
      <c r="E952" s="282"/>
      <c r="F952" s="282"/>
      <c r="G952" s="261" t="s">
        <v>383</v>
      </c>
      <c r="H952" s="262" t="s">
        <v>85</v>
      </c>
      <c r="I952" s="357"/>
      <c r="J952" s="245" t="s">
        <v>556</v>
      </c>
      <c r="K952" s="288"/>
      <c r="L952" s="299" t="s">
        <v>5415</v>
      </c>
      <c r="M952" s="288" t="s">
        <v>5415</v>
      </c>
      <c r="N952" s="281"/>
      <c r="O952" s="1392" t="s">
        <v>5464</v>
      </c>
      <c r="P952" s="402"/>
      <c r="Q952" s="197" t="s">
        <v>87</v>
      </c>
      <c r="R952" s="682" t="s">
        <v>5463</v>
      </c>
      <c r="S952" s="279">
        <v>38621</v>
      </c>
      <c r="T952" s="197"/>
      <c r="U952" s="251" t="s">
        <v>54</v>
      </c>
      <c r="V952" s="299" t="s">
        <v>5415</v>
      </c>
      <c r="W952" s="197" t="s">
        <v>295</v>
      </c>
      <c r="X952" s="197"/>
      <c r="Y952" s="197" t="s">
        <v>5500</v>
      </c>
      <c r="Z952" s="246">
        <v>45266</v>
      </c>
      <c r="AA952" s="246"/>
      <c r="AB952" s="288" t="s">
        <v>4892</v>
      </c>
      <c r="AC952" s="223" t="s">
        <v>482</v>
      </c>
      <c r="AD952" s="245"/>
      <c r="AE952" s="494">
        <v>45261</v>
      </c>
      <c r="AF952" s="494">
        <v>45626</v>
      </c>
      <c r="AG952" s="241"/>
      <c r="AH952" s="283"/>
      <c r="AI952" s="307" t="s">
        <v>4208</v>
      </c>
      <c r="AJ952" s="303" t="s">
        <v>136</v>
      </c>
      <c r="AK952" s="241">
        <v>4</v>
      </c>
      <c r="AL952" s="123" t="s">
        <v>481</v>
      </c>
      <c r="AM952" s="123" t="s">
        <v>460</v>
      </c>
      <c r="AN952" s="179"/>
      <c r="AO952" s="110"/>
      <c r="AP952" s="115"/>
      <c r="AQ952" s="156"/>
      <c r="AR952" s="115"/>
      <c r="AS952" s="115"/>
      <c r="AT952" s="115"/>
    </row>
    <row r="953" spans="1:46" ht="39" customHeight="1" x14ac:dyDescent="0.25">
      <c r="A953" s="1468">
        <v>952</v>
      </c>
      <c r="B953" s="146">
        <v>2</v>
      </c>
      <c r="C953" s="260" t="s">
        <v>319</v>
      </c>
      <c r="D953" s="282"/>
      <c r="E953" s="282"/>
      <c r="F953" s="282"/>
      <c r="G953" s="261" t="s">
        <v>387</v>
      </c>
      <c r="H953" s="262" t="s">
        <v>87</v>
      </c>
      <c r="I953" s="357"/>
      <c r="J953" s="245" t="s">
        <v>561</v>
      </c>
      <c r="K953" s="595"/>
      <c r="L953" s="281" t="s">
        <v>1527</v>
      </c>
      <c r="M953" s="281" t="s">
        <v>1676</v>
      </c>
      <c r="N953" s="366"/>
      <c r="O953" s="392" t="s">
        <v>3124</v>
      </c>
      <c r="P953" s="402"/>
      <c r="Q953" s="394" t="s">
        <v>87</v>
      </c>
      <c r="R953" s="1002" t="s">
        <v>1718</v>
      </c>
      <c r="S953" s="279" t="s">
        <v>4783</v>
      </c>
      <c r="T953" s="268"/>
      <c r="U953" s="1487" t="s">
        <v>54</v>
      </c>
      <c r="V953" s="264"/>
      <c r="W953" s="250" t="s">
        <v>295</v>
      </c>
      <c r="X953" s="685"/>
      <c r="Y953" s="245"/>
      <c r="Z953" s="246"/>
      <c r="AA953" s="246"/>
      <c r="AB953" s="296" t="s">
        <v>4358</v>
      </c>
      <c r="AC953" s="223" t="s">
        <v>946</v>
      </c>
      <c r="AD953" s="376"/>
      <c r="AE953" s="494" t="s">
        <v>4359</v>
      </c>
      <c r="AF953" s="494">
        <v>45477</v>
      </c>
      <c r="AG953" s="241"/>
      <c r="AH953" s="283"/>
      <c r="AI953" s="254" t="s">
        <v>1351</v>
      </c>
      <c r="AJ953" s="303" t="s">
        <v>136</v>
      </c>
      <c r="AK953" s="241">
        <v>4</v>
      </c>
      <c r="AL953" s="123" t="s">
        <v>481</v>
      </c>
      <c r="AM953" s="123" t="s">
        <v>460</v>
      </c>
      <c r="AN953" s="110"/>
      <c r="AO953" s="110"/>
      <c r="AP953" s="115"/>
      <c r="AQ953" s="156"/>
      <c r="AR953" s="115"/>
      <c r="AS953" s="115"/>
      <c r="AT953" s="115"/>
    </row>
    <row r="954" spans="1:46" ht="39" customHeight="1" x14ac:dyDescent="0.25">
      <c r="A954" s="1468">
        <v>953</v>
      </c>
      <c r="B954" s="117"/>
      <c r="C954" s="324"/>
      <c r="D954" s="664"/>
      <c r="E954" s="664"/>
      <c r="F954" s="664"/>
      <c r="G954" s="227"/>
      <c r="H954" s="228"/>
      <c r="I954" s="228"/>
      <c r="J954" s="229"/>
      <c r="K954" s="227"/>
      <c r="L954" s="229"/>
      <c r="M954" s="229"/>
      <c r="N954" s="229"/>
      <c r="O954" s="216"/>
      <c r="P954" s="230" t="s">
        <v>388</v>
      </c>
      <c r="Q954" s="295"/>
      <c r="R954" s="1004"/>
      <c r="S954" s="279"/>
      <c r="T954" s="232"/>
      <c r="U954" s="232"/>
      <c r="V954" s="1437"/>
      <c r="W954" s="232"/>
      <c r="X954" s="232"/>
      <c r="Y954" s="232"/>
      <c r="Z954" s="233"/>
      <c r="AA954" s="234"/>
      <c r="AB954" s="235"/>
      <c r="AC954" s="236"/>
      <c r="AD954" s="235"/>
      <c r="AE954" s="494"/>
      <c r="AF954" s="494"/>
      <c r="AG954" s="664"/>
      <c r="AH954" s="238"/>
      <c r="AI954" s="239"/>
      <c r="AJ954" s="303"/>
      <c r="AK954" s="241"/>
      <c r="AL954" s="122"/>
      <c r="AM954" s="122"/>
      <c r="AN954" s="163"/>
      <c r="AO954" s="114"/>
      <c r="AP954" s="115"/>
      <c r="AQ954" s="115"/>
      <c r="AR954" s="115"/>
      <c r="AS954" s="115"/>
      <c r="AT954" s="116"/>
    </row>
    <row r="955" spans="1:46" ht="39" customHeight="1" x14ac:dyDescent="0.3">
      <c r="A955" s="1468">
        <v>954</v>
      </c>
      <c r="B955" s="128">
        <v>5</v>
      </c>
      <c r="C955" s="290" t="s">
        <v>367</v>
      </c>
      <c r="D955" s="344"/>
      <c r="E955" s="344" t="s">
        <v>47</v>
      </c>
      <c r="F955" s="344"/>
      <c r="G955" s="292" t="s">
        <v>389</v>
      </c>
      <c r="H955" s="293" t="s">
        <v>132</v>
      </c>
      <c r="I955" s="346"/>
      <c r="J955" s="256">
        <v>403</v>
      </c>
      <c r="K955" s="816"/>
      <c r="L955" s="282" t="s">
        <v>2800</v>
      </c>
      <c r="M955" s="282" t="s">
        <v>2800</v>
      </c>
      <c r="N955" s="1097"/>
      <c r="O955" s="950" t="s">
        <v>3378</v>
      </c>
      <c r="P955" s="402"/>
      <c r="Q955" s="1517" t="s">
        <v>132</v>
      </c>
      <c r="R955" s="998" t="s">
        <v>3377</v>
      </c>
      <c r="S955" s="279">
        <v>34500</v>
      </c>
      <c r="T955" s="819"/>
      <c r="U955" s="280"/>
      <c r="V955" s="280"/>
      <c r="W955" s="147"/>
      <c r="X955" s="197"/>
      <c r="Y955" s="1138"/>
      <c r="Z955" s="405"/>
      <c r="AA955" s="1129"/>
      <c r="AB955" s="836"/>
      <c r="AC955" s="474"/>
      <c r="AD955" s="836"/>
      <c r="AE955" s="494"/>
      <c r="AF955" s="494"/>
      <c r="AG955" s="626"/>
      <c r="AH955" s="585"/>
      <c r="AI955" s="719"/>
      <c r="AJ955" s="348" t="s">
        <v>560</v>
      </c>
      <c r="AK955" s="348">
        <v>3</v>
      </c>
      <c r="AL955" s="123" t="s">
        <v>481</v>
      </c>
      <c r="AM955" s="123" t="s">
        <v>460</v>
      </c>
      <c r="AN955" s="138"/>
      <c r="AO955" s="138"/>
      <c r="AP955" s="115"/>
      <c r="AQ955" s="115"/>
      <c r="AR955" s="115"/>
      <c r="AS955" s="115"/>
      <c r="AT955" s="115"/>
    </row>
    <row r="956" spans="1:46" ht="39" customHeight="1" x14ac:dyDescent="0.25">
      <c r="A956" s="1468">
        <v>955</v>
      </c>
      <c r="B956" s="159">
        <v>3</v>
      </c>
      <c r="C956" s="356" t="s">
        <v>290</v>
      </c>
      <c r="D956" s="282" t="s">
        <v>134</v>
      </c>
      <c r="E956" s="282"/>
      <c r="F956" s="282"/>
      <c r="G956" s="261" t="s">
        <v>291</v>
      </c>
      <c r="H956" s="262" t="s">
        <v>87</v>
      </c>
      <c r="I956" s="357"/>
      <c r="J956" s="245">
        <v>406</v>
      </c>
      <c r="K956" s="216"/>
      <c r="L956" s="281" t="s">
        <v>5971</v>
      </c>
      <c r="M956" s="281" t="s">
        <v>5971</v>
      </c>
      <c r="N956" s="374"/>
      <c r="O956" s="1382" t="s">
        <v>3204</v>
      </c>
      <c r="P956" s="374"/>
      <c r="Q956" s="344" t="s">
        <v>567</v>
      </c>
      <c r="R956" s="834" t="s">
        <v>1413</v>
      </c>
      <c r="S956" s="279">
        <v>36826</v>
      </c>
      <c r="T956" s="257"/>
      <c r="U956" s="251" t="s">
        <v>178</v>
      </c>
      <c r="V956" s="197" t="s">
        <v>5928</v>
      </c>
      <c r="W956" s="306" t="s">
        <v>1955</v>
      </c>
      <c r="X956" s="299" t="s">
        <v>3511</v>
      </c>
      <c r="Y956" s="981" t="s">
        <v>5961</v>
      </c>
      <c r="Z956" s="289">
        <v>45313</v>
      </c>
      <c r="AA956" s="252">
        <v>45327</v>
      </c>
      <c r="AB956" s="257"/>
      <c r="AC956" s="223"/>
      <c r="AD956" s="257"/>
      <c r="AE956" s="494"/>
      <c r="AF956" s="494"/>
      <c r="AG956" s="241"/>
      <c r="AH956" s="299"/>
      <c r="AI956" s="254"/>
      <c r="AJ956" s="348" t="s">
        <v>560</v>
      </c>
      <c r="AK956" s="241">
        <v>4</v>
      </c>
      <c r="AL956" s="123" t="s">
        <v>481</v>
      </c>
      <c r="AM956" s="123" t="s">
        <v>460</v>
      </c>
      <c r="AN956" s="172" t="s">
        <v>4184</v>
      </c>
      <c r="AO956" s="151"/>
      <c r="AP956" s="115"/>
      <c r="AQ956" s="115"/>
      <c r="AR956" s="115"/>
      <c r="AS956" s="115"/>
      <c r="AT956" s="115"/>
    </row>
    <row r="957" spans="1:46" ht="39" customHeight="1" x14ac:dyDescent="0.25">
      <c r="A957" s="1468">
        <v>956</v>
      </c>
      <c r="B957" s="117">
        <v>3</v>
      </c>
      <c r="C957" s="260" t="s">
        <v>346</v>
      </c>
      <c r="D957" s="282"/>
      <c r="E957" s="282"/>
      <c r="F957" s="282"/>
      <c r="G957" s="261" t="s">
        <v>383</v>
      </c>
      <c r="H957" s="262" t="s">
        <v>85</v>
      </c>
      <c r="I957" s="357"/>
      <c r="J957" s="245" t="s">
        <v>556</v>
      </c>
      <c r="K957" s="288" t="s">
        <v>158</v>
      </c>
      <c r="L957" s="288" t="s">
        <v>3678</v>
      </c>
      <c r="M957" s="288" t="s">
        <v>3678</v>
      </c>
      <c r="N957" s="281" t="s">
        <v>4217</v>
      </c>
      <c r="O957" s="1382" t="s">
        <v>3823</v>
      </c>
      <c r="P957" s="402"/>
      <c r="Q957" s="380" t="s">
        <v>87</v>
      </c>
      <c r="R957" s="1188" t="s">
        <v>3822</v>
      </c>
      <c r="S957" s="279">
        <v>38334</v>
      </c>
      <c r="T957" s="197"/>
      <c r="U957" s="251" t="s">
        <v>54</v>
      </c>
      <c r="V957" s="245" t="s">
        <v>3904</v>
      </c>
      <c r="W957" s="250" t="s">
        <v>295</v>
      </c>
      <c r="X957" s="197" t="s">
        <v>475</v>
      </c>
      <c r="Y957" s="245" t="s">
        <v>3975</v>
      </c>
      <c r="Z957" s="246">
        <v>45224</v>
      </c>
      <c r="AA957" s="246"/>
      <c r="AB957" s="361" t="s">
        <v>4259</v>
      </c>
      <c r="AC957" s="223" t="s">
        <v>946</v>
      </c>
      <c r="AD957" s="299" t="s">
        <v>467</v>
      </c>
      <c r="AE957" s="494">
        <v>45105</v>
      </c>
      <c r="AF957" s="494">
        <v>45470</v>
      </c>
      <c r="AG957" s="241"/>
      <c r="AH957" s="283"/>
      <c r="AI957" s="296" t="s">
        <v>1351</v>
      </c>
      <c r="AJ957" s="303" t="s">
        <v>136</v>
      </c>
      <c r="AK957" s="241">
        <v>4</v>
      </c>
      <c r="AL957" s="123" t="s">
        <v>481</v>
      </c>
      <c r="AM957" s="123" t="s">
        <v>460</v>
      </c>
      <c r="AN957" s="151"/>
      <c r="AO957" s="151"/>
      <c r="AP957" s="115"/>
      <c r="AQ957" s="115"/>
      <c r="AR957" s="115"/>
      <c r="AS957" s="115"/>
      <c r="AT957" s="115"/>
    </row>
    <row r="958" spans="1:46" ht="39" customHeight="1" x14ac:dyDescent="0.25">
      <c r="A958" s="1468">
        <v>957</v>
      </c>
      <c r="B958" s="159">
        <v>2</v>
      </c>
      <c r="C958" s="358" t="s">
        <v>385</v>
      </c>
      <c r="D958" s="282" t="s">
        <v>134</v>
      </c>
      <c r="E958" s="282"/>
      <c r="F958" s="282"/>
      <c r="G958" s="261" t="s">
        <v>386</v>
      </c>
      <c r="H958" s="262" t="s">
        <v>85</v>
      </c>
      <c r="I958" s="357"/>
      <c r="J958" s="245" t="s">
        <v>556</v>
      </c>
      <c r="K958" s="288" t="s">
        <v>158</v>
      </c>
      <c r="L958" s="288" t="s">
        <v>3678</v>
      </c>
      <c r="M958" s="288" t="s">
        <v>3678</v>
      </c>
      <c r="N958" s="281" t="s">
        <v>4217</v>
      </c>
      <c r="O958" s="1392" t="s">
        <v>3833</v>
      </c>
      <c r="P958" s="402"/>
      <c r="Q958" s="380" t="s">
        <v>87</v>
      </c>
      <c r="R958" s="1188" t="s">
        <v>3832</v>
      </c>
      <c r="S958" s="279">
        <v>38044</v>
      </c>
      <c r="T958" s="197"/>
      <c r="U958" s="251" t="s">
        <v>54</v>
      </c>
      <c r="V958" s="245" t="s">
        <v>3904</v>
      </c>
      <c r="W958" s="250" t="s">
        <v>295</v>
      </c>
      <c r="X958" s="197" t="s">
        <v>475</v>
      </c>
      <c r="Y958" s="245" t="s">
        <v>3975</v>
      </c>
      <c r="Z958" s="246">
        <v>45224</v>
      </c>
      <c r="AA958" s="246"/>
      <c r="AB958" s="288" t="s">
        <v>4300</v>
      </c>
      <c r="AC958" s="223" t="s">
        <v>946</v>
      </c>
      <c r="AD958" s="299" t="s">
        <v>467</v>
      </c>
      <c r="AE958" s="494">
        <v>45105</v>
      </c>
      <c r="AF958" s="494">
        <v>45470</v>
      </c>
      <c r="AG958" s="241"/>
      <c r="AH958" s="283"/>
      <c r="AI958" s="296" t="s">
        <v>1351</v>
      </c>
      <c r="AJ958" s="303" t="s">
        <v>136</v>
      </c>
      <c r="AK958" s="241">
        <v>4</v>
      </c>
      <c r="AL958" s="123" t="s">
        <v>481</v>
      </c>
      <c r="AM958" s="123" t="s">
        <v>460</v>
      </c>
      <c r="AN958" s="110"/>
      <c r="AO958" s="151"/>
      <c r="AP958" s="115"/>
      <c r="AQ958" s="115"/>
      <c r="AR958" s="115"/>
      <c r="AS958" s="115"/>
      <c r="AT958" s="116"/>
    </row>
    <row r="959" spans="1:46" ht="39" customHeight="1" x14ac:dyDescent="0.25">
      <c r="A959" s="1468">
        <v>958</v>
      </c>
      <c r="B959" s="146">
        <v>2</v>
      </c>
      <c r="C959" s="260" t="s">
        <v>319</v>
      </c>
      <c r="D959" s="282"/>
      <c r="E959" s="282"/>
      <c r="F959" s="282"/>
      <c r="G959" s="261" t="s">
        <v>387</v>
      </c>
      <c r="H959" s="262" t="s">
        <v>87</v>
      </c>
      <c r="I959" s="357"/>
      <c r="J959" s="245" t="s">
        <v>561</v>
      </c>
      <c r="K959" s="216"/>
      <c r="L959" s="288" t="s">
        <v>5144</v>
      </c>
      <c r="M959" s="288" t="s">
        <v>5144</v>
      </c>
      <c r="N959" s="366"/>
      <c r="O959" s="1392" t="s">
        <v>5255</v>
      </c>
      <c r="P959" s="402"/>
      <c r="Q959" s="380" t="s">
        <v>87</v>
      </c>
      <c r="R959" s="1003" t="s">
        <v>5208</v>
      </c>
      <c r="S959" s="279">
        <v>37636</v>
      </c>
      <c r="T959" s="197"/>
      <c r="U959" s="251" t="s">
        <v>54</v>
      </c>
      <c r="V959" s="245" t="s">
        <v>5171</v>
      </c>
      <c r="W959" s="250" t="s">
        <v>295</v>
      </c>
      <c r="X959" s="197"/>
      <c r="Y959" s="981" t="s">
        <v>5829</v>
      </c>
      <c r="Z959" s="246">
        <v>45260</v>
      </c>
      <c r="AA959" s="246"/>
      <c r="AB959" s="288" t="s">
        <v>5293</v>
      </c>
      <c r="AC959" s="223" t="s">
        <v>946</v>
      </c>
      <c r="AD959" s="245" t="s">
        <v>467</v>
      </c>
      <c r="AE959" s="494">
        <v>45256</v>
      </c>
      <c r="AF959" s="494">
        <v>45621</v>
      </c>
      <c r="AG959" s="241"/>
      <c r="AH959" s="283"/>
      <c r="AI959" s="296" t="s">
        <v>4208</v>
      </c>
      <c r="AJ959" s="303" t="s">
        <v>136</v>
      </c>
      <c r="AK959" s="241">
        <v>4</v>
      </c>
      <c r="AL959" s="123" t="s">
        <v>481</v>
      </c>
      <c r="AM959" s="123" t="s">
        <v>460</v>
      </c>
      <c r="AN959" s="151"/>
      <c r="AO959" s="151"/>
      <c r="AP959" s="115"/>
      <c r="AQ959" s="115"/>
      <c r="AR959" s="115"/>
      <c r="AS959" s="115"/>
      <c r="AT959" s="115"/>
    </row>
    <row r="960" spans="1:46" ht="39" customHeight="1" x14ac:dyDescent="0.25">
      <c r="A960" s="1468">
        <v>959</v>
      </c>
      <c r="B960" s="117">
        <v>3</v>
      </c>
      <c r="C960" s="260" t="s">
        <v>346</v>
      </c>
      <c r="D960" s="282"/>
      <c r="E960" s="282"/>
      <c r="F960" s="282"/>
      <c r="G960" s="261" t="s">
        <v>383</v>
      </c>
      <c r="H960" s="262" t="s">
        <v>85</v>
      </c>
      <c r="I960" s="357"/>
      <c r="J960" s="245" t="s">
        <v>556</v>
      </c>
      <c r="K960" s="197"/>
      <c r="L960" s="281" t="s">
        <v>1527</v>
      </c>
      <c r="M960" s="281" t="s">
        <v>1676</v>
      </c>
      <c r="N960" s="366"/>
      <c r="O960" s="392" t="s">
        <v>3072</v>
      </c>
      <c r="P960" s="402"/>
      <c r="Q960" s="380" t="s">
        <v>87</v>
      </c>
      <c r="R960" s="427" t="s">
        <v>1746</v>
      </c>
      <c r="S960" s="279">
        <v>37783</v>
      </c>
      <c r="T960" s="197"/>
      <c r="U960" s="251" t="s">
        <v>54</v>
      </c>
      <c r="V960" s="245"/>
      <c r="W960" s="250" t="s">
        <v>295</v>
      </c>
      <c r="X960" s="685"/>
      <c r="Y960" s="245"/>
      <c r="Z960" s="246"/>
      <c r="AA960" s="246"/>
      <c r="AB960" s="361"/>
      <c r="AC960" s="223" t="s">
        <v>946</v>
      </c>
      <c r="AD960" s="376"/>
      <c r="AE960" s="494"/>
      <c r="AF960" s="494"/>
      <c r="AG960" s="241"/>
      <c r="AH960" s="283"/>
      <c r="AI960" s="254" t="s">
        <v>1351</v>
      </c>
      <c r="AJ960" s="303" t="s">
        <v>136</v>
      </c>
      <c r="AK960" s="241">
        <v>4</v>
      </c>
      <c r="AL960" s="123" t="s">
        <v>481</v>
      </c>
      <c r="AM960" s="123" t="s">
        <v>460</v>
      </c>
      <c r="AN960" s="167"/>
      <c r="AO960" s="151"/>
      <c r="AP960" s="115"/>
      <c r="AQ960" s="115"/>
      <c r="AR960" s="115"/>
      <c r="AS960" s="115"/>
      <c r="AT960" s="115"/>
    </row>
    <row r="961" spans="1:46" ht="39" customHeight="1" x14ac:dyDescent="0.25">
      <c r="A961" s="1468">
        <v>960</v>
      </c>
      <c r="B961" s="146">
        <v>2</v>
      </c>
      <c r="C961" s="260" t="s">
        <v>319</v>
      </c>
      <c r="D961" s="282"/>
      <c r="E961" s="282"/>
      <c r="F961" s="282"/>
      <c r="G961" s="261" t="s">
        <v>387</v>
      </c>
      <c r="H961" s="262" t="s">
        <v>87</v>
      </c>
      <c r="I961" s="357"/>
      <c r="J961" s="245" t="s">
        <v>561</v>
      </c>
      <c r="K961" s="197"/>
      <c r="L961" s="288" t="s">
        <v>5144</v>
      </c>
      <c r="M961" s="288" t="s">
        <v>5144</v>
      </c>
      <c r="N961" s="245"/>
      <c r="O961" s="1392" t="s">
        <v>5256</v>
      </c>
      <c r="P961" s="627"/>
      <c r="Q961" s="380" t="s">
        <v>87</v>
      </c>
      <c r="R961" s="1003" t="s">
        <v>5209</v>
      </c>
      <c r="S961" s="279">
        <v>36697</v>
      </c>
      <c r="T961" s="289"/>
      <c r="U961" s="251" t="s">
        <v>54</v>
      </c>
      <c r="V961" s="245" t="s">
        <v>5171</v>
      </c>
      <c r="W961" s="250" t="s">
        <v>295</v>
      </c>
      <c r="X961" s="197"/>
      <c r="Y961" s="981" t="s">
        <v>5829</v>
      </c>
      <c r="Z961" s="246">
        <v>45260</v>
      </c>
      <c r="AA961" s="281"/>
      <c r="AB961" s="288" t="s">
        <v>5294</v>
      </c>
      <c r="AC961" s="223" t="s">
        <v>946</v>
      </c>
      <c r="AD961" s="245" t="s">
        <v>467</v>
      </c>
      <c r="AE961" s="494">
        <v>45255</v>
      </c>
      <c r="AF961" s="494">
        <v>45620</v>
      </c>
      <c r="AG961" s="241"/>
      <c r="AH961" s="253"/>
      <c r="AI961" s="296" t="s">
        <v>4208</v>
      </c>
      <c r="AJ961" s="303" t="s">
        <v>136</v>
      </c>
      <c r="AK961" s="241">
        <v>4</v>
      </c>
      <c r="AL961" s="123" t="s">
        <v>481</v>
      </c>
      <c r="AM961" s="123" t="s">
        <v>460</v>
      </c>
      <c r="AN961" s="151"/>
      <c r="AO961" s="151"/>
      <c r="AP961" s="115"/>
      <c r="AQ961" s="115"/>
      <c r="AR961" s="115"/>
      <c r="AS961" s="115"/>
      <c r="AT961" s="115"/>
    </row>
    <row r="962" spans="1:46" ht="39" customHeight="1" x14ac:dyDescent="0.25">
      <c r="A962" s="1468">
        <v>961</v>
      </c>
      <c r="B962" s="117"/>
      <c r="C962" s="324"/>
      <c r="D962" s="664"/>
      <c r="E962" s="664"/>
      <c r="F962" s="664"/>
      <c r="G962" s="227"/>
      <c r="H962" s="228"/>
      <c r="I962" s="228"/>
      <c r="J962" s="229"/>
      <c r="K962" s="227"/>
      <c r="L962" s="229"/>
      <c r="M962" s="229"/>
      <c r="N962" s="229"/>
      <c r="O962" s="216"/>
      <c r="P962" s="230" t="s">
        <v>390</v>
      </c>
      <c r="Q962" s="373"/>
      <c r="R962" s="982"/>
      <c r="S962" s="279"/>
      <c r="T962" s="232"/>
      <c r="U962" s="250"/>
      <c r="V962" s="232"/>
      <c r="W962" s="232"/>
      <c r="X962" s="232"/>
      <c r="Y962" s="232"/>
      <c r="Z962" s="233"/>
      <c r="AA962" s="234"/>
      <c r="AB962" s="235"/>
      <c r="AC962" s="236"/>
      <c r="AD962" s="235"/>
      <c r="AE962" s="494"/>
      <c r="AF962" s="494"/>
      <c r="AG962" s="664"/>
      <c r="AH962" s="238"/>
      <c r="AI962" s="239"/>
      <c r="AJ962" s="303"/>
      <c r="AK962" s="241"/>
      <c r="AL962" s="122"/>
      <c r="AM962" s="122"/>
      <c r="AN962" s="163"/>
      <c r="AO962" s="114"/>
      <c r="AP962" s="115"/>
      <c r="AQ962" s="115"/>
      <c r="AR962" s="115"/>
      <c r="AS962" s="115"/>
      <c r="AT962" s="116"/>
    </row>
    <row r="963" spans="1:46" ht="39" customHeight="1" x14ac:dyDescent="0.25">
      <c r="A963" s="1468">
        <v>962</v>
      </c>
      <c r="B963" s="128">
        <v>5</v>
      </c>
      <c r="C963" s="290" t="s">
        <v>367</v>
      </c>
      <c r="D963" s="344"/>
      <c r="E963" s="344" t="s">
        <v>47</v>
      </c>
      <c r="F963" s="344"/>
      <c r="G963" s="292" t="s">
        <v>389</v>
      </c>
      <c r="H963" s="293" t="s">
        <v>132</v>
      </c>
      <c r="I963" s="346"/>
      <c r="J963" s="256">
        <v>403</v>
      </c>
      <c r="K963" s="642"/>
      <c r="L963" s="441" t="s">
        <v>1527</v>
      </c>
      <c r="M963" s="441" t="s">
        <v>1676</v>
      </c>
      <c r="N963" s="451"/>
      <c r="O963" s="1393" t="s">
        <v>3159</v>
      </c>
      <c r="P963" s="716"/>
      <c r="Q963" s="397" t="s">
        <v>87</v>
      </c>
      <c r="R963" s="1011" t="s">
        <v>1722</v>
      </c>
      <c r="S963" s="279" t="s">
        <v>4781</v>
      </c>
      <c r="T963" s="280"/>
      <c r="U963" s="251" t="s">
        <v>54</v>
      </c>
      <c r="V963" s="276"/>
      <c r="W963" s="443" t="s">
        <v>295</v>
      </c>
      <c r="X963" s="443"/>
      <c r="Y963" s="276"/>
      <c r="Z963" s="486"/>
      <c r="AA963" s="486"/>
      <c r="AB963" s="296" t="s">
        <v>4451</v>
      </c>
      <c r="AC963" s="488" t="s">
        <v>4226</v>
      </c>
      <c r="AD963" s="867"/>
      <c r="AE963" s="494" t="s">
        <v>4440</v>
      </c>
      <c r="AF963" s="494">
        <v>45476</v>
      </c>
      <c r="AG963" s="476"/>
      <c r="AH963" s="489"/>
      <c r="AI963" s="712" t="s">
        <v>1351</v>
      </c>
      <c r="AJ963" s="507" t="s">
        <v>136</v>
      </c>
      <c r="AK963" s="348">
        <v>3</v>
      </c>
      <c r="AL963" s="123" t="s">
        <v>481</v>
      </c>
      <c r="AM963" s="123" t="s">
        <v>460</v>
      </c>
      <c r="AN963" s="138"/>
      <c r="AO963" s="138"/>
      <c r="AP963" s="115"/>
      <c r="AQ963" s="115"/>
      <c r="AR963" s="115"/>
      <c r="AS963" s="115"/>
      <c r="AT963" s="115"/>
    </row>
    <row r="964" spans="1:46" ht="39" customHeight="1" x14ac:dyDescent="0.25">
      <c r="A964" s="1468">
        <v>963</v>
      </c>
      <c r="B964" s="159">
        <v>3</v>
      </c>
      <c r="C964" s="356" t="s">
        <v>290</v>
      </c>
      <c r="D964" s="282" t="s">
        <v>134</v>
      </c>
      <c r="E964" s="282"/>
      <c r="F964" s="282"/>
      <c r="G964" s="261" t="s">
        <v>291</v>
      </c>
      <c r="H964" s="262" t="s">
        <v>87</v>
      </c>
      <c r="I964" s="357"/>
      <c r="J964" s="245" t="s">
        <v>561</v>
      </c>
      <c r="K964" s="288" t="s">
        <v>158</v>
      </c>
      <c r="L964" s="288" t="s">
        <v>3678</v>
      </c>
      <c r="M964" s="288" t="s">
        <v>3678</v>
      </c>
      <c r="N964" s="281" t="s">
        <v>4217</v>
      </c>
      <c r="O964" s="392" t="s">
        <v>3831</v>
      </c>
      <c r="P964" s="374"/>
      <c r="Q964" s="380" t="s">
        <v>87</v>
      </c>
      <c r="R964" s="1188" t="s">
        <v>3830</v>
      </c>
      <c r="S964" s="279">
        <v>37957</v>
      </c>
      <c r="T964" s="257"/>
      <c r="U964" s="251" t="s">
        <v>54</v>
      </c>
      <c r="V964" s="245" t="s">
        <v>3904</v>
      </c>
      <c r="W964" s="250" t="s">
        <v>295</v>
      </c>
      <c r="X964" s="197" t="s">
        <v>475</v>
      </c>
      <c r="Y964" s="245" t="s">
        <v>3975</v>
      </c>
      <c r="Z964" s="246">
        <v>45224</v>
      </c>
      <c r="AA964" s="374"/>
      <c r="AB964" s="288" t="s">
        <v>4311</v>
      </c>
      <c r="AC964" s="223" t="s">
        <v>946</v>
      </c>
      <c r="AD964" s="299" t="s">
        <v>467</v>
      </c>
      <c r="AE964" s="494">
        <v>45105</v>
      </c>
      <c r="AF964" s="494">
        <v>45470</v>
      </c>
      <c r="AG964" s="241"/>
      <c r="AH964" s="299"/>
      <c r="AI964" s="296" t="s">
        <v>1351</v>
      </c>
      <c r="AJ964" s="303" t="s">
        <v>136</v>
      </c>
      <c r="AK964" s="241">
        <v>4</v>
      </c>
      <c r="AL964" s="123" t="s">
        <v>481</v>
      </c>
      <c r="AM964" s="123" t="s">
        <v>460</v>
      </c>
      <c r="AN964" s="172" t="s">
        <v>4184</v>
      </c>
      <c r="AO964" s="151"/>
      <c r="AP964" s="115"/>
      <c r="AQ964" s="115"/>
      <c r="AR964" s="115"/>
      <c r="AS964" s="115"/>
      <c r="AT964" s="115"/>
    </row>
    <row r="965" spans="1:46" ht="39" customHeight="1" x14ac:dyDescent="0.25">
      <c r="A965" s="1468">
        <v>964</v>
      </c>
      <c r="B965" s="117">
        <v>3</v>
      </c>
      <c r="C965" s="260" t="s">
        <v>346</v>
      </c>
      <c r="D965" s="282"/>
      <c r="E965" s="282"/>
      <c r="F965" s="282"/>
      <c r="G965" s="261" t="s">
        <v>383</v>
      </c>
      <c r="H965" s="262" t="s">
        <v>85</v>
      </c>
      <c r="I965" s="357"/>
      <c r="J965" s="245" t="s">
        <v>556</v>
      </c>
      <c r="K965" s="216"/>
      <c r="L965" s="281" t="s">
        <v>1527</v>
      </c>
      <c r="M965" s="281" t="s">
        <v>1676</v>
      </c>
      <c r="N965" s="366"/>
      <c r="O965" s="392" t="s">
        <v>3053</v>
      </c>
      <c r="P965" s="402"/>
      <c r="Q965" s="380" t="s">
        <v>87</v>
      </c>
      <c r="R965" s="427" t="s">
        <v>1742</v>
      </c>
      <c r="S965" s="279" t="s">
        <v>4784</v>
      </c>
      <c r="T965" s="197"/>
      <c r="U965" s="251" t="s">
        <v>54</v>
      </c>
      <c r="V965" s="245"/>
      <c r="W965" s="250" t="s">
        <v>295</v>
      </c>
      <c r="X965" s="299"/>
      <c r="Y965" s="245"/>
      <c r="Z965" s="246"/>
      <c r="AA965" s="246"/>
      <c r="AB965" s="296" t="s">
        <v>4454</v>
      </c>
      <c r="AC965" s="223" t="s">
        <v>4228</v>
      </c>
      <c r="AD965" s="376"/>
      <c r="AE965" s="494" t="s">
        <v>4440</v>
      </c>
      <c r="AF965" s="494">
        <v>45476</v>
      </c>
      <c r="AG965" s="241"/>
      <c r="AH965" s="283"/>
      <c r="AI965" s="254" t="s">
        <v>1351</v>
      </c>
      <c r="AJ965" s="303" t="s">
        <v>136</v>
      </c>
      <c r="AK965" s="241">
        <v>4</v>
      </c>
      <c r="AL965" s="123" t="s">
        <v>481</v>
      </c>
      <c r="AM965" s="123" t="s">
        <v>460</v>
      </c>
      <c r="AN965" s="151"/>
      <c r="AO965" s="151"/>
      <c r="AP965" s="115"/>
      <c r="AQ965" s="115"/>
      <c r="AR965" s="115"/>
      <c r="AS965" s="115"/>
      <c r="AT965" s="115"/>
    </row>
    <row r="966" spans="1:46" ht="39" customHeight="1" x14ac:dyDescent="0.25">
      <c r="A966" s="1468">
        <v>965</v>
      </c>
      <c r="B966" s="159">
        <v>2</v>
      </c>
      <c r="C966" s="358" t="s">
        <v>385</v>
      </c>
      <c r="D966" s="282" t="s">
        <v>134</v>
      </c>
      <c r="E966" s="282"/>
      <c r="F966" s="282"/>
      <c r="G966" s="261" t="s">
        <v>386</v>
      </c>
      <c r="H966" s="262" t="s">
        <v>85</v>
      </c>
      <c r="I966" s="357"/>
      <c r="J966" s="245" t="s">
        <v>556</v>
      </c>
      <c r="K966" s="288" t="s">
        <v>158</v>
      </c>
      <c r="L966" s="288" t="s">
        <v>3678</v>
      </c>
      <c r="M966" s="288" t="s">
        <v>3678</v>
      </c>
      <c r="N966" s="281" t="s">
        <v>4217</v>
      </c>
      <c r="O966" s="1392" t="s">
        <v>3827</v>
      </c>
      <c r="P966" s="402"/>
      <c r="Q966" s="380" t="s">
        <v>87</v>
      </c>
      <c r="R966" s="1188" t="s">
        <v>3826</v>
      </c>
      <c r="S966" s="279">
        <v>38151</v>
      </c>
      <c r="T966" s="197"/>
      <c r="U966" s="251" t="s">
        <v>54</v>
      </c>
      <c r="V966" s="245" t="s">
        <v>3904</v>
      </c>
      <c r="W966" s="250" t="s">
        <v>295</v>
      </c>
      <c r="X966" s="197" t="s">
        <v>475</v>
      </c>
      <c r="Y966" s="245" t="s">
        <v>3975</v>
      </c>
      <c r="Z966" s="246">
        <v>45224</v>
      </c>
      <c r="AA966" s="246"/>
      <c r="AB966" s="361" t="s">
        <v>4252</v>
      </c>
      <c r="AC966" s="223" t="s">
        <v>946</v>
      </c>
      <c r="AD966" s="299" t="s">
        <v>467</v>
      </c>
      <c r="AE966" s="494">
        <v>45100</v>
      </c>
      <c r="AF966" s="494">
        <v>45465</v>
      </c>
      <c r="AG966" s="241"/>
      <c r="AH966" s="283"/>
      <c r="AI966" s="296" t="s">
        <v>1351</v>
      </c>
      <c r="AJ966" s="303" t="s">
        <v>136</v>
      </c>
      <c r="AK966" s="241">
        <v>4</v>
      </c>
      <c r="AL966" s="123" t="s">
        <v>481</v>
      </c>
      <c r="AM966" s="123" t="s">
        <v>460</v>
      </c>
      <c r="AN966" s="110"/>
      <c r="AO966" s="151"/>
      <c r="AP966" s="115"/>
      <c r="AQ966" s="115"/>
      <c r="AR966" s="115"/>
      <c r="AS966" s="115"/>
      <c r="AT966" s="116"/>
    </row>
    <row r="967" spans="1:46" ht="39" customHeight="1" x14ac:dyDescent="0.25">
      <c r="A967" s="1468">
        <v>966</v>
      </c>
      <c r="B967" s="146">
        <v>2</v>
      </c>
      <c r="C967" s="260" t="s">
        <v>319</v>
      </c>
      <c r="D967" s="282"/>
      <c r="E967" s="282"/>
      <c r="F967" s="282"/>
      <c r="G967" s="261" t="s">
        <v>387</v>
      </c>
      <c r="H967" s="262" t="s">
        <v>87</v>
      </c>
      <c r="I967" s="357"/>
      <c r="J967" s="245" t="s">
        <v>561</v>
      </c>
      <c r="K967" s="288"/>
      <c r="L967" s="288" t="s">
        <v>5144</v>
      </c>
      <c r="M967" s="288" t="s">
        <v>5144</v>
      </c>
      <c r="N967" s="366"/>
      <c r="O967" s="1392" t="s">
        <v>5257</v>
      </c>
      <c r="P967" s="402"/>
      <c r="Q967" s="380" t="s">
        <v>87</v>
      </c>
      <c r="R967" s="1003" t="s">
        <v>5210</v>
      </c>
      <c r="S967" s="279">
        <v>37693</v>
      </c>
      <c r="T967" s="197"/>
      <c r="U967" s="251" t="s">
        <v>54</v>
      </c>
      <c r="V967" s="245" t="s">
        <v>5171</v>
      </c>
      <c r="W967" s="250" t="s">
        <v>295</v>
      </c>
      <c r="X967" s="197"/>
      <c r="Y967" s="981" t="s">
        <v>5829</v>
      </c>
      <c r="Z967" s="246">
        <v>45260</v>
      </c>
      <c r="AA967" s="246"/>
      <c r="AB967" s="288" t="s">
        <v>5295</v>
      </c>
      <c r="AC967" s="223" t="s">
        <v>1475</v>
      </c>
      <c r="AD967" s="245" t="s">
        <v>467</v>
      </c>
      <c r="AE967" s="494">
        <v>45255</v>
      </c>
      <c r="AF967" s="494">
        <v>45620</v>
      </c>
      <c r="AG967" s="241"/>
      <c r="AH967" s="283"/>
      <c r="AI967" s="296" t="s">
        <v>4208</v>
      </c>
      <c r="AJ967" s="303" t="s">
        <v>136</v>
      </c>
      <c r="AK967" s="241">
        <v>4</v>
      </c>
      <c r="AL967" s="123" t="s">
        <v>481</v>
      </c>
      <c r="AM967" s="123" t="s">
        <v>460</v>
      </c>
      <c r="AN967" s="151"/>
      <c r="AO967" s="151"/>
      <c r="AP967" s="115"/>
      <c r="AQ967" s="115"/>
      <c r="AR967" s="115"/>
      <c r="AS967" s="115"/>
      <c r="AT967" s="115"/>
    </row>
    <row r="968" spans="1:46" ht="39" customHeight="1" x14ac:dyDescent="0.25">
      <c r="A968" s="1468">
        <v>967</v>
      </c>
      <c r="B968" s="117">
        <v>3</v>
      </c>
      <c r="C968" s="260" t="s">
        <v>346</v>
      </c>
      <c r="D968" s="282"/>
      <c r="E968" s="282"/>
      <c r="F968" s="282"/>
      <c r="G968" s="261" t="s">
        <v>383</v>
      </c>
      <c r="H968" s="262" t="s">
        <v>85</v>
      </c>
      <c r="I968" s="357"/>
      <c r="J968" s="245" t="s">
        <v>556</v>
      </c>
      <c r="K968" s="288"/>
      <c r="L968" s="281" t="s">
        <v>1527</v>
      </c>
      <c r="M968" s="281" t="s">
        <v>1676</v>
      </c>
      <c r="N968" s="366"/>
      <c r="O968" s="1392" t="s">
        <v>3075</v>
      </c>
      <c r="P968" s="402"/>
      <c r="Q968" s="380" t="s">
        <v>87</v>
      </c>
      <c r="R968" s="427" t="s">
        <v>1747</v>
      </c>
      <c r="S968" s="279" t="s">
        <v>4776</v>
      </c>
      <c r="T968" s="197"/>
      <c r="U968" s="251" t="s">
        <v>54</v>
      </c>
      <c r="V968" s="245"/>
      <c r="W968" s="250" t="s">
        <v>295</v>
      </c>
      <c r="X968" s="280"/>
      <c r="Y968" s="245"/>
      <c r="Z968" s="246"/>
      <c r="AA968" s="246"/>
      <c r="AB968" s="296" t="s">
        <v>4452</v>
      </c>
      <c r="AC968" s="223" t="s">
        <v>946</v>
      </c>
      <c r="AD968" s="376"/>
      <c r="AE968" s="494" t="s">
        <v>4453</v>
      </c>
      <c r="AF968" s="494">
        <v>45475</v>
      </c>
      <c r="AG968" s="241"/>
      <c r="AH968" s="283"/>
      <c r="AI968" s="254" t="s">
        <v>1351</v>
      </c>
      <c r="AJ968" s="303" t="s">
        <v>136</v>
      </c>
      <c r="AK968" s="241">
        <v>4</v>
      </c>
      <c r="AL968" s="123" t="s">
        <v>481</v>
      </c>
      <c r="AM968" s="123" t="s">
        <v>460</v>
      </c>
      <c r="AN968" s="167"/>
      <c r="AO968" s="151"/>
      <c r="AP968" s="115"/>
      <c r="AQ968" s="115"/>
      <c r="AR968" s="115"/>
      <c r="AS968" s="115"/>
      <c r="AT968" s="115"/>
    </row>
    <row r="969" spans="1:46" ht="39" customHeight="1" x14ac:dyDescent="0.25">
      <c r="A969" s="1468">
        <v>968</v>
      </c>
      <c r="B969" s="146">
        <v>2</v>
      </c>
      <c r="C969" s="503" t="s">
        <v>319</v>
      </c>
      <c r="D969" s="481"/>
      <c r="E969" s="481"/>
      <c r="F969" s="481"/>
      <c r="G969" s="472" t="s">
        <v>387</v>
      </c>
      <c r="H969" s="262" t="s">
        <v>87</v>
      </c>
      <c r="I969" s="473"/>
      <c r="J969" s="245" t="s">
        <v>561</v>
      </c>
      <c r="K969" s="216"/>
      <c r="L969" s="281" t="s">
        <v>1527</v>
      </c>
      <c r="M969" s="281" t="s">
        <v>1676</v>
      </c>
      <c r="N969" s="366"/>
      <c r="O969" s="1392" t="s">
        <v>3068</v>
      </c>
      <c r="P969" s="402"/>
      <c r="Q969" s="380" t="s">
        <v>87</v>
      </c>
      <c r="R969" s="427" t="s">
        <v>1744</v>
      </c>
      <c r="S969" s="279" t="s">
        <v>4785</v>
      </c>
      <c r="T969" s="197"/>
      <c r="U969" s="251" t="s">
        <v>54</v>
      </c>
      <c r="V969" s="245"/>
      <c r="W969" s="250" t="s">
        <v>295</v>
      </c>
      <c r="X969" s="299"/>
      <c r="Y969" s="245"/>
      <c r="Z969" s="246"/>
      <c r="AA969" s="246"/>
      <c r="AB969" s="296" t="s">
        <v>4455</v>
      </c>
      <c r="AC969" s="223" t="s">
        <v>946</v>
      </c>
      <c r="AD969" s="376"/>
      <c r="AE969" s="494" t="s">
        <v>4359</v>
      </c>
      <c r="AF969" s="494">
        <v>45477</v>
      </c>
      <c r="AG969" s="241"/>
      <c r="AH969" s="283"/>
      <c r="AI969" s="254" t="s">
        <v>1351</v>
      </c>
      <c r="AJ969" s="303" t="s">
        <v>136</v>
      </c>
      <c r="AK969" s="471">
        <v>4</v>
      </c>
      <c r="AL969" s="176" t="s">
        <v>481</v>
      </c>
      <c r="AM969" s="176" t="s">
        <v>460</v>
      </c>
      <c r="AN969" s="151"/>
      <c r="AO969" s="151"/>
      <c r="AP969" s="115"/>
      <c r="AQ969" s="115"/>
      <c r="AR969" s="115"/>
      <c r="AS969" s="115"/>
      <c r="AT969" s="115"/>
    </row>
    <row r="970" spans="1:46" ht="39" customHeight="1" x14ac:dyDescent="0.25">
      <c r="A970" s="1468">
        <v>969</v>
      </c>
      <c r="B970" s="987"/>
      <c r="C970" s="989"/>
      <c r="D970" s="535"/>
      <c r="E970" s="535"/>
      <c r="F970" s="535"/>
      <c r="G970" s="227"/>
      <c r="H970" s="577"/>
      <c r="I970" s="537"/>
      <c r="J970" s="235"/>
      <c r="K970" s="309"/>
      <c r="L970" s="541"/>
      <c r="M970" s="309"/>
      <c r="N970" s="578"/>
      <c r="O970" s="309"/>
      <c r="P970" s="540" t="s">
        <v>483</v>
      </c>
      <c r="Q970" s="726"/>
      <c r="R970" s="1004"/>
      <c r="S970" s="279"/>
      <c r="T970" s="579"/>
      <c r="U970" s="250"/>
      <c r="V970" s="232"/>
      <c r="W970" s="579"/>
      <c r="X970" s="579"/>
      <c r="Y970" s="232"/>
      <c r="Z970" s="233"/>
      <c r="AA970" s="233"/>
      <c r="AB970" s="541"/>
      <c r="AC970" s="236"/>
      <c r="AD970" s="541"/>
      <c r="AE970" s="494"/>
      <c r="AF970" s="494"/>
      <c r="AG970" s="541"/>
      <c r="AH970" s="541"/>
      <c r="AI970" s="580"/>
      <c r="AJ970" s="576"/>
      <c r="AK970" s="664"/>
      <c r="AL970" s="113"/>
      <c r="AM970" s="114"/>
      <c r="AN970" s="156"/>
      <c r="AO970" s="182"/>
      <c r="AP970" s="115"/>
      <c r="AQ970" s="115"/>
      <c r="AR970" s="115"/>
      <c r="AS970" s="115"/>
      <c r="AT970" s="115"/>
    </row>
    <row r="971" spans="1:46" ht="39" customHeight="1" x14ac:dyDescent="0.3">
      <c r="A971" s="1468">
        <v>970</v>
      </c>
      <c r="B971" s="117">
        <v>10</v>
      </c>
      <c r="C971" s="784" t="s">
        <v>305</v>
      </c>
      <c r="D971" s="754"/>
      <c r="E971" s="754"/>
      <c r="F971" s="754"/>
      <c r="G971" s="728" t="s">
        <v>393</v>
      </c>
      <c r="H971" s="244" t="s">
        <v>83</v>
      </c>
      <c r="I971" s="508"/>
      <c r="J971" s="245">
        <v>302</v>
      </c>
      <c r="K971" s="197" t="s">
        <v>50</v>
      </c>
      <c r="L971" s="276" t="s">
        <v>1908</v>
      </c>
      <c r="M971" s="276" t="s">
        <v>1908</v>
      </c>
      <c r="N971" s="734"/>
      <c r="O971" s="277" t="s">
        <v>3312</v>
      </c>
      <c r="P971" s="278"/>
      <c r="Q971" s="978" t="s">
        <v>119</v>
      </c>
      <c r="R971" s="995" t="s">
        <v>1910</v>
      </c>
      <c r="S971" s="279">
        <v>36793</v>
      </c>
      <c r="T971" s="280"/>
      <c r="U971" s="250"/>
      <c r="V971" s="197"/>
      <c r="W971" s="250" t="s">
        <v>3478</v>
      </c>
      <c r="X971" s="197"/>
      <c r="Y971" s="1130"/>
      <c r="Z971" s="246"/>
      <c r="AA971" s="486"/>
      <c r="AB971" s="276"/>
      <c r="AC971" s="488"/>
      <c r="AD971" s="276"/>
      <c r="AE971" s="494"/>
      <c r="AF971" s="494"/>
      <c r="AG971" s="476"/>
      <c r="AH971" s="871"/>
      <c r="AI971" s="721"/>
      <c r="AJ971" s="755" t="s">
        <v>62</v>
      </c>
      <c r="AK971" s="442">
        <v>1</v>
      </c>
      <c r="AL971" s="826" t="s">
        <v>924</v>
      </c>
      <c r="AM971" s="175" t="s">
        <v>460</v>
      </c>
      <c r="AN971" s="151"/>
      <c r="AO971" s="151"/>
      <c r="AP971" s="115"/>
      <c r="AQ971" s="115"/>
      <c r="AR971" s="115"/>
      <c r="AS971" s="115"/>
      <c r="AT971" s="115"/>
    </row>
    <row r="972" spans="1:46" ht="39" customHeight="1" x14ac:dyDescent="0.25">
      <c r="A972" s="1468">
        <v>971</v>
      </c>
      <c r="B972" s="117"/>
      <c r="C972" s="455"/>
      <c r="D972" s="511"/>
      <c r="E972" s="511"/>
      <c r="F972" s="511"/>
      <c r="G972" s="432"/>
      <c r="H972" s="512"/>
      <c r="I972" s="513"/>
      <c r="J972" s="459"/>
      <c r="K972" s="330"/>
      <c r="L972" s="514"/>
      <c r="M972" s="330"/>
      <c r="N972" s="515"/>
      <c r="O972" s="330"/>
      <c r="P972" s="516" t="s">
        <v>395</v>
      </c>
      <c r="Q972" s="373"/>
      <c r="R972" s="982"/>
      <c r="S972" s="279"/>
      <c r="T972" s="517"/>
      <c r="U972" s="250"/>
      <c r="V972" s="334"/>
      <c r="W972" s="517"/>
      <c r="X972" s="517"/>
      <c r="Y972" s="334"/>
      <c r="Z972" s="457"/>
      <c r="AA972" s="457"/>
      <c r="AB972" s="514"/>
      <c r="AC972" s="460"/>
      <c r="AD972" s="514"/>
      <c r="AE972" s="494"/>
      <c r="AF972" s="494"/>
      <c r="AG972" s="514"/>
      <c r="AH972" s="514"/>
      <c r="AI972" s="518"/>
      <c r="AJ972" s="464"/>
      <c r="AK972" s="331"/>
      <c r="AL972" s="163"/>
      <c r="AM972" s="163"/>
      <c r="AN972" s="156"/>
      <c r="AO972" s="156"/>
      <c r="AP972" s="115"/>
      <c r="AQ972" s="115"/>
      <c r="AR972" s="115"/>
      <c r="AS972" s="115"/>
      <c r="AT972" s="115"/>
    </row>
    <row r="973" spans="1:46" ht="39" customHeight="1" x14ac:dyDescent="0.25">
      <c r="A973" s="1468">
        <v>972</v>
      </c>
      <c r="B973" s="117">
        <v>5</v>
      </c>
      <c r="C973" s="260" t="s">
        <v>367</v>
      </c>
      <c r="D973" s="282"/>
      <c r="E973" s="282"/>
      <c r="F973" s="282"/>
      <c r="G973" s="261" t="s">
        <v>396</v>
      </c>
      <c r="H973" s="262" t="s">
        <v>132</v>
      </c>
      <c r="I973" s="357"/>
      <c r="J973" s="256">
        <v>403</v>
      </c>
      <c r="K973" s="216"/>
      <c r="L973" s="281" t="s">
        <v>1527</v>
      </c>
      <c r="M973" s="281" t="s">
        <v>1676</v>
      </c>
      <c r="N973" s="366"/>
      <c r="O973" s="1392" t="s">
        <v>2937</v>
      </c>
      <c r="P973" s="402"/>
      <c r="Q973" s="380" t="s">
        <v>87</v>
      </c>
      <c r="R973" s="427" t="s">
        <v>1729</v>
      </c>
      <c r="S973" s="279" t="s">
        <v>4786</v>
      </c>
      <c r="T973" s="197"/>
      <c r="U973" s="251" t="s">
        <v>468</v>
      </c>
      <c r="V973" s="245" t="s">
        <v>6226</v>
      </c>
      <c r="W973" s="197" t="s">
        <v>2871</v>
      </c>
      <c r="X973" s="197" t="s">
        <v>2030</v>
      </c>
      <c r="Y973" s="288" t="s">
        <v>6233</v>
      </c>
      <c r="Z973" s="246">
        <v>45328</v>
      </c>
      <c r="AA973" s="246">
        <v>45337</v>
      </c>
      <c r="AB973" s="296" t="s">
        <v>4457</v>
      </c>
      <c r="AC973" s="223" t="s">
        <v>209</v>
      </c>
      <c r="AD973" s="376"/>
      <c r="AE973" s="494" t="s">
        <v>4440</v>
      </c>
      <c r="AF973" s="494">
        <v>45476</v>
      </c>
      <c r="AG973" s="241"/>
      <c r="AH973" s="283"/>
      <c r="AI973" s="254" t="s">
        <v>1351</v>
      </c>
      <c r="AJ973" s="303" t="s">
        <v>136</v>
      </c>
      <c r="AK973" s="348">
        <v>3</v>
      </c>
      <c r="AL973" s="122" t="s">
        <v>924</v>
      </c>
      <c r="AM973" s="123" t="s">
        <v>460</v>
      </c>
      <c r="AN973" s="151"/>
      <c r="AO973" s="151"/>
      <c r="AP973" s="115"/>
      <c r="AQ973" s="115"/>
      <c r="AR973" s="115"/>
      <c r="AS973" s="115"/>
      <c r="AT973" s="115"/>
    </row>
    <row r="974" spans="1:46" ht="39" customHeight="1" x14ac:dyDescent="0.25">
      <c r="A974" s="1468">
        <v>973</v>
      </c>
      <c r="B974" s="117">
        <v>3</v>
      </c>
      <c r="C974" s="358" t="s">
        <v>397</v>
      </c>
      <c r="D974" s="282"/>
      <c r="E974" s="282"/>
      <c r="F974" s="282"/>
      <c r="G974" s="261" t="s">
        <v>398</v>
      </c>
      <c r="H974" s="262" t="s">
        <v>85</v>
      </c>
      <c r="I974" s="357"/>
      <c r="J974" s="245" t="s">
        <v>556</v>
      </c>
      <c r="K974" s="216"/>
      <c r="L974" s="281" t="s">
        <v>1527</v>
      </c>
      <c r="M974" s="281" t="s">
        <v>1676</v>
      </c>
      <c r="N974" s="366"/>
      <c r="O974" s="1392" t="s">
        <v>2905</v>
      </c>
      <c r="P974" s="402"/>
      <c r="Q974" s="380" t="s">
        <v>87</v>
      </c>
      <c r="R974" s="427" t="s">
        <v>1726</v>
      </c>
      <c r="S974" s="279" t="s">
        <v>4788</v>
      </c>
      <c r="T974" s="197"/>
      <c r="U974" s="251" t="s">
        <v>468</v>
      </c>
      <c r="V974" s="245" t="s">
        <v>6226</v>
      </c>
      <c r="W974" s="197" t="s">
        <v>2871</v>
      </c>
      <c r="X974" s="197" t="s">
        <v>2030</v>
      </c>
      <c r="Y974" s="288" t="s">
        <v>6233</v>
      </c>
      <c r="Z974" s="246">
        <v>45328</v>
      </c>
      <c r="AA974" s="246">
        <v>45337</v>
      </c>
      <c r="AB974" s="296" t="s">
        <v>4458</v>
      </c>
      <c r="AC974" s="223" t="s">
        <v>946</v>
      </c>
      <c r="AD974" s="305"/>
      <c r="AE974" s="494" t="s">
        <v>4414</v>
      </c>
      <c r="AF974" s="494">
        <v>45478</v>
      </c>
      <c r="AG974" s="241"/>
      <c r="AH974" s="283"/>
      <c r="AI974" s="254" t="s">
        <v>1351</v>
      </c>
      <c r="AJ974" s="303" t="s">
        <v>136</v>
      </c>
      <c r="AK974" s="241">
        <v>4</v>
      </c>
      <c r="AL974" s="122" t="s">
        <v>924</v>
      </c>
      <c r="AM974" s="123" t="s">
        <v>460</v>
      </c>
      <c r="AN974" s="151"/>
      <c r="AO974" s="151"/>
      <c r="AP974" s="115"/>
      <c r="AQ974" s="115"/>
      <c r="AR974" s="115"/>
      <c r="AS974" s="115"/>
      <c r="AT974" s="115"/>
    </row>
    <row r="975" spans="1:46" ht="39" customHeight="1" x14ac:dyDescent="0.25">
      <c r="A975" s="1468">
        <v>974</v>
      </c>
      <c r="B975" s="117">
        <v>2</v>
      </c>
      <c r="C975" s="358" t="s">
        <v>86</v>
      </c>
      <c r="D975" s="282"/>
      <c r="E975" s="282"/>
      <c r="F975" s="282"/>
      <c r="G975" s="261" t="s">
        <v>399</v>
      </c>
      <c r="H975" s="262" t="s">
        <v>87</v>
      </c>
      <c r="I975" s="357"/>
      <c r="J975" s="245" t="s">
        <v>561</v>
      </c>
      <c r="K975" s="197"/>
      <c r="L975" s="299" t="s">
        <v>1508</v>
      </c>
      <c r="M975" s="299" t="s">
        <v>1708</v>
      </c>
      <c r="N975" s="245"/>
      <c r="O975" s="1392" t="s">
        <v>2914</v>
      </c>
      <c r="P975" s="627"/>
      <c r="Q975" s="594" t="s">
        <v>293</v>
      </c>
      <c r="R975" s="381" t="s">
        <v>1663</v>
      </c>
      <c r="S975" s="279">
        <v>37604</v>
      </c>
      <c r="T975" s="289"/>
      <c r="U975" s="251" t="s">
        <v>468</v>
      </c>
      <c r="V975" s="245" t="s">
        <v>6226</v>
      </c>
      <c r="W975" s="197" t="s">
        <v>2871</v>
      </c>
      <c r="X975" s="197" t="s">
        <v>2030</v>
      </c>
      <c r="Y975" s="288" t="s">
        <v>6233</v>
      </c>
      <c r="Z975" s="246">
        <v>45328</v>
      </c>
      <c r="AA975" s="246">
        <v>45337</v>
      </c>
      <c r="AB975" s="1239" t="s">
        <v>4461</v>
      </c>
      <c r="AC975" s="223" t="s">
        <v>946</v>
      </c>
      <c r="AD975" s="245"/>
      <c r="AE975" s="494">
        <v>45115</v>
      </c>
      <c r="AF975" s="494">
        <v>45480</v>
      </c>
      <c r="AG975" s="241"/>
      <c r="AH975" s="253"/>
      <c r="AI975" s="284" t="s">
        <v>1351</v>
      </c>
      <c r="AJ975" s="303" t="s">
        <v>136</v>
      </c>
      <c r="AK975" s="241">
        <v>4</v>
      </c>
      <c r="AL975" s="122" t="s">
        <v>924</v>
      </c>
      <c r="AM975" s="123" t="s">
        <v>460</v>
      </c>
      <c r="AN975" s="151" t="s">
        <v>5773</v>
      </c>
      <c r="AO975" s="151"/>
      <c r="AP975" s="115"/>
      <c r="AQ975" s="115"/>
      <c r="AR975" s="115"/>
      <c r="AS975" s="115"/>
      <c r="AT975" s="115"/>
    </row>
    <row r="976" spans="1:46" ht="39" customHeight="1" x14ac:dyDescent="0.25">
      <c r="A976" s="1468">
        <v>975</v>
      </c>
      <c r="B976" s="117">
        <v>2</v>
      </c>
      <c r="C976" s="358" t="s">
        <v>86</v>
      </c>
      <c r="D976" s="282"/>
      <c r="E976" s="282"/>
      <c r="F976" s="282"/>
      <c r="G976" s="261" t="s">
        <v>399</v>
      </c>
      <c r="H976" s="262" t="s">
        <v>87</v>
      </c>
      <c r="I976" s="357"/>
      <c r="J976" s="245" t="s">
        <v>561</v>
      </c>
      <c r="K976" s="216"/>
      <c r="L976" s="288" t="s">
        <v>5144</v>
      </c>
      <c r="M976" s="288" t="s">
        <v>5144</v>
      </c>
      <c r="N976" s="366"/>
      <c r="O976" s="1392" t="s">
        <v>5258</v>
      </c>
      <c r="P976" s="402"/>
      <c r="Q976" s="380" t="s">
        <v>87</v>
      </c>
      <c r="R976" s="1003" t="s">
        <v>5211</v>
      </c>
      <c r="S976" s="279">
        <v>38077</v>
      </c>
      <c r="T976" s="197"/>
      <c r="U976" s="251" t="s">
        <v>468</v>
      </c>
      <c r="V976" s="245" t="s">
        <v>6226</v>
      </c>
      <c r="W976" s="197" t="s">
        <v>2871</v>
      </c>
      <c r="X976" s="197" t="s">
        <v>2030</v>
      </c>
      <c r="Y976" s="288" t="s">
        <v>6233</v>
      </c>
      <c r="Z976" s="246">
        <v>45328</v>
      </c>
      <c r="AA976" s="246">
        <v>45337</v>
      </c>
      <c r="AB976" s="288" t="s">
        <v>5296</v>
      </c>
      <c r="AC976" s="223" t="s">
        <v>1475</v>
      </c>
      <c r="AD976" s="245" t="s">
        <v>467</v>
      </c>
      <c r="AE976" s="494">
        <v>45255</v>
      </c>
      <c r="AF976" s="494">
        <v>45620</v>
      </c>
      <c r="AG976" s="241"/>
      <c r="AH976" s="283"/>
      <c r="AI976" s="296" t="s">
        <v>4208</v>
      </c>
      <c r="AJ976" s="303" t="s">
        <v>136</v>
      </c>
      <c r="AK976" s="241">
        <v>4</v>
      </c>
      <c r="AL976" s="122" t="s">
        <v>924</v>
      </c>
      <c r="AM976" s="123" t="s">
        <v>460</v>
      </c>
      <c r="AN976" s="151" t="s">
        <v>5773</v>
      </c>
      <c r="AO976" s="151"/>
      <c r="AP976" s="115"/>
      <c r="AQ976" s="115"/>
      <c r="AR976" s="115"/>
      <c r="AS976" s="115"/>
      <c r="AT976" s="115"/>
    </row>
    <row r="977" spans="1:46" ht="39" customHeight="1" x14ac:dyDescent="0.25">
      <c r="A977" s="1468">
        <v>976</v>
      </c>
      <c r="B977" s="117"/>
      <c r="C977" s="455"/>
      <c r="D977" s="511"/>
      <c r="E977" s="511"/>
      <c r="F977" s="511"/>
      <c r="G977" s="432"/>
      <c r="H977" s="512"/>
      <c r="I977" s="513"/>
      <c r="J977" s="459"/>
      <c r="K977" s="330"/>
      <c r="L977" s="514"/>
      <c r="M977" s="330"/>
      <c r="N977" s="515"/>
      <c r="O977" s="330"/>
      <c r="P977" s="516" t="s">
        <v>400</v>
      </c>
      <c r="Q977" s="373"/>
      <c r="R977" s="982"/>
      <c r="S977" s="279"/>
      <c r="T977" s="517"/>
      <c r="U977" s="250"/>
      <c r="V977" s="334"/>
      <c r="W977" s="517"/>
      <c r="X977" s="517"/>
      <c r="Y977" s="334"/>
      <c r="Z977" s="246"/>
      <c r="AA977" s="246"/>
      <c r="AB977" s="514"/>
      <c r="AC977" s="460"/>
      <c r="AD977" s="514"/>
      <c r="AE977" s="494"/>
      <c r="AF977" s="494"/>
      <c r="AG977" s="514"/>
      <c r="AH977" s="514"/>
      <c r="AI977" s="518"/>
      <c r="AJ977" s="464"/>
      <c r="AK977" s="331"/>
      <c r="AL977" s="163"/>
      <c r="AM977" s="163"/>
      <c r="AN977" s="156"/>
      <c r="AO977" s="156"/>
      <c r="AP977" s="115"/>
      <c r="AQ977" s="115"/>
      <c r="AR977" s="115"/>
      <c r="AS977" s="115"/>
      <c r="AT977" s="115"/>
    </row>
    <row r="978" spans="1:46" ht="39" customHeight="1" x14ac:dyDescent="0.25">
      <c r="A978" s="1468">
        <v>977</v>
      </c>
      <c r="B978" s="117">
        <v>5</v>
      </c>
      <c r="C978" s="260" t="s">
        <v>367</v>
      </c>
      <c r="D978" s="282"/>
      <c r="E978" s="282"/>
      <c r="F978" s="282"/>
      <c r="G978" s="261" t="s">
        <v>396</v>
      </c>
      <c r="H978" s="262" t="s">
        <v>132</v>
      </c>
      <c r="I978" s="357"/>
      <c r="J978" s="256">
        <v>403</v>
      </c>
      <c r="K978" s="216"/>
      <c r="L978" s="281" t="s">
        <v>1527</v>
      </c>
      <c r="M978" s="281" t="s">
        <v>1676</v>
      </c>
      <c r="N978" s="366"/>
      <c r="O978" s="1392" t="s">
        <v>3026</v>
      </c>
      <c r="P978" s="402"/>
      <c r="Q978" s="380" t="s">
        <v>87</v>
      </c>
      <c r="R978" s="427" t="s">
        <v>1739</v>
      </c>
      <c r="S978" s="279" t="s">
        <v>4793</v>
      </c>
      <c r="T978" s="197"/>
      <c r="U978" s="251" t="s">
        <v>468</v>
      </c>
      <c r="V978" s="245" t="s">
        <v>6226</v>
      </c>
      <c r="W978" s="197" t="s">
        <v>2871</v>
      </c>
      <c r="X978" s="197" t="s">
        <v>2030</v>
      </c>
      <c r="Y978" s="288" t="s">
        <v>6233</v>
      </c>
      <c r="Z978" s="246">
        <v>45328</v>
      </c>
      <c r="AA978" s="246">
        <v>45337</v>
      </c>
      <c r="AB978" s="296" t="s">
        <v>4358</v>
      </c>
      <c r="AC978" s="223" t="s">
        <v>946</v>
      </c>
      <c r="AD978" s="376"/>
      <c r="AE978" s="494" t="s">
        <v>4359</v>
      </c>
      <c r="AF978" s="494">
        <v>45477</v>
      </c>
      <c r="AG978" s="241"/>
      <c r="AH978" s="283"/>
      <c r="AI978" s="254" t="s">
        <v>1351</v>
      </c>
      <c r="AJ978" s="303" t="s">
        <v>136</v>
      </c>
      <c r="AK978" s="348">
        <v>3</v>
      </c>
      <c r="AL978" s="122" t="s">
        <v>924</v>
      </c>
      <c r="AM978" s="123" t="s">
        <v>460</v>
      </c>
      <c r="AN978" s="151"/>
      <c r="AO978" s="151"/>
      <c r="AP978" s="115"/>
      <c r="AQ978" s="115"/>
      <c r="AR978" s="115"/>
      <c r="AS978" s="115"/>
      <c r="AT978" s="115"/>
    </row>
    <row r="979" spans="1:46" ht="39" customHeight="1" x14ac:dyDescent="0.25">
      <c r="A979" s="1468">
        <v>978</v>
      </c>
      <c r="B979" s="117">
        <v>3</v>
      </c>
      <c r="C979" s="520" t="s">
        <v>397</v>
      </c>
      <c r="D979" s="481"/>
      <c r="E979" s="481"/>
      <c r="F979" s="481"/>
      <c r="G979" s="472" t="s">
        <v>398</v>
      </c>
      <c r="H979" s="262" t="s">
        <v>85</v>
      </c>
      <c r="I979" s="473"/>
      <c r="J979" s="245" t="s">
        <v>556</v>
      </c>
      <c r="K979" s="595"/>
      <c r="L979" s="281" t="s">
        <v>1527</v>
      </c>
      <c r="M979" s="281" t="s">
        <v>1676</v>
      </c>
      <c r="N979" s="366"/>
      <c r="O979" s="1392" t="s">
        <v>3157</v>
      </c>
      <c r="P979" s="402"/>
      <c r="Q979" s="301" t="s">
        <v>87</v>
      </c>
      <c r="R979" s="427" t="s">
        <v>1721</v>
      </c>
      <c r="S979" s="279" t="s">
        <v>4789</v>
      </c>
      <c r="T979" s="197"/>
      <c r="U979" s="251" t="s">
        <v>468</v>
      </c>
      <c r="V979" s="245" t="s">
        <v>6226</v>
      </c>
      <c r="W979" s="197" t="s">
        <v>2871</v>
      </c>
      <c r="X979" s="197" t="s">
        <v>2030</v>
      </c>
      <c r="Y979" s="288" t="s">
        <v>6233</v>
      </c>
      <c r="Z979" s="246">
        <v>45328</v>
      </c>
      <c r="AA979" s="246">
        <v>45337</v>
      </c>
      <c r="AB979" s="296" t="s">
        <v>4459</v>
      </c>
      <c r="AC979" s="223" t="s">
        <v>946</v>
      </c>
      <c r="AD979" s="376"/>
      <c r="AE979" s="494" t="s">
        <v>4359</v>
      </c>
      <c r="AF979" s="494">
        <v>45477</v>
      </c>
      <c r="AG979" s="241"/>
      <c r="AH979" s="283"/>
      <c r="AI979" s="254" t="s">
        <v>1351</v>
      </c>
      <c r="AJ979" s="303" t="s">
        <v>136</v>
      </c>
      <c r="AK979" s="241">
        <v>4</v>
      </c>
      <c r="AL979" s="122" t="s">
        <v>924</v>
      </c>
      <c r="AM979" s="123" t="s">
        <v>460</v>
      </c>
      <c r="AN979" s="167"/>
      <c r="AO979" s="167"/>
      <c r="AP979" s="115"/>
      <c r="AQ979" s="115"/>
      <c r="AR979" s="115"/>
      <c r="AS979" s="115"/>
      <c r="AT979" s="115"/>
    </row>
    <row r="980" spans="1:46" ht="39" customHeight="1" x14ac:dyDescent="0.25">
      <c r="A980" s="1468">
        <v>979</v>
      </c>
      <c r="B980" s="117">
        <v>2</v>
      </c>
      <c r="C980" s="358" t="s">
        <v>86</v>
      </c>
      <c r="D980" s="282"/>
      <c r="E980" s="282"/>
      <c r="F980" s="282"/>
      <c r="G980" s="261" t="s">
        <v>399</v>
      </c>
      <c r="H980" s="262" t="s">
        <v>87</v>
      </c>
      <c r="I980" s="357"/>
      <c r="J980" s="245" t="s">
        <v>561</v>
      </c>
      <c r="K980" s="216"/>
      <c r="L980" s="281" t="s">
        <v>1527</v>
      </c>
      <c r="M980" s="281" t="s">
        <v>1676</v>
      </c>
      <c r="N980" s="366"/>
      <c r="O980" s="1392" t="s">
        <v>2917</v>
      </c>
      <c r="P980" s="402"/>
      <c r="Q980" s="380" t="s">
        <v>87</v>
      </c>
      <c r="R980" s="427" t="s">
        <v>1727</v>
      </c>
      <c r="S980" s="279" t="s">
        <v>4746</v>
      </c>
      <c r="T980" s="197"/>
      <c r="U980" s="251" t="s">
        <v>468</v>
      </c>
      <c r="V980" s="245" t="s">
        <v>6226</v>
      </c>
      <c r="W980" s="197" t="s">
        <v>2871</v>
      </c>
      <c r="X980" s="197" t="s">
        <v>2030</v>
      </c>
      <c r="Y980" s="288" t="s">
        <v>6233</v>
      </c>
      <c r="Z980" s="246">
        <v>45328</v>
      </c>
      <c r="AA980" s="246">
        <v>45337</v>
      </c>
      <c r="AB980" s="296" t="s">
        <v>4442</v>
      </c>
      <c r="AC980" s="223" t="s">
        <v>946</v>
      </c>
      <c r="AD980" s="376"/>
      <c r="AE980" s="494" t="s">
        <v>4359</v>
      </c>
      <c r="AF980" s="494">
        <v>45477</v>
      </c>
      <c r="AG980" s="241"/>
      <c r="AH980" s="283"/>
      <c r="AI980" s="254" t="s">
        <v>1351</v>
      </c>
      <c r="AJ980" s="303" t="s">
        <v>136</v>
      </c>
      <c r="AK980" s="241">
        <v>4</v>
      </c>
      <c r="AL980" s="122" t="s">
        <v>924</v>
      </c>
      <c r="AM980" s="123" t="s">
        <v>460</v>
      </c>
      <c r="AN980" s="151" t="s">
        <v>5773</v>
      </c>
      <c r="AO980" s="151"/>
      <c r="AP980" s="115"/>
      <c r="AQ980" s="115"/>
      <c r="AR980" s="115"/>
      <c r="AS980" s="115"/>
      <c r="AT980" s="115"/>
    </row>
    <row r="981" spans="1:46" ht="39" customHeight="1" x14ac:dyDescent="0.25">
      <c r="A981" s="1468">
        <v>980</v>
      </c>
      <c r="B981" s="117">
        <v>2</v>
      </c>
      <c r="C981" s="358" t="s">
        <v>86</v>
      </c>
      <c r="D981" s="282"/>
      <c r="E981" s="282"/>
      <c r="F981" s="282"/>
      <c r="G981" s="261" t="s">
        <v>399</v>
      </c>
      <c r="H981" s="262" t="s">
        <v>87</v>
      </c>
      <c r="I981" s="357"/>
      <c r="J981" s="245" t="s">
        <v>561</v>
      </c>
      <c r="K981" s="216"/>
      <c r="L981" s="281" t="s">
        <v>1527</v>
      </c>
      <c r="M981" s="281" t="s">
        <v>1676</v>
      </c>
      <c r="N981" s="366"/>
      <c r="O981" s="1392" t="s">
        <v>2968</v>
      </c>
      <c r="P981" s="402"/>
      <c r="Q981" s="380" t="s">
        <v>87</v>
      </c>
      <c r="R981" s="427" t="s">
        <v>1732</v>
      </c>
      <c r="S981" s="279" t="s">
        <v>4567</v>
      </c>
      <c r="T981" s="197"/>
      <c r="U981" s="251" t="s">
        <v>468</v>
      </c>
      <c r="V981" s="245" t="s">
        <v>5928</v>
      </c>
      <c r="W981" s="197" t="s">
        <v>2871</v>
      </c>
      <c r="X981" s="197" t="s">
        <v>2030</v>
      </c>
      <c r="Y981" s="288" t="s">
        <v>5929</v>
      </c>
      <c r="Z981" s="246">
        <v>45304</v>
      </c>
      <c r="AA981" s="246">
        <v>45322</v>
      </c>
      <c r="AB981" s="296" t="s">
        <v>4456</v>
      </c>
      <c r="AC981" s="223" t="s">
        <v>209</v>
      </c>
      <c r="AD981" s="376"/>
      <c r="AE981" s="494" t="s">
        <v>4440</v>
      </c>
      <c r="AF981" s="494">
        <v>45476</v>
      </c>
      <c r="AG981" s="241"/>
      <c r="AH981" s="283"/>
      <c r="AI981" s="254" t="s">
        <v>1351</v>
      </c>
      <c r="AJ981" s="303" t="s">
        <v>136</v>
      </c>
      <c r="AK981" s="241">
        <v>4</v>
      </c>
      <c r="AL981" s="122" t="s">
        <v>924</v>
      </c>
      <c r="AM981" s="123" t="s">
        <v>460</v>
      </c>
      <c r="AN981" s="151" t="s">
        <v>5773</v>
      </c>
      <c r="AO981" s="151"/>
      <c r="AP981" s="115"/>
      <c r="AQ981" s="115"/>
      <c r="AR981" s="115"/>
      <c r="AS981" s="115"/>
      <c r="AT981" s="115"/>
    </row>
    <row r="982" spans="1:46" ht="39" customHeight="1" x14ac:dyDescent="0.25">
      <c r="A982" s="1468">
        <v>981</v>
      </c>
      <c r="B982" s="117"/>
      <c r="C982" s="455"/>
      <c r="D982" s="511"/>
      <c r="E982" s="511"/>
      <c r="F982" s="511"/>
      <c r="G982" s="432"/>
      <c r="H982" s="512"/>
      <c r="I982" s="513"/>
      <c r="J982" s="459"/>
      <c r="K982" s="330"/>
      <c r="L982" s="514"/>
      <c r="M982" s="330"/>
      <c r="N982" s="515"/>
      <c r="O982" s="330"/>
      <c r="P982" s="516" t="s">
        <v>401</v>
      </c>
      <c r="Q982" s="373"/>
      <c r="R982" s="982"/>
      <c r="S982" s="279"/>
      <c r="T982" s="517"/>
      <c r="U982" s="250"/>
      <c r="V982" s="334"/>
      <c r="W982" s="517"/>
      <c r="X982" s="517"/>
      <c r="Y982" s="334"/>
      <c r="Z982" s="246"/>
      <c r="AA982" s="246"/>
      <c r="AB982" s="514"/>
      <c r="AC982" s="460"/>
      <c r="AD982" s="514"/>
      <c r="AE982" s="494"/>
      <c r="AF982" s="494"/>
      <c r="AG982" s="514"/>
      <c r="AH982" s="514"/>
      <c r="AI982" s="518"/>
      <c r="AJ982" s="464"/>
      <c r="AK982" s="331"/>
      <c r="AL982" s="163"/>
      <c r="AM982" s="163"/>
      <c r="AN982" s="156"/>
      <c r="AO982" s="156"/>
      <c r="AP982" s="115"/>
      <c r="AQ982" s="115"/>
      <c r="AR982" s="115"/>
      <c r="AS982" s="115"/>
      <c r="AT982" s="115"/>
    </row>
    <row r="983" spans="1:46" ht="39" customHeight="1" x14ac:dyDescent="0.25">
      <c r="A983" s="1468">
        <v>982</v>
      </c>
      <c r="B983" s="117">
        <v>5</v>
      </c>
      <c r="C983" s="260" t="s">
        <v>367</v>
      </c>
      <c r="D983" s="282"/>
      <c r="E983" s="282"/>
      <c r="F983" s="282"/>
      <c r="G983" s="261" t="s">
        <v>396</v>
      </c>
      <c r="H983" s="262" t="s">
        <v>132</v>
      </c>
      <c r="I983" s="357"/>
      <c r="J983" s="256">
        <v>403</v>
      </c>
      <c r="K983" s="216"/>
      <c r="L983" s="281" t="s">
        <v>1527</v>
      </c>
      <c r="M983" s="281" t="s">
        <v>1676</v>
      </c>
      <c r="N983" s="366"/>
      <c r="O983" s="1392" t="s">
        <v>3091</v>
      </c>
      <c r="P983" s="402"/>
      <c r="Q983" s="301" t="s">
        <v>87</v>
      </c>
      <c r="R983" s="427" t="s">
        <v>1710</v>
      </c>
      <c r="S983" s="279" t="s">
        <v>4791</v>
      </c>
      <c r="T983" s="197"/>
      <c r="U983" s="251" t="s">
        <v>468</v>
      </c>
      <c r="V983" s="245" t="s">
        <v>6226</v>
      </c>
      <c r="W983" s="197" t="s">
        <v>2871</v>
      </c>
      <c r="X983" s="197" t="s">
        <v>2030</v>
      </c>
      <c r="Y983" s="288" t="s">
        <v>6233</v>
      </c>
      <c r="Z983" s="246">
        <v>45328</v>
      </c>
      <c r="AA983" s="246">
        <v>45337</v>
      </c>
      <c r="AB983" s="296" t="s">
        <v>4460</v>
      </c>
      <c r="AC983" s="223" t="s">
        <v>946</v>
      </c>
      <c r="AD983" s="376"/>
      <c r="AE983" s="494" t="s">
        <v>4440</v>
      </c>
      <c r="AF983" s="494">
        <v>45476</v>
      </c>
      <c r="AG983" s="241"/>
      <c r="AH983" s="283"/>
      <c r="AI983" s="254" t="s">
        <v>1351</v>
      </c>
      <c r="AJ983" s="303" t="s">
        <v>136</v>
      </c>
      <c r="AK983" s="348">
        <v>3</v>
      </c>
      <c r="AL983" s="122" t="s">
        <v>924</v>
      </c>
      <c r="AM983" s="123" t="s">
        <v>460</v>
      </c>
      <c r="AN983" s="151"/>
      <c r="AO983" s="151"/>
      <c r="AP983" s="115"/>
      <c r="AQ983" s="115"/>
      <c r="AR983" s="115"/>
      <c r="AS983" s="115"/>
      <c r="AT983" s="115"/>
    </row>
    <row r="984" spans="1:46" ht="39" customHeight="1" x14ac:dyDescent="0.25">
      <c r="A984" s="1468">
        <v>983</v>
      </c>
      <c r="B984" s="117">
        <v>3</v>
      </c>
      <c r="C984" s="521" t="s">
        <v>397</v>
      </c>
      <c r="D984" s="487"/>
      <c r="E984" s="487"/>
      <c r="F984" s="487"/>
      <c r="G984" s="477" t="s">
        <v>398</v>
      </c>
      <c r="H984" s="262" t="s">
        <v>85</v>
      </c>
      <c r="I984" s="508"/>
      <c r="J984" s="245" t="s">
        <v>556</v>
      </c>
      <c r="K984" s="595"/>
      <c r="L984" s="281" t="s">
        <v>1527</v>
      </c>
      <c r="M984" s="281" t="s">
        <v>1676</v>
      </c>
      <c r="N984" s="366"/>
      <c r="O984" s="1392" t="s">
        <v>3137</v>
      </c>
      <c r="P984" s="402"/>
      <c r="Q984" s="301" t="s">
        <v>87</v>
      </c>
      <c r="R984" s="427" t="s">
        <v>1720</v>
      </c>
      <c r="S984" s="279" t="s">
        <v>4790</v>
      </c>
      <c r="T984" s="197"/>
      <c r="U984" s="251" t="s">
        <v>468</v>
      </c>
      <c r="V984" s="245" t="s">
        <v>5928</v>
      </c>
      <c r="W984" s="197" t="s">
        <v>2871</v>
      </c>
      <c r="X984" s="197" t="s">
        <v>2030</v>
      </c>
      <c r="Y984" s="288" t="s">
        <v>5929</v>
      </c>
      <c r="Z984" s="246">
        <v>45304</v>
      </c>
      <c r="AA984" s="246">
        <v>45322</v>
      </c>
      <c r="AB984" s="296" t="s">
        <v>4397</v>
      </c>
      <c r="AC984" s="223" t="s">
        <v>946</v>
      </c>
      <c r="AD984" s="376"/>
      <c r="AE984" s="494" t="s">
        <v>4359</v>
      </c>
      <c r="AF984" s="494">
        <v>45477</v>
      </c>
      <c r="AG984" s="241"/>
      <c r="AH984" s="283"/>
      <c r="AI984" s="254" t="s">
        <v>1351</v>
      </c>
      <c r="AJ984" s="303" t="s">
        <v>136</v>
      </c>
      <c r="AK984" s="241">
        <v>4</v>
      </c>
      <c r="AL984" s="122" t="s">
        <v>924</v>
      </c>
      <c r="AM984" s="123" t="s">
        <v>460</v>
      </c>
      <c r="AN984" s="173"/>
      <c r="AO984" s="173"/>
      <c r="AP984" s="115"/>
      <c r="AQ984" s="115"/>
      <c r="AR984" s="115"/>
      <c r="AS984" s="115"/>
      <c r="AT984" s="115"/>
    </row>
    <row r="985" spans="1:46" ht="39" customHeight="1" x14ac:dyDescent="0.25">
      <c r="A985" s="1468">
        <v>984</v>
      </c>
      <c r="B985" s="117">
        <v>2</v>
      </c>
      <c r="C985" s="358" t="s">
        <v>86</v>
      </c>
      <c r="D985" s="282"/>
      <c r="E985" s="282"/>
      <c r="F985" s="282"/>
      <c r="G985" s="261" t="s">
        <v>399</v>
      </c>
      <c r="H985" s="262" t="s">
        <v>87</v>
      </c>
      <c r="I985" s="357"/>
      <c r="J985" s="245" t="s">
        <v>561</v>
      </c>
      <c r="K985" s="257"/>
      <c r="L985" s="281" t="s">
        <v>1527</v>
      </c>
      <c r="M985" s="281" t="s">
        <v>1676</v>
      </c>
      <c r="N985" s="366"/>
      <c r="O985" s="1392" t="s">
        <v>2994</v>
      </c>
      <c r="P985" s="402"/>
      <c r="Q985" s="380" t="s">
        <v>87</v>
      </c>
      <c r="R985" s="427" t="s">
        <v>1733</v>
      </c>
      <c r="S985" s="279" t="s">
        <v>4792</v>
      </c>
      <c r="T985" s="197"/>
      <c r="U985" s="251" t="s">
        <v>468</v>
      </c>
      <c r="V985" s="245" t="s">
        <v>6226</v>
      </c>
      <c r="W985" s="197" t="s">
        <v>2871</v>
      </c>
      <c r="X985" s="197" t="s">
        <v>2030</v>
      </c>
      <c r="Y985" s="288" t="s">
        <v>6233</v>
      </c>
      <c r="Z985" s="246">
        <v>45328</v>
      </c>
      <c r="AA985" s="246">
        <v>45337</v>
      </c>
      <c r="AB985" s="296" t="s">
        <v>4358</v>
      </c>
      <c r="AC985" s="223" t="s">
        <v>946</v>
      </c>
      <c r="AD985" s="376"/>
      <c r="AE985" s="494" t="s">
        <v>4359</v>
      </c>
      <c r="AF985" s="494">
        <v>45477</v>
      </c>
      <c r="AG985" s="241"/>
      <c r="AH985" s="283"/>
      <c r="AI985" s="254" t="s">
        <v>1351</v>
      </c>
      <c r="AJ985" s="303" t="s">
        <v>136</v>
      </c>
      <c r="AK985" s="241">
        <v>4</v>
      </c>
      <c r="AL985" s="122" t="s">
        <v>924</v>
      </c>
      <c r="AM985" s="123" t="s">
        <v>460</v>
      </c>
      <c r="AN985" s="151" t="s">
        <v>5773</v>
      </c>
      <c r="AO985" s="151"/>
      <c r="AP985" s="115"/>
      <c r="AQ985" s="115"/>
      <c r="AR985" s="115"/>
      <c r="AS985" s="115"/>
      <c r="AT985" s="115"/>
    </row>
    <row r="986" spans="1:46" ht="39" customHeight="1" x14ac:dyDescent="0.25">
      <c r="A986" s="1468">
        <v>985</v>
      </c>
      <c r="B986" s="117">
        <v>2</v>
      </c>
      <c r="C986" s="358" t="s">
        <v>86</v>
      </c>
      <c r="D986" s="282"/>
      <c r="E986" s="282"/>
      <c r="F986" s="282"/>
      <c r="G986" s="261" t="s">
        <v>399</v>
      </c>
      <c r="H986" s="262" t="s">
        <v>87</v>
      </c>
      <c r="I986" s="335"/>
      <c r="J986" s="245" t="s">
        <v>561</v>
      </c>
      <c r="K986" s="257"/>
      <c r="L986" s="281" t="s">
        <v>1527</v>
      </c>
      <c r="M986" s="281" t="s">
        <v>1676</v>
      </c>
      <c r="N986" s="366"/>
      <c r="O986" s="1392" t="s">
        <v>3008</v>
      </c>
      <c r="P986" s="402"/>
      <c r="Q986" s="380" t="s">
        <v>87</v>
      </c>
      <c r="R986" s="427" t="s">
        <v>1737</v>
      </c>
      <c r="S986" s="279" t="s">
        <v>4787</v>
      </c>
      <c r="T986" s="197"/>
      <c r="U986" s="251" t="s">
        <v>468</v>
      </c>
      <c r="V986" s="245" t="s">
        <v>6226</v>
      </c>
      <c r="W986" s="197" t="s">
        <v>2871</v>
      </c>
      <c r="X986" s="197" t="s">
        <v>2030</v>
      </c>
      <c r="Y986" s="288" t="s">
        <v>6233</v>
      </c>
      <c r="Z986" s="246">
        <v>45328</v>
      </c>
      <c r="AA986" s="246">
        <v>45337</v>
      </c>
      <c r="AB986" s="296" t="s">
        <v>4397</v>
      </c>
      <c r="AC986" s="223" t="s">
        <v>209</v>
      </c>
      <c r="AD986" s="376"/>
      <c r="AE986" s="494" t="s">
        <v>4359</v>
      </c>
      <c r="AF986" s="494">
        <v>45477</v>
      </c>
      <c r="AG986" s="241"/>
      <c r="AH986" s="283"/>
      <c r="AI986" s="254" t="s">
        <v>1351</v>
      </c>
      <c r="AJ986" s="303" t="s">
        <v>136</v>
      </c>
      <c r="AK986" s="241">
        <v>4</v>
      </c>
      <c r="AL986" s="122" t="s">
        <v>924</v>
      </c>
      <c r="AM986" s="123" t="s">
        <v>460</v>
      </c>
      <c r="AN986" s="151" t="s">
        <v>5773</v>
      </c>
      <c r="AO986" s="122"/>
      <c r="AP986" s="115"/>
      <c r="AQ986" s="115"/>
      <c r="AR986" s="115"/>
      <c r="AS986" s="115"/>
      <c r="AT986" s="116"/>
    </row>
    <row r="987" spans="1:46" ht="39" customHeight="1" x14ac:dyDescent="0.25">
      <c r="A987" s="1468">
        <v>986</v>
      </c>
      <c r="B987" s="159"/>
      <c r="C987" s="455"/>
      <c r="D987" s="331"/>
      <c r="E987" s="331"/>
      <c r="F987" s="331"/>
      <c r="G987" s="432"/>
      <c r="H987" s="512"/>
      <c r="I987" s="456"/>
      <c r="J987" s="329"/>
      <c r="K987" s="432"/>
      <c r="L987" s="329"/>
      <c r="M987" s="329"/>
      <c r="N987" s="329"/>
      <c r="O987" s="329"/>
      <c r="P987" s="273" t="s">
        <v>484</v>
      </c>
      <c r="Q987" s="373"/>
      <c r="R987" s="982"/>
      <c r="S987" s="279"/>
      <c r="T987" s="334"/>
      <c r="U987" s="250"/>
      <c r="V987" s="334"/>
      <c r="W987" s="334"/>
      <c r="X987" s="334"/>
      <c r="Y987" s="334"/>
      <c r="Z987" s="246"/>
      <c r="AA987" s="246"/>
      <c r="AB987" s="459"/>
      <c r="AC987" s="460"/>
      <c r="AD987" s="459"/>
      <c r="AE987" s="494"/>
      <c r="AF987" s="494"/>
      <c r="AG987" s="331"/>
      <c r="AH987" s="462"/>
      <c r="AI987" s="463"/>
      <c r="AJ987" s="464"/>
      <c r="AK987" s="331"/>
      <c r="AL987" s="163"/>
      <c r="AM987" s="163"/>
      <c r="AN987" s="163"/>
      <c r="AO987" s="163"/>
      <c r="AP987" s="115"/>
      <c r="AQ987" s="115"/>
      <c r="AR987" s="115"/>
      <c r="AS987" s="115"/>
      <c r="AT987" s="116"/>
    </row>
    <row r="988" spans="1:46" ht="39" customHeight="1" x14ac:dyDescent="0.25">
      <c r="A988" s="1468">
        <v>987</v>
      </c>
      <c r="B988" s="119">
        <v>12</v>
      </c>
      <c r="C988" s="341" t="s">
        <v>403</v>
      </c>
      <c r="D988" s="282"/>
      <c r="E988" s="338" t="s">
        <v>47</v>
      </c>
      <c r="F988" s="282"/>
      <c r="G988" s="339" t="s">
        <v>404</v>
      </c>
      <c r="H988" s="244" t="s">
        <v>83</v>
      </c>
      <c r="I988" s="340"/>
      <c r="J988" s="245">
        <v>302</v>
      </c>
      <c r="K988" s="197" t="s">
        <v>50</v>
      </c>
      <c r="L988" s="281" t="s">
        <v>2055</v>
      </c>
      <c r="M988" s="281" t="s">
        <v>2055</v>
      </c>
      <c r="N988" s="216"/>
      <c r="O988" s="216" t="s">
        <v>2361</v>
      </c>
      <c r="P988" s="247"/>
      <c r="Q988" s="978" t="s">
        <v>2335</v>
      </c>
      <c r="R988" s="995" t="s">
        <v>2360</v>
      </c>
      <c r="S988" s="279">
        <v>31964</v>
      </c>
      <c r="T988" s="250"/>
      <c r="U988" s="250"/>
      <c r="V988" s="245"/>
      <c r="W988" s="250"/>
      <c r="X988" s="197"/>
      <c r="Y988" s="288"/>
      <c r="Z988" s="246"/>
      <c r="AA988" s="246"/>
      <c r="AB988" s="301"/>
      <c r="AC988" s="223"/>
      <c r="AD988" s="306"/>
      <c r="AE988" s="494"/>
      <c r="AF988" s="494"/>
      <c r="AG988" s="282"/>
      <c r="AH988" s="283"/>
      <c r="AI988" s="393"/>
      <c r="AJ988" s="255" t="s">
        <v>62</v>
      </c>
      <c r="AK988" s="242">
        <v>1</v>
      </c>
      <c r="AL988" s="123" t="s">
        <v>485</v>
      </c>
      <c r="AM988" s="123" t="s">
        <v>460</v>
      </c>
      <c r="AN988" s="137"/>
      <c r="AO988" s="137"/>
      <c r="AP988" s="115"/>
      <c r="AQ988" s="115"/>
      <c r="AR988" s="115"/>
      <c r="AS988" s="115"/>
      <c r="AT988" s="115"/>
    </row>
    <row r="989" spans="1:46" ht="39" customHeight="1" x14ac:dyDescent="0.25">
      <c r="A989" s="1468">
        <v>988</v>
      </c>
      <c r="B989" s="117"/>
      <c r="C989" s="324"/>
      <c r="D989" s="664"/>
      <c r="E989" s="664"/>
      <c r="F989" s="664"/>
      <c r="G989" s="227"/>
      <c r="H989" s="228"/>
      <c r="I989" s="228"/>
      <c r="J989" s="229"/>
      <c r="K989" s="227"/>
      <c r="L989" s="229"/>
      <c r="M989" s="229"/>
      <c r="N989" s="229"/>
      <c r="O989" s="216"/>
      <c r="P989" s="230" t="s">
        <v>406</v>
      </c>
      <c r="Q989" s="373"/>
      <c r="R989" s="982"/>
      <c r="S989" s="279"/>
      <c r="T989" s="232"/>
      <c r="U989" s="250"/>
      <c r="V989" s="232"/>
      <c r="W989" s="232"/>
      <c r="X989" s="232"/>
      <c r="Y989" s="232"/>
      <c r="Z989" s="246"/>
      <c r="AA989" s="246"/>
      <c r="AB989" s="235"/>
      <c r="AC989" s="236"/>
      <c r="AD989" s="235"/>
      <c r="AE989" s="494"/>
      <c r="AF989" s="494"/>
      <c r="AG989" s="664"/>
      <c r="AH989" s="238"/>
      <c r="AI989" s="239"/>
      <c r="AJ989" s="303"/>
      <c r="AK989" s="241"/>
      <c r="AL989" s="122"/>
      <c r="AM989" s="122"/>
      <c r="AN989" s="163"/>
      <c r="AO989" s="114"/>
      <c r="AP989" s="115"/>
      <c r="AQ989" s="115"/>
      <c r="AR989" s="115"/>
      <c r="AS989" s="115"/>
      <c r="AT989" s="116"/>
    </row>
    <row r="990" spans="1:46" ht="39" customHeight="1" x14ac:dyDescent="0.25">
      <c r="A990" s="1468">
        <v>989</v>
      </c>
      <c r="B990" s="117">
        <v>4</v>
      </c>
      <c r="C990" s="528" t="s">
        <v>407</v>
      </c>
      <c r="D990" s="282" t="s">
        <v>134</v>
      </c>
      <c r="E990" s="282"/>
      <c r="F990" s="282"/>
      <c r="G990" s="447" t="s">
        <v>408</v>
      </c>
      <c r="H990" s="262" t="s">
        <v>85</v>
      </c>
      <c r="I990" s="357"/>
      <c r="J990" s="245" t="s">
        <v>556</v>
      </c>
      <c r="K990" s="257"/>
      <c r="L990" s="281" t="s">
        <v>1676</v>
      </c>
      <c r="M990" s="281" t="s">
        <v>1508</v>
      </c>
      <c r="N990" s="366"/>
      <c r="O990" s="392" t="s">
        <v>3055</v>
      </c>
      <c r="P990" s="402"/>
      <c r="Q990" s="594" t="s">
        <v>87</v>
      </c>
      <c r="R990" s="381" t="s">
        <v>1782</v>
      </c>
      <c r="S990" s="279">
        <v>38170</v>
      </c>
      <c r="T990" s="197"/>
      <c r="U990" s="251" t="s">
        <v>54</v>
      </c>
      <c r="V990" s="245"/>
      <c r="W990" s="250" t="s">
        <v>295</v>
      </c>
      <c r="X990" s="197"/>
      <c r="Y990" s="245"/>
      <c r="Z990" s="246"/>
      <c r="AA990" s="246"/>
      <c r="AB990" s="250" t="s">
        <v>4463</v>
      </c>
      <c r="AC990" s="223" t="s">
        <v>946</v>
      </c>
      <c r="AD990" s="376"/>
      <c r="AE990" s="494">
        <v>45112</v>
      </c>
      <c r="AF990" s="494">
        <v>45477</v>
      </c>
      <c r="AG990" s="241"/>
      <c r="AH990" s="283"/>
      <c r="AI990" s="254" t="s">
        <v>1351</v>
      </c>
      <c r="AJ990" s="303" t="s">
        <v>136</v>
      </c>
      <c r="AK990" s="241">
        <v>4</v>
      </c>
      <c r="AL990" s="123" t="s">
        <v>485</v>
      </c>
      <c r="AM990" s="123" t="s">
        <v>460</v>
      </c>
      <c r="AN990" s="151"/>
      <c r="AO990" s="151"/>
      <c r="AP990" s="115"/>
      <c r="AQ990" s="115"/>
      <c r="AR990" s="115"/>
      <c r="AS990" s="115"/>
      <c r="AT990" s="115"/>
    </row>
    <row r="991" spans="1:46" ht="39" customHeight="1" x14ac:dyDescent="0.25">
      <c r="A991" s="1468">
        <v>990</v>
      </c>
      <c r="B991" s="117">
        <v>3</v>
      </c>
      <c r="C991" s="356" t="s">
        <v>409</v>
      </c>
      <c r="D991" s="282"/>
      <c r="E991" s="282"/>
      <c r="F991" s="282"/>
      <c r="G991" s="447" t="s">
        <v>410</v>
      </c>
      <c r="H991" s="262" t="s">
        <v>87</v>
      </c>
      <c r="I991" s="357"/>
      <c r="J991" s="245" t="s">
        <v>561</v>
      </c>
      <c r="K991" s="257"/>
      <c r="L991" s="288" t="s">
        <v>5144</v>
      </c>
      <c r="M991" s="288" t="s">
        <v>5144</v>
      </c>
      <c r="N991" s="245"/>
      <c r="O991" s="1397" t="s">
        <v>5259</v>
      </c>
      <c r="P991" s="627"/>
      <c r="Q991" s="380" t="s">
        <v>87</v>
      </c>
      <c r="R991" s="1201" t="s">
        <v>5212</v>
      </c>
      <c r="S991" s="279">
        <v>37962</v>
      </c>
      <c r="T991" s="289"/>
      <c r="U991" s="251" t="s">
        <v>54</v>
      </c>
      <c r="V991" s="245" t="s">
        <v>5171</v>
      </c>
      <c r="W991" s="250" t="s">
        <v>295</v>
      </c>
      <c r="X991" s="197"/>
      <c r="Y991" s="981" t="s">
        <v>5829</v>
      </c>
      <c r="Z991" s="246">
        <v>45260</v>
      </c>
      <c r="AA991" s="281"/>
      <c r="AB991" s="288" t="s">
        <v>5297</v>
      </c>
      <c r="AC991" s="223" t="s">
        <v>4220</v>
      </c>
      <c r="AD991" s="245" t="s">
        <v>467</v>
      </c>
      <c r="AE991" s="494">
        <v>45255</v>
      </c>
      <c r="AF991" s="494">
        <v>45620</v>
      </c>
      <c r="AG991" s="241"/>
      <c r="AH991" s="253"/>
      <c r="AI991" s="296" t="s">
        <v>4208</v>
      </c>
      <c r="AJ991" s="303" t="s">
        <v>136</v>
      </c>
      <c r="AK991" s="241">
        <v>4</v>
      </c>
      <c r="AL991" s="123" t="s">
        <v>485</v>
      </c>
      <c r="AM991" s="123" t="s">
        <v>460</v>
      </c>
      <c r="AN991" s="173"/>
      <c r="AO991" s="151"/>
      <c r="AP991" s="115"/>
      <c r="AQ991" s="115"/>
      <c r="AR991" s="115"/>
      <c r="AS991" s="115"/>
      <c r="AT991" s="115"/>
    </row>
    <row r="992" spans="1:46" ht="39" customHeight="1" x14ac:dyDescent="0.25">
      <c r="A992" s="1468">
        <v>991</v>
      </c>
      <c r="B992" s="161">
        <v>2</v>
      </c>
      <c r="C992" s="528" t="s">
        <v>411</v>
      </c>
      <c r="D992" s="282"/>
      <c r="E992" s="282"/>
      <c r="F992" s="282"/>
      <c r="G992" s="447" t="s">
        <v>412</v>
      </c>
      <c r="H992" s="262" t="s">
        <v>87</v>
      </c>
      <c r="I992" s="364"/>
      <c r="J992" s="245" t="s">
        <v>561</v>
      </c>
      <c r="K992" s="288"/>
      <c r="L992" s="281" t="s">
        <v>1676</v>
      </c>
      <c r="M992" s="281" t="s">
        <v>1508</v>
      </c>
      <c r="N992" s="366"/>
      <c r="O992" s="392" t="s">
        <v>2970</v>
      </c>
      <c r="P992" s="402"/>
      <c r="Q992" s="380" t="s">
        <v>87</v>
      </c>
      <c r="R992" s="682" t="s">
        <v>1763</v>
      </c>
      <c r="S992" s="279" t="s">
        <v>4794</v>
      </c>
      <c r="T992" s="197"/>
      <c r="U992" s="251" t="s">
        <v>468</v>
      </c>
      <c r="V992" s="245" t="s">
        <v>5393</v>
      </c>
      <c r="W992" s="250" t="s">
        <v>3509</v>
      </c>
      <c r="X992" s="197" t="s">
        <v>2030</v>
      </c>
      <c r="Y992" s="245" t="s">
        <v>5394</v>
      </c>
      <c r="Z992" s="246">
        <v>45264</v>
      </c>
      <c r="AA992" s="246">
        <v>45275</v>
      </c>
      <c r="AB992" s="296" t="s">
        <v>4464</v>
      </c>
      <c r="AC992" s="223" t="s">
        <v>946</v>
      </c>
      <c r="AD992" s="376"/>
      <c r="AE992" s="494" t="s">
        <v>4354</v>
      </c>
      <c r="AF992" s="494">
        <v>45477</v>
      </c>
      <c r="AG992" s="241"/>
      <c r="AH992" s="283"/>
      <c r="AI992" s="254" t="s">
        <v>1351</v>
      </c>
      <c r="AJ992" s="303" t="s">
        <v>136</v>
      </c>
      <c r="AK992" s="241">
        <v>4</v>
      </c>
      <c r="AL992" s="123" t="s">
        <v>485</v>
      </c>
      <c r="AM992" s="123" t="s">
        <v>460</v>
      </c>
      <c r="AN992" s="167"/>
      <c r="AO992" s="151"/>
      <c r="AP992" s="115"/>
      <c r="AQ992" s="115"/>
      <c r="AR992" s="115"/>
      <c r="AS992" s="115"/>
      <c r="AT992" s="115"/>
    </row>
    <row r="993" spans="1:46" ht="39" customHeight="1" x14ac:dyDescent="0.25">
      <c r="A993" s="1468">
        <v>992</v>
      </c>
      <c r="B993" s="117">
        <v>3</v>
      </c>
      <c r="C993" s="501" t="s">
        <v>413</v>
      </c>
      <c r="D993" s="282"/>
      <c r="E993" s="282"/>
      <c r="F993" s="282"/>
      <c r="G993" s="447" t="s">
        <v>414</v>
      </c>
      <c r="H993" s="262" t="s">
        <v>87</v>
      </c>
      <c r="I993" s="357"/>
      <c r="J993" s="245" t="s">
        <v>561</v>
      </c>
      <c r="K993" s="288" t="s">
        <v>158</v>
      </c>
      <c r="L993" s="288" t="s">
        <v>3678</v>
      </c>
      <c r="M993" s="288" t="s">
        <v>3678</v>
      </c>
      <c r="N993" s="281" t="s">
        <v>4217</v>
      </c>
      <c r="O993" s="392" t="s">
        <v>3819</v>
      </c>
      <c r="P993" s="627"/>
      <c r="Q993" s="380" t="s">
        <v>87</v>
      </c>
      <c r="R993" s="1188" t="s">
        <v>3818</v>
      </c>
      <c r="S993" s="279">
        <v>37947</v>
      </c>
      <c r="T993" s="289"/>
      <c r="U993" s="251" t="s">
        <v>468</v>
      </c>
      <c r="V993" s="245" t="s">
        <v>5393</v>
      </c>
      <c r="W993" s="250" t="s">
        <v>3509</v>
      </c>
      <c r="X993" s="197" t="s">
        <v>2030</v>
      </c>
      <c r="Y993" s="245" t="s">
        <v>5394</v>
      </c>
      <c r="Z993" s="246">
        <v>45264</v>
      </c>
      <c r="AA993" s="246">
        <v>45275</v>
      </c>
      <c r="AB993" s="288" t="s">
        <v>4276</v>
      </c>
      <c r="AC993" s="223" t="s">
        <v>946</v>
      </c>
      <c r="AD993" s="299" t="s">
        <v>467</v>
      </c>
      <c r="AE993" s="494">
        <v>45106</v>
      </c>
      <c r="AF993" s="494">
        <v>45471</v>
      </c>
      <c r="AG993" s="241"/>
      <c r="AH993" s="253"/>
      <c r="AI993" s="296" t="s">
        <v>1351</v>
      </c>
      <c r="AJ993" s="303" t="s">
        <v>136</v>
      </c>
      <c r="AK993" s="241">
        <v>4</v>
      </c>
      <c r="AL993" s="123" t="s">
        <v>485</v>
      </c>
      <c r="AM993" s="123" t="s">
        <v>460</v>
      </c>
      <c r="AN993" s="151" t="s">
        <v>5765</v>
      </c>
      <c r="AO993" s="151"/>
      <c r="AP993" s="115"/>
      <c r="AQ993" s="115"/>
      <c r="AR993" s="115"/>
      <c r="AS993" s="115"/>
      <c r="AT993" s="115"/>
    </row>
    <row r="994" spans="1:46" ht="39" customHeight="1" x14ac:dyDescent="0.25">
      <c r="A994" s="1468">
        <v>993</v>
      </c>
      <c r="B994" s="117"/>
      <c r="C994" s="324"/>
      <c r="D994" s="664"/>
      <c r="E994" s="664"/>
      <c r="F994" s="664"/>
      <c r="G994" s="227"/>
      <c r="H994" s="228"/>
      <c r="I994" s="228"/>
      <c r="J994" s="229"/>
      <c r="K994" s="227"/>
      <c r="L994" s="229"/>
      <c r="M994" s="229"/>
      <c r="N994" s="229"/>
      <c r="O994" s="216"/>
      <c r="P994" s="230" t="s">
        <v>406</v>
      </c>
      <c r="Q994" s="373"/>
      <c r="R994" s="982"/>
      <c r="S994" s="279"/>
      <c r="T994" s="232"/>
      <c r="U994" s="250"/>
      <c r="V994" s="232"/>
      <c r="W994" s="232"/>
      <c r="X994" s="232"/>
      <c r="Y994" s="232"/>
      <c r="Z994" s="246"/>
      <c r="AA994" s="246"/>
      <c r="AB994" s="235"/>
      <c r="AC994" s="236"/>
      <c r="AD994" s="235"/>
      <c r="AE994" s="494"/>
      <c r="AF994" s="494"/>
      <c r="AG994" s="664"/>
      <c r="AH994" s="238"/>
      <c r="AI994" s="239"/>
      <c r="AJ994" s="303"/>
      <c r="AK994" s="241"/>
      <c r="AL994" s="122"/>
      <c r="AM994" s="122"/>
      <c r="AN994" s="163"/>
      <c r="AO994" s="114"/>
      <c r="AP994" s="115"/>
      <c r="AQ994" s="115"/>
      <c r="AR994" s="115"/>
      <c r="AS994" s="115"/>
      <c r="AT994" s="116"/>
    </row>
    <row r="995" spans="1:46" ht="39" customHeight="1" x14ac:dyDescent="0.25">
      <c r="A995" s="1468">
        <v>994</v>
      </c>
      <c r="B995" s="117">
        <v>4</v>
      </c>
      <c r="C995" s="528" t="s">
        <v>407</v>
      </c>
      <c r="D995" s="282"/>
      <c r="E995" s="282"/>
      <c r="F995" s="282"/>
      <c r="G995" s="447" t="s">
        <v>408</v>
      </c>
      <c r="H995" s="262" t="s">
        <v>85</v>
      </c>
      <c r="I995" s="357"/>
      <c r="J995" s="245" t="s">
        <v>556</v>
      </c>
      <c r="K995" s="257"/>
      <c r="L995" s="299" t="s">
        <v>1508</v>
      </c>
      <c r="M995" s="299" t="s">
        <v>1708</v>
      </c>
      <c r="N995" s="245"/>
      <c r="O995" s="1392" t="s">
        <v>2902</v>
      </c>
      <c r="P995" s="627"/>
      <c r="Q995" s="594" t="s">
        <v>293</v>
      </c>
      <c r="R995" s="1267" t="s">
        <v>1647</v>
      </c>
      <c r="S995" s="279"/>
      <c r="T995" s="289"/>
      <c r="U995" s="251" t="s">
        <v>468</v>
      </c>
      <c r="V995" s="245" t="s">
        <v>5393</v>
      </c>
      <c r="W995" s="250" t="s">
        <v>3509</v>
      </c>
      <c r="X995" s="197" t="s">
        <v>2030</v>
      </c>
      <c r="Y995" s="245" t="s">
        <v>5394</v>
      </c>
      <c r="Z995" s="246">
        <v>45264</v>
      </c>
      <c r="AA995" s="246">
        <v>45275</v>
      </c>
      <c r="AB995" s="245"/>
      <c r="AC995" s="223" t="s">
        <v>946</v>
      </c>
      <c r="AD995" s="245"/>
      <c r="AE995" s="494"/>
      <c r="AF995" s="494"/>
      <c r="AG995" s="241"/>
      <c r="AH995" s="253"/>
      <c r="AI995" s="284" t="s">
        <v>1351</v>
      </c>
      <c r="AJ995" s="303" t="s">
        <v>136</v>
      </c>
      <c r="AK995" s="241">
        <v>4</v>
      </c>
      <c r="AL995" s="123" t="s">
        <v>485</v>
      </c>
      <c r="AM995" s="123" t="s">
        <v>460</v>
      </c>
      <c r="AN995" s="151"/>
      <c r="AO995" s="151"/>
      <c r="AP995" s="115"/>
      <c r="AQ995" s="115"/>
      <c r="AR995" s="115"/>
      <c r="AS995" s="115"/>
      <c r="AT995" s="115"/>
    </row>
    <row r="996" spans="1:46" ht="39" customHeight="1" x14ac:dyDescent="0.25">
      <c r="A996" s="1468">
        <v>995</v>
      </c>
      <c r="B996" s="117">
        <v>3</v>
      </c>
      <c r="C996" s="356" t="s">
        <v>409</v>
      </c>
      <c r="D996" s="282"/>
      <c r="E996" s="282"/>
      <c r="F996" s="282"/>
      <c r="G996" s="447" t="s">
        <v>410</v>
      </c>
      <c r="H996" s="262" t="s">
        <v>87</v>
      </c>
      <c r="I996" s="357"/>
      <c r="J996" s="245" t="s">
        <v>561</v>
      </c>
      <c r="K996" s="288" t="s">
        <v>158</v>
      </c>
      <c r="L996" s="288" t="s">
        <v>3678</v>
      </c>
      <c r="M996" s="288" t="s">
        <v>3678</v>
      </c>
      <c r="N996" s="281" t="s">
        <v>4217</v>
      </c>
      <c r="O996" s="392" t="s">
        <v>3817</v>
      </c>
      <c r="P996" s="402"/>
      <c r="Q996" s="301" t="s">
        <v>87</v>
      </c>
      <c r="R996" s="1188" t="s">
        <v>3816</v>
      </c>
      <c r="S996" s="279">
        <v>38065</v>
      </c>
      <c r="T996" s="197"/>
      <c r="U996" s="251" t="s">
        <v>468</v>
      </c>
      <c r="V996" s="245" t="s">
        <v>5393</v>
      </c>
      <c r="W996" s="250" t="s">
        <v>3509</v>
      </c>
      <c r="X996" s="197" t="s">
        <v>2030</v>
      </c>
      <c r="Y996" s="245" t="s">
        <v>5394</v>
      </c>
      <c r="Z996" s="246">
        <v>45264</v>
      </c>
      <c r="AA996" s="246">
        <v>45275</v>
      </c>
      <c r="AB996" s="361" t="s">
        <v>4266</v>
      </c>
      <c r="AC996" s="223" t="s">
        <v>946</v>
      </c>
      <c r="AD996" s="299" t="s">
        <v>467</v>
      </c>
      <c r="AE996" s="494">
        <v>45117</v>
      </c>
      <c r="AF996" s="494">
        <v>45482</v>
      </c>
      <c r="AG996" s="241"/>
      <c r="AH996" s="283"/>
      <c r="AI996" s="296" t="s">
        <v>1351</v>
      </c>
      <c r="AJ996" s="303" t="s">
        <v>136</v>
      </c>
      <c r="AK996" s="241">
        <v>4</v>
      </c>
      <c r="AL996" s="123" t="s">
        <v>485</v>
      </c>
      <c r="AM996" s="123" t="s">
        <v>460</v>
      </c>
      <c r="AN996" s="173"/>
      <c r="AO996" s="151"/>
      <c r="AP996" s="115"/>
      <c r="AQ996" s="115"/>
      <c r="AR996" s="115"/>
      <c r="AS996" s="115"/>
      <c r="AT996" s="115"/>
    </row>
    <row r="997" spans="1:46" ht="39" customHeight="1" x14ac:dyDescent="0.25">
      <c r="A997" s="1468">
        <v>996</v>
      </c>
      <c r="B997" s="161">
        <v>2</v>
      </c>
      <c r="C997" s="528" t="s">
        <v>411</v>
      </c>
      <c r="D997" s="282"/>
      <c r="E997" s="282"/>
      <c r="F997" s="282"/>
      <c r="G997" s="447" t="s">
        <v>412</v>
      </c>
      <c r="H997" s="262" t="s">
        <v>87</v>
      </c>
      <c r="I997" s="364"/>
      <c r="J997" s="245" t="s">
        <v>561</v>
      </c>
      <c r="K997" s="713"/>
      <c r="L997" s="281" t="s">
        <v>1676</v>
      </c>
      <c r="M997" s="281" t="s">
        <v>1508</v>
      </c>
      <c r="N997" s="366"/>
      <c r="O997" s="1392" t="s">
        <v>3146</v>
      </c>
      <c r="P997" s="402"/>
      <c r="Q997" s="380" t="s">
        <v>87</v>
      </c>
      <c r="R997" s="682" t="s">
        <v>1804</v>
      </c>
      <c r="S997" s="279">
        <v>37959</v>
      </c>
      <c r="T997" s="197"/>
      <c r="U997" s="251" t="s">
        <v>468</v>
      </c>
      <c r="V997" s="299" t="s">
        <v>5891</v>
      </c>
      <c r="W997" s="197" t="s">
        <v>2871</v>
      </c>
      <c r="X997" s="197" t="s">
        <v>2030</v>
      </c>
      <c r="Y997" s="981" t="s">
        <v>5892</v>
      </c>
      <c r="Z997" s="246">
        <v>45302</v>
      </c>
      <c r="AA997" s="246"/>
      <c r="AB997" s="250" t="s">
        <v>4418</v>
      </c>
      <c r="AC997" s="223" t="s">
        <v>946</v>
      </c>
      <c r="AD997" s="376"/>
      <c r="AE997" s="494">
        <v>45112</v>
      </c>
      <c r="AF997" s="494">
        <v>45477</v>
      </c>
      <c r="AG997" s="241"/>
      <c r="AH997" s="283"/>
      <c r="AI997" s="254" t="s">
        <v>1351</v>
      </c>
      <c r="AJ997" s="303" t="s">
        <v>136</v>
      </c>
      <c r="AK997" s="241">
        <v>4</v>
      </c>
      <c r="AL997" s="123" t="s">
        <v>485</v>
      </c>
      <c r="AM997" s="123" t="s">
        <v>460</v>
      </c>
      <c r="AN997" s="167"/>
      <c r="AO997" s="151"/>
      <c r="AP997" s="115"/>
      <c r="AQ997" s="115"/>
      <c r="AR997" s="115"/>
      <c r="AS997" s="115"/>
      <c r="AT997" s="115"/>
    </row>
    <row r="998" spans="1:46" ht="39" customHeight="1" x14ac:dyDescent="0.25">
      <c r="A998" s="1468">
        <v>997</v>
      </c>
      <c r="B998" s="117">
        <v>3</v>
      </c>
      <c r="C998" s="501" t="s">
        <v>413</v>
      </c>
      <c r="D998" s="282"/>
      <c r="E998" s="282"/>
      <c r="F998" s="282"/>
      <c r="G998" s="447" t="s">
        <v>414</v>
      </c>
      <c r="H998" s="262" t="s">
        <v>87</v>
      </c>
      <c r="I998" s="357"/>
      <c r="J998" s="245" t="s">
        <v>561</v>
      </c>
      <c r="K998" s="216"/>
      <c r="L998" s="299" t="s">
        <v>1508</v>
      </c>
      <c r="M998" s="299" t="s">
        <v>1708</v>
      </c>
      <c r="N998" s="245"/>
      <c r="O998" s="1392" t="s">
        <v>2987</v>
      </c>
      <c r="P998" s="627"/>
      <c r="Q998" s="594" t="s">
        <v>293</v>
      </c>
      <c r="R998" s="381" t="s">
        <v>2525</v>
      </c>
      <c r="S998" s="279">
        <v>37614</v>
      </c>
      <c r="T998" s="289"/>
      <c r="U998" s="251" t="s">
        <v>468</v>
      </c>
      <c r="V998" s="299" t="s">
        <v>5891</v>
      </c>
      <c r="W998" s="197" t="s">
        <v>2871</v>
      </c>
      <c r="X998" s="197" t="s">
        <v>2030</v>
      </c>
      <c r="Y998" s="981" t="s">
        <v>5892</v>
      </c>
      <c r="Z998" s="246">
        <v>45302</v>
      </c>
      <c r="AA998" s="246"/>
      <c r="AB998" s="250" t="s">
        <v>4462</v>
      </c>
      <c r="AC998" s="223" t="s">
        <v>946</v>
      </c>
      <c r="AD998" s="245"/>
      <c r="AE998" s="494">
        <v>45112</v>
      </c>
      <c r="AF998" s="494">
        <v>45477</v>
      </c>
      <c r="AG998" s="241"/>
      <c r="AH998" s="253"/>
      <c r="AI998" s="284" t="s">
        <v>1351</v>
      </c>
      <c r="AJ998" s="303" t="s">
        <v>136</v>
      </c>
      <c r="AK998" s="241">
        <v>4</v>
      </c>
      <c r="AL998" s="123" t="s">
        <v>485</v>
      </c>
      <c r="AM998" s="123" t="s">
        <v>460</v>
      </c>
      <c r="AN998" s="151" t="s">
        <v>5765</v>
      </c>
      <c r="AO998" s="151"/>
      <c r="AP998" s="115"/>
      <c r="AQ998" s="115"/>
      <c r="AR998" s="115"/>
      <c r="AS998" s="115"/>
      <c r="AT998" s="115"/>
    </row>
    <row r="999" spans="1:46" ht="39" customHeight="1" x14ac:dyDescent="0.25">
      <c r="A999" s="1468">
        <v>998</v>
      </c>
      <c r="B999" s="117"/>
      <c r="C999" s="324"/>
      <c r="D999" s="664"/>
      <c r="E999" s="664"/>
      <c r="F999" s="664"/>
      <c r="G999" s="227"/>
      <c r="H999" s="228"/>
      <c r="I999" s="228"/>
      <c r="J999" s="229"/>
      <c r="K999" s="227"/>
      <c r="L999" s="229"/>
      <c r="M999" s="229"/>
      <c r="N999" s="229"/>
      <c r="O999" s="216"/>
      <c r="P999" s="230" t="s">
        <v>373</v>
      </c>
      <c r="Q999" s="373"/>
      <c r="R999" s="982"/>
      <c r="S999" s="279"/>
      <c r="T999" s="232"/>
      <c r="U999" s="250"/>
      <c r="V999" s="232"/>
      <c r="W999" s="232"/>
      <c r="X999" s="232"/>
      <c r="Y999" s="232"/>
      <c r="Z999" s="246"/>
      <c r="AA999" s="246"/>
      <c r="AB999" s="235"/>
      <c r="AC999" s="236"/>
      <c r="AD999" s="235"/>
      <c r="AE999" s="494"/>
      <c r="AF999" s="494"/>
      <c r="AG999" s="664"/>
      <c r="AH999" s="238"/>
      <c r="AI999" s="239"/>
      <c r="AJ999" s="303"/>
      <c r="AK999" s="241"/>
      <c r="AL999" s="122"/>
      <c r="AM999" s="122"/>
      <c r="AN999" s="163"/>
      <c r="AO999" s="114"/>
      <c r="AP999" s="115"/>
      <c r="AQ999" s="115"/>
      <c r="AR999" s="115"/>
      <c r="AS999" s="115"/>
      <c r="AT999" s="116"/>
    </row>
    <row r="1000" spans="1:46" ht="39" customHeight="1" x14ac:dyDescent="0.25">
      <c r="A1000" s="1468">
        <v>999</v>
      </c>
      <c r="B1000" s="128">
        <v>5</v>
      </c>
      <c r="C1000" s="343" t="s">
        <v>367</v>
      </c>
      <c r="D1000" s="344"/>
      <c r="E1000" s="344" t="s">
        <v>47</v>
      </c>
      <c r="F1000" s="344"/>
      <c r="G1000" s="345" t="s">
        <v>415</v>
      </c>
      <c r="H1000" s="346" t="s">
        <v>132</v>
      </c>
      <c r="I1000" s="346"/>
      <c r="J1000" s="256">
        <v>403</v>
      </c>
      <c r="K1000" s="216"/>
      <c r="L1000" s="301"/>
      <c r="M1000" s="281"/>
      <c r="N1000" s="366"/>
      <c r="O1000" s="1392"/>
      <c r="P1000" s="247"/>
      <c r="Q1000" s="301"/>
      <c r="R1000" s="381" t="s">
        <v>66</v>
      </c>
      <c r="S1000" s="279"/>
      <c r="T1000" s="289"/>
      <c r="U1000" s="250"/>
      <c r="V1000" s="197"/>
      <c r="W1000" s="250"/>
      <c r="X1000" s="250"/>
      <c r="Y1000" s="949"/>
      <c r="Z1000" s="289"/>
      <c r="AA1000" s="197"/>
      <c r="AB1000" s="250"/>
      <c r="AC1000" s="223"/>
      <c r="AD1000" s="301"/>
      <c r="AE1000" s="494"/>
      <c r="AF1000" s="494"/>
      <c r="AG1000" s="385"/>
      <c r="AH1000" s="301"/>
      <c r="AI1000" s="254"/>
      <c r="AJ1000" s="303"/>
      <c r="AK1000" s="348">
        <v>3</v>
      </c>
      <c r="AL1000" s="123" t="s">
        <v>485</v>
      </c>
      <c r="AM1000" s="123" t="s">
        <v>460</v>
      </c>
      <c r="AN1000" s="138"/>
      <c r="AO1000" s="138"/>
      <c r="AP1000" s="115"/>
      <c r="AQ1000" s="115"/>
      <c r="AR1000" s="115"/>
      <c r="AS1000" s="115"/>
      <c r="AT1000" s="115"/>
    </row>
    <row r="1001" spans="1:46" ht="39" customHeight="1" x14ac:dyDescent="0.25">
      <c r="A1001" s="1468">
        <v>1000</v>
      </c>
      <c r="B1001" s="159">
        <v>2</v>
      </c>
      <c r="C1001" s="358" t="s">
        <v>385</v>
      </c>
      <c r="D1001" s="282" t="s">
        <v>134</v>
      </c>
      <c r="E1001" s="282"/>
      <c r="F1001" s="282"/>
      <c r="G1001" s="525" t="s">
        <v>386</v>
      </c>
      <c r="H1001" s="262" t="s">
        <v>85</v>
      </c>
      <c r="I1001" s="357"/>
      <c r="J1001" s="245" t="s">
        <v>556</v>
      </c>
      <c r="K1001" s="257"/>
      <c r="L1001" s="299" t="s">
        <v>1925</v>
      </c>
      <c r="M1001" s="299" t="s">
        <v>1925</v>
      </c>
      <c r="N1001" s="299"/>
      <c r="O1001" s="216" t="s">
        <v>2081</v>
      </c>
      <c r="P1001" s="300"/>
      <c r="Q1001" s="375" t="s">
        <v>85</v>
      </c>
      <c r="R1001" s="982" t="s">
        <v>2080</v>
      </c>
      <c r="S1001" s="279">
        <v>37672</v>
      </c>
      <c r="T1001" s="289"/>
      <c r="U1001" s="250"/>
      <c r="V1001" s="197"/>
      <c r="W1001" s="197"/>
      <c r="X1001" s="197"/>
      <c r="Y1001" s="949"/>
      <c r="Z1001" s="246"/>
      <c r="AA1001" s="246"/>
      <c r="AB1001" s="299"/>
      <c r="AC1001" s="223"/>
      <c r="AD1001" s="299"/>
      <c r="AE1001" s="494"/>
      <c r="AF1001" s="494"/>
      <c r="AG1001" s="299"/>
      <c r="AH1001" s="299"/>
      <c r="AI1001" s="223"/>
      <c r="AJ1001" s="348" t="s">
        <v>560</v>
      </c>
      <c r="AK1001" s="241">
        <v>4</v>
      </c>
      <c r="AL1001" s="123" t="s">
        <v>485</v>
      </c>
      <c r="AM1001" s="123" t="s">
        <v>460</v>
      </c>
      <c r="AN1001" s="172"/>
      <c r="AO1001" s="151"/>
      <c r="AP1001" s="115"/>
      <c r="AQ1001" s="115"/>
      <c r="AR1001" s="115"/>
      <c r="AS1001" s="115"/>
      <c r="AT1001" s="116"/>
    </row>
    <row r="1002" spans="1:46" ht="39" customHeight="1" x14ac:dyDescent="0.25">
      <c r="A1002" s="1468">
        <v>1001</v>
      </c>
      <c r="B1002" s="160">
        <v>3</v>
      </c>
      <c r="C1002" s="356" t="s">
        <v>416</v>
      </c>
      <c r="D1002" s="282" t="s">
        <v>134</v>
      </c>
      <c r="E1002" s="282"/>
      <c r="F1002" s="282"/>
      <c r="G1002" s="261" t="s">
        <v>291</v>
      </c>
      <c r="H1002" s="262" t="s">
        <v>87</v>
      </c>
      <c r="I1002" s="364"/>
      <c r="J1002" s="245" t="s">
        <v>561</v>
      </c>
      <c r="K1002" s="288" t="s">
        <v>158</v>
      </c>
      <c r="L1002" s="288" t="s">
        <v>3678</v>
      </c>
      <c r="M1002" s="288" t="s">
        <v>3678</v>
      </c>
      <c r="N1002" s="281" t="s">
        <v>4217</v>
      </c>
      <c r="O1002" s="392" t="s">
        <v>3815</v>
      </c>
      <c r="P1002" s="247"/>
      <c r="Q1002" s="594" t="s">
        <v>293</v>
      </c>
      <c r="R1002" s="1188" t="s">
        <v>3814</v>
      </c>
      <c r="S1002" s="279">
        <v>38077</v>
      </c>
      <c r="T1002" s="289"/>
      <c r="U1002" s="251" t="s">
        <v>468</v>
      </c>
      <c r="V1002" s="245" t="s">
        <v>5393</v>
      </c>
      <c r="W1002" s="250" t="s">
        <v>3509</v>
      </c>
      <c r="X1002" s="197" t="s">
        <v>2030</v>
      </c>
      <c r="Y1002" s="245" t="s">
        <v>5394</v>
      </c>
      <c r="Z1002" s="246">
        <v>45264</v>
      </c>
      <c r="AA1002" s="246">
        <v>45275</v>
      </c>
      <c r="AB1002" s="288" t="s">
        <v>4308</v>
      </c>
      <c r="AC1002" s="223" t="s">
        <v>946</v>
      </c>
      <c r="AD1002" s="299" t="s">
        <v>467</v>
      </c>
      <c r="AE1002" s="494">
        <v>45104</v>
      </c>
      <c r="AF1002" s="494">
        <v>45469</v>
      </c>
      <c r="AG1002" s="385"/>
      <c r="AH1002" s="301"/>
      <c r="AI1002" s="284" t="s">
        <v>1351</v>
      </c>
      <c r="AJ1002" s="303" t="s">
        <v>136</v>
      </c>
      <c r="AK1002" s="241">
        <v>4</v>
      </c>
      <c r="AL1002" s="123" t="s">
        <v>485</v>
      </c>
      <c r="AM1002" s="123" t="s">
        <v>460</v>
      </c>
      <c r="AN1002" s="110" t="s">
        <v>4184</v>
      </c>
      <c r="AO1002" s="151"/>
      <c r="AP1002" s="115"/>
      <c r="AQ1002" s="115"/>
      <c r="AR1002" s="115"/>
      <c r="AS1002" s="115"/>
      <c r="AT1002" s="115"/>
    </row>
    <row r="1003" spans="1:46" ht="39" customHeight="1" x14ac:dyDescent="0.25">
      <c r="A1003" s="1468">
        <v>1002</v>
      </c>
      <c r="B1003" s="117">
        <v>2</v>
      </c>
      <c r="C1003" s="528" t="s">
        <v>417</v>
      </c>
      <c r="D1003" s="282"/>
      <c r="E1003" s="282"/>
      <c r="F1003" s="282"/>
      <c r="G1003" s="447" t="s">
        <v>418</v>
      </c>
      <c r="H1003" s="262" t="s">
        <v>87</v>
      </c>
      <c r="I1003" s="357"/>
      <c r="J1003" s="245" t="s">
        <v>561</v>
      </c>
      <c r="K1003" s="216"/>
      <c r="L1003" s="281" t="s">
        <v>5517</v>
      </c>
      <c r="M1003" s="281" t="s">
        <v>5517</v>
      </c>
      <c r="N1003" s="366"/>
      <c r="O1003" s="392" t="s">
        <v>5516</v>
      </c>
      <c r="P1003" s="402"/>
      <c r="Q1003" s="380" t="s">
        <v>87</v>
      </c>
      <c r="R1003" s="682" t="s">
        <v>5515</v>
      </c>
      <c r="S1003" s="279">
        <v>37185</v>
      </c>
      <c r="T1003" s="197"/>
      <c r="U1003" s="251" t="s">
        <v>468</v>
      </c>
      <c r="V1003" s="299" t="s">
        <v>5891</v>
      </c>
      <c r="W1003" s="197" t="s">
        <v>2871</v>
      </c>
      <c r="X1003" s="197" t="s">
        <v>2030</v>
      </c>
      <c r="Y1003" s="949" t="s">
        <v>5892</v>
      </c>
      <c r="Z1003" s="246">
        <v>45302</v>
      </c>
      <c r="AA1003" s="246"/>
      <c r="AB1003" s="296"/>
      <c r="AC1003" s="223"/>
      <c r="AD1003" s="376"/>
      <c r="AE1003" s="494"/>
      <c r="AF1003" s="494"/>
      <c r="AG1003" s="241"/>
      <c r="AH1003" s="283"/>
      <c r="AI1003" s="254" t="s">
        <v>4208</v>
      </c>
      <c r="AJ1003" s="303" t="s">
        <v>136</v>
      </c>
      <c r="AK1003" s="241">
        <v>4</v>
      </c>
      <c r="AL1003" s="123" t="s">
        <v>485</v>
      </c>
      <c r="AM1003" s="123" t="s">
        <v>460</v>
      </c>
      <c r="AN1003" s="151"/>
      <c r="AO1003" s="151"/>
      <c r="AP1003" s="115"/>
      <c r="AQ1003" s="115"/>
      <c r="AR1003" s="115"/>
      <c r="AS1003" s="115"/>
      <c r="AT1003" s="115"/>
    </row>
    <row r="1004" spans="1:46" ht="39" customHeight="1" x14ac:dyDescent="0.25">
      <c r="A1004" s="1468">
        <v>1003</v>
      </c>
      <c r="B1004" s="117"/>
      <c r="C1004" s="274"/>
      <c r="D1004" s="511"/>
      <c r="E1004" s="511"/>
      <c r="F1004" s="511"/>
      <c r="G1004" s="529"/>
      <c r="H1004" s="513"/>
      <c r="I1004" s="513"/>
      <c r="J1004" s="530"/>
      <c r="K1004" s="330"/>
      <c r="L1004" s="330"/>
      <c r="M1004" s="330"/>
      <c r="N1004" s="515"/>
      <c r="O1004" s="330"/>
      <c r="P1004" s="516" t="s">
        <v>486</v>
      </c>
      <c r="Q1004" s="373"/>
      <c r="R1004" s="982"/>
      <c r="S1004" s="279"/>
      <c r="T1004" s="330"/>
      <c r="U1004" s="250"/>
      <c r="V1004" s="334"/>
      <c r="W1004" s="334"/>
      <c r="X1004" s="334"/>
      <c r="Y1004" s="334"/>
      <c r="Z1004" s="457"/>
      <c r="AA1004" s="333"/>
      <c r="AB1004" s="514"/>
      <c r="AC1004" s="460"/>
      <c r="AD1004" s="514"/>
      <c r="AE1004" s="494"/>
      <c r="AF1004" s="494"/>
      <c r="AG1004" s="331"/>
      <c r="AH1004" s="514"/>
      <c r="AI1004" s="531"/>
      <c r="AJ1004" s="464"/>
      <c r="AK1004" s="331"/>
      <c r="AL1004" s="186"/>
      <c r="AM1004" s="186"/>
      <c r="AN1004" s="156"/>
      <c r="AO1004" s="156"/>
      <c r="AP1004" s="115"/>
      <c r="AQ1004" s="115"/>
      <c r="AR1004" s="115"/>
      <c r="AS1004" s="115"/>
      <c r="AT1004" s="115"/>
    </row>
    <row r="1005" spans="1:46" ht="39" customHeight="1" x14ac:dyDescent="0.25">
      <c r="A1005" s="1468">
        <v>1004</v>
      </c>
      <c r="B1005" s="117">
        <v>11</v>
      </c>
      <c r="C1005" s="341" t="s">
        <v>420</v>
      </c>
      <c r="D1005" s="282"/>
      <c r="E1005" s="338"/>
      <c r="F1005" s="282"/>
      <c r="G1005" s="339" t="s">
        <v>421</v>
      </c>
      <c r="H1005" s="340" t="s">
        <v>422</v>
      </c>
      <c r="I1005" s="357"/>
      <c r="J1005" s="281">
        <v>332</v>
      </c>
      <c r="K1005" s="216"/>
      <c r="L1005" s="216"/>
      <c r="M1005" s="216"/>
      <c r="N1005" s="366"/>
      <c r="O1005" s="216"/>
      <c r="P1005" s="367"/>
      <c r="Q1005" s="373"/>
      <c r="R1005" s="683" t="s">
        <v>66</v>
      </c>
      <c r="S1005" s="279"/>
      <c r="T1005" s="216"/>
      <c r="U1005" s="250"/>
      <c r="V1005" s="197"/>
      <c r="W1005" s="197"/>
      <c r="X1005" s="197"/>
      <c r="Y1005" s="197"/>
      <c r="Z1005" s="246"/>
      <c r="AA1005" s="252"/>
      <c r="AB1005" s="301"/>
      <c r="AC1005" s="223"/>
      <c r="AD1005" s="301"/>
      <c r="AE1005" s="494"/>
      <c r="AF1005" s="494"/>
      <c r="AG1005" s="241"/>
      <c r="AH1005" s="301"/>
      <c r="AI1005" s="401"/>
      <c r="AJ1005" s="303"/>
      <c r="AK1005" s="241">
        <v>1</v>
      </c>
      <c r="AL1005" s="122" t="s">
        <v>487</v>
      </c>
      <c r="AM1005" s="122" t="s">
        <v>460</v>
      </c>
      <c r="AN1005" s="151"/>
      <c r="AO1005" s="151"/>
      <c r="AP1005" s="115"/>
      <c r="AQ1005" s="115"/>
      <c r="AR1005" s="115"/>
      <c r="AS1005" s="115"/>
      <c r="AT1005" s="115"/>
    </row>
    <row r="1006" spans="1:46" ht="39" customHeight="1" x14ac:dyDescent="0.25">
      <c r="A1006" s="1468">
        <v>1005</v>
      </c>
      <c r="B1006" s="117">
        <v>6</v>
      </c>
      <c r="C1006" s="532" t="s">
        <v>286</v>
      </c>
      <c r="D1006" s="282"/>
      <c r="E1006" s="353"/>
      <c r="F1006" s="282"/>
      <c r="G1006" s="445" t="s">
        <v>287</v>
      </c>
      <c r="H1006" s="350" t="s">
        <v>153</v>
      </c>
      <c r="I1006" s="357"/>
      <c r="J1006" s="256">
        <v>400</v>
      </c>
      <c r="K1006" s="216"/>
      <c r="L1006" s="216"/>
      <c r="M1006" s="216"/>
      <c r="N1006" s="366"/>
      <c r="O1006" s="216"/>
      <c r="P1006" s="367"/>
      <c r="Q1006" s="373"/>
      <c r="R1006" s="683" t="s">
        <v>66</v>
      </c>
      <c r="S1006" s="279"/>
      <c r="T1006" s="216"/>
      <c r="U1006" s="250"/>
      <c r="V1006" s="197"/>
      <c r="W1006" s="197"/>
      <c r="X1006" s="197"/>
      <c r="Y1006" s="197"/>
      <c r="Z1006" s="246"/>
      <c r="AA1006" s="252"/>
      <c r="AB1006" s="301"/>
      <c r="AC1006" s="223"/>
      <c r="AD1006" s="301"/>
      <c r="AE1006" s="494"/>
      <c r="AF1006" s="494"/>
      <c r="AG1006" s="241"/>
      <c r="AH1006" s="301"/>
      <c r="AI1006" s="401"/>
      <c r="AJ1006" s="303"/>
      <c r="AK1006" s="241">
        <v>2</v>
      </c>
      <c r="AL1006" s="122" t="s">
        <v>487</v>
      </c>
      <c r="AM1006" s="122" t="s">
        <v>460</v>
      </c>
      <c r="AN1006" s="151"/>
      <c r="AO1006" s="151"/>
      <c r="AP1006" s="115"/>
      <c r="AQ1006" s="115"/>
      <c r="AR1006" s="115"/>
      <c r="AS1006" s="115"/>
      <c r="AT1006" s="115"/>
    </row>
    <row r="1007" spans="1:46" ht="39" customHeight="1" x14ac:dyDescent="0.25">
      <c r="A1007" s="1468">
        <v>1006</v>
      </c>
      <c r="B1007" s="117"/>
      <c r="C1007" s="274"/>
      <c r="D1007" s="511"/>
      <c r="E1007" s="511"/>
      <c r="F1007" s="511"/>
      <c r="G1007" s="529"/>
      <c r="H1007" s="513"/>
      <c r="I1007" s="513"/>
      <c r="J1007" s="530"/>
      <c r="K1007" s="330"/>
      <c r="L1007" s="330"/>
      <c r="M1007" s="330"/>
      <c r="N1007" s="515"/>
      <c r="O1007" s="330"/>
      <c r="P1007" s="516" t="s">
        <v>424</v>
      </c>
      <c r="Q1007" s="373"/>
      <c r="R1007" s="982"/>
      <c r="S1007" s="279"/>
      <c r="T1007" s="330"/>
      <c r="U1007" s="250"/>
      <c r="V1007" s="334"/>
      <c r="W1007" s="334"/>
      <c r="X1007" s="334"/>
      <c r="Y1007" s="334"/>
      <c r="Z1007" s="457"/>
      <c r="AA1007" s="333"/>
      <c r="AB1007" s="514"/>
      <c r="AC1007" s="460"/>
      <c r="AD1007" s="514"/>
      <c r="AE1007" s="494"/>
      <c r="AF1007" s="494"/>
      <c r="AG1007" s="331"/>
      <c r="AH1007" s="514"/>
      <c r="AI1007" s="531"/>
      <c r="AJ1007" s="464"/>
      <c r="AK1007" s="331"/>
      <c r="AL1007" s="186"/>
      <c r="AM1007" s="186"/>
      <c r="AN1007" s="156"/>
      <c r="AO1007" s="156"/>
      <c r="AP1007" s="115"/>
      <c r="AQ1007" s="115"/>
      <c r="AR1007" s="115"/>
      <c r="AS1007" s="115"/>
      <c r="AT1007" s="115"/>
    </row>
    <row r="1008" spans="1:46" ht="39" customHeight="1" x14ac:dyDescent="0.25">
      <c r="A1008" s="1468">
        <v>1007</v>
      </c>
      <c r="B1008" s="117">
        <v>5</v>
      </c>
      <c r="C1008" s="343" t="s">
        <v>367</v>
      </c>
      <c r="D1008" s="360"/>
      <c r="E1008" s="360"/>
      <c r="F1008" s="360"/>
      <c r="G1008" s="344" t="s">
        <v>425</v>
      </c>
      <c r="H1008" s="344" t="s">
        <v>132</v>
      </c>
      <c r="I1008" s="357"/>
      <c r="J1008" s="256">
        <v>403</v>
      </c>
      <c r="K1008" s="265"/>
      <c r="L1008" s="301"/>
      <c r="M1008" s="301"/>
      <c r="N1008" s="404"/>
      <c r="O1008" s="385"/>
      <c r="P1008" s="325"/>
      <c r="Q1008" s="373"/>
      <c r="R1008" s="982" t="s">
        <v>66</v>
      </c>
      <c r="S1008" s="279"/>
      <c r="T1008" s="434"/>
      <c r="U1008" s="250"/>
      <c r="V1008" s="197"/>
      <c r="W1008" s="197"/>
      <c r="X1008" s="401"/>
      <c r="Y1008" s="197"/>
      <c r="Z1008" s="246"/>
      <c r="AA1008" s="289"/>
      <c r="AB1008" s="299"/>
      <c r="AC1008" s="223"/>
      <c r="AD1008" s="299"/>
      <c r="AE1008" s="494"/>
      <c r="AF1008" s="494"/>
      <c r="AG1008" s="299"/>
      <c r="AH1008" s="299"/>
      <c r="AI1008" s="254"/>
      <c r="AJ1008" s="348"/>
      <c r="AK1008" s="533">
        <v>3</v>
      </c>
      <c r="AL1008" s="122" t="s">
        <v>487</v>
      </c>
      <c r="AM1008" s="122" t="s">
        <v>460</v>
      </c>
      <c r="AN1008" s="151"/>
      <c r="AO1008" s="151"/>
      <c r="AP1008" s="115"/>
      <c r="AQ1008" s="115"/>
      <c r="AR1008" s="115"/>
      <c r="AS1008" s="115"/>
      <c r="AT1008" s="115"/>
    </row>
    <row r="1009" spans="1:46" ht="39" customHeight="1" x14ac:dyDescent="0.25">
      <c r="A1009" s="1468">
        <v>1008</v>
      </c>
      <c r="B1009" s="117">
        <v>5</v>
      </c>
      <c r="C1009" s="358" t="s">
        <v>426</v>
      </c>
      <c r="D1009" s="282"/>
      <c r="E1009" s="282"/>
      <c r="F1009" s="282"/>
      <c r="G1009" s="447" t="s">
        <v>427</v>
      </c>
      <c r="H1009" s="262" t="s">
        <v>85</v>
      </c>
      <c r="I1009" s="357"/>
      <c r="J1009" s="245" t="s">
        <v>556</v>
      </c>
      <c r="K1009" s="216"/>
      <c r="L1009" s="288" t="s">
        <v>5144</v>
      </c>
      <c r="M1009" s="288" t="s">
        <v>5144</v>
      </c>
      <c r="N1009" s="245"/>
      <c r="O1009" s="1397" t="s">
        <v>5260</v>
      </c>
      <c r="P1009" s="627"/>
      <c r="Q1009" s="380" t="s">
        <v>87</v>
      </c>
      <c r="R1009" s="1201" t="s">
        <v>5213</v>
      </c>
      <c r="S1009" s="279">
        <v>38422</v>
      </c>
      <c r="T1009" s="289"/>
      <c r="U1009" s="251" t="s">
        <v>54</v>
      </c>
      <c r="V1009" s="245" t="s">
        <v>5167</v>
      </c>
      <c r="W1009" s="250" t="s">
        <v>295</v>
      </c>
      <c r="X1009" s="197"/>
      <c r="Y1009" s="981" t="s">
        <v>5829</v>
      </c>
      <c r="Z1009" s="246">
        <v>45260</v>
      </c>
      <c r="AA1009" s="281"/>
      <c r="AB1009" s="288" t="s">
        <v>5295</v>
      </c>
      <c r="AC1009" s="223" t="s">
        <v>1475</v>
      </c>
      <c r="AD1009" s="245" t="s">
        <v>467</v>
      </c>
      <c r="AE1009" s="494">
        <v>45255</v>
      </c>
      <c r="AF1009" s="494">
        <v>45620</v>
      </c>
      <c r="AG1009" s="241"/>
      <c r="AH1009" s="253"/>
      <c r="AI1009" s="296" t="s">
        <v>4208</v>
      </c>
      <c r="AJ1009" s="303" t="s">
        <v>136</v>
      </c>
      <c r="AK1009" s="241">
        <v>4</v>
      </c>
      <c r="AL1009" s="122" t="s">
        <v>487</v>
      </c>
      <c r="AM1009" s="122" t="s">
        <v>460</v>
      </c>
      <c r="AN1009" s="151"/>
      <c r="AO1009" s="151"/>
      <c r="AP1009" s="115"/>
      <c r="AQ1009" s="115"/>
      <c r="AR1009" s="115"/>
      <c r="AS1009" s="115"/>
      <c r="AT1009" s="115"/>
    </row>
    <row r="1010" spans="1:46" ht="39" customHeight="1" x14ac:dyDescent="0.25">
      <c r="A1010" s="1468">
        <v>1009</v>
      </c>
      <c r="B1010" s="117">
        <v>2</v>
      </c>
      <c r="C1010" s="528" t="s">
        <v>428</v>
      </c>
      <c r="D1010" s="282"/>
      <c r="E1010" s="282"/>
      <c r="F1010" s="282"/>
      <c r="G1010" s="447" t="s">
        <v>429</v>
      </c>
      <c r="H1010" s="262" t="s">
        <v>87</v>
      </c>
      <c r="I1010" s="357"/>
      <c r="J1010" s="245" t="s">
        <v>561</v>
      </c>
      <c r="K1010" s="257"/>
      <c r="L1010" s="288" t="s">
        <v>5144</v>
      </c>
      <c r="M1010" s="288" t="s">
        <v>5144</v>
      </c>
      <c r="N1010" s="245"/>
      <c r="O1010" s="1397" t="s">
        <v>5261</v>
      </c>
      <c r="P1010" s="627"/>
      <c r="Q1010" s="380" t="s">
        <v>87</v>
      </c>
      <c r="R1010" s="1201" t="s">
        <v>5390</v>
      </c>
      <c r="S1010" s="279">
        <v>38523</v>
      </c>
      <c r="T1010" s="289"/>
      <c r="U1010" s="251" t="s">
        <v>54</v>
      </c>
      <c r="V1010" s="245" t="s">
        <v>5171</v>
      </c>
      <c r="W1010" s="250" t="s">
        <v>295</v>
      </c>
      <c r="X1010" s="197"/>
      <c r="Y1010" s="949" t="s">
        <v>5829</v>
      </c>
      <c r="Z1010" s="246">
        <v>45260</v>
      </c>
      <c r="AA1010" s="245"/>
      <c r="AB1010" s="250" t="s">
        <v>5298</v>
      </c>
      <c r="AC1010" s="223" t="s">
        <v>946</v>
      </c>
      <c r="AD1010" s="245" t="s">
        <v>467</v>
      </c>
      <c r="AE1010" s="494">
        <v>45256</v>
      </c>
      <c r="AF1010" s="494">
        <v>45621</v>
      </c>
      <c r="AG1010" s="241"/>
      <c r="AH1010" s="253"/>
      <c r="AI1010" s="296" t="s">
        <v>4208</v>
      </c>
      <c r="AJ1010" s="303" t="s">
        <v>136</v>
      </c>
      <c r="AK1010" s="241">
        <v>4</v>
      </c>
      <c r="AL1010" s="122" t="s">
        <v>487</v>
      </c>
      <c r="AM1010" s="122" t="s">
        <v>460</v>
      </c>
      <c r="AN1010" s="151"/>
      <c r="AO1010" s="151"/>
      <c r="AP1010" s="115"/>
      <c r="AQ1010" s="115"/>
      <c r="AR1010" s="115"/>
      <c r="AS1010" s="115"/>
      <c r="AT1010" s="115"/>
    </row>
    <row r="1011" spans="1:46" ht="39" customHeight="1" x14ac:dyDescent="0.25">
      <c r="A1011" s="1468">
        <v>1010</v>
      </c>
      <c r="B1011" s="117">
        <v>2</v>
      </c>
      <c r="C1011" s="501" t="s">
        <v>430</v>
      </c>
      <c r="D1011" s="282"/>
      <c r="E1011" s="282"/>
      <c r="F1011" s="282"/>
      <c r="G1011" s="447" t="s">
        <v>354</v>
      </c>
      <c r="H1011" s="262" t="s">
        <v>87</v>
      </c>
      <c r="I1011" s="357"/>
      <c r="J1011" s="245" t="s">
        <v>561</v>
      </c>
      <c r="K1011" s="216"/>
      <c r="L1011" s="299" t="s">
        <v>1508</v>
      </c>
      <c r="M1011" s="299" t="s">
        <v>1708</v>
      </c>
      <c r="N1011" s="245"/>
      <c r="O1011" s="392" t="s">
        <v>3144</v>
      </c>
      <c r="P1011" s="627"/>
      <c r="Q1011" s="594" t="s">
        <v>293</v>
      </c>
      <c r="R1011" s="381" t="s">
        <v>1637</v>
      </c>
      <c r="S1011" s="279">
        <v>37885</v>
      </c>
      <c r="T1011" s="289"/>
      <c r="U1011" s="251" t="s">
        <v>54</v>
      </c>
      <c r="V1011" s="197"/>
      <c r="W1011" s="197" t="s">
        <v>295</v>
      </c>
      <c r="X1011" s="197"/>
      <c r="Y1011" s="197"/>
      <c r="Z1011" s="246"/>
      <c r="AA1011" s="281"/>
      <c r="AB1011" s="1239" t="s">
        <v>4466</v>
      </c>
      <c r="AC1011" s="223" t="s">
        <v>946</v>
      </c>
      <c r="AD1011" s="245"/>
      <c r="AE1011" s="494">
        <v>45114</v>
      </c>
      <c r="AF1011" s="494">
        <v>45479</v>
      </c>
      <c r="AG1011" s="241"/>
      <c r="AH1011" s="253"/>
      <c r="AI1011" s="284" t="s">
        <v>1351</v>
      </c>
      <c r="AJ1011" s="303" t="s">
        <v>136</v>
      </c>
      <c r="AK1011" s="241">
        <v>4</v>
      </c>
      <c r="AL1011" s="122" t="s">
        <v>487</v>
      </c>
      <c r="AM1011" s="122" t="s">
        <v>460</v>
      </c>
      <c r="AN1011" s="151"/>
      <c r="AO1011" s="151"/>
      <c r="AP1011" s="115"/>
      <c r="AQ1011" s="115"/>
      <c r="AR1011" s="115"/>
      <c r="AS1011" s="115"/>
      <c r="AT1011" s="115"/>
    </row>
    <row r="1012" spans="1:46" ht="39" customHeight="1" x14ac:dyDescent="0.25">
      <c r="A1012" s="1468">
        <v>1011</v>
      </c>
      <c r="B1012" s="117"/>
      <c r="C1012" s="274"/>
      <c r="D1012" s="511"/>
      <c r="E1012" s="511"/>
      <c r="F1012" s="511"/>
      <c r="G1012" s="529"/>
      <c r="H1012" s="513"/>
      <c r="I1012" s="513"/>
      <c r="J1012" s="530"/>
      <c r="K1012" s="197"/>
      <c r="L1012" s="330"/>
      <c r="M1012" s="330"/>
      <c r="N1012" s="515"/>
      <c r="O1012" s="330"/>
      <c r="P1012" s="516" t="s">
        <v>920</v>
      </c>
      <c r="Q1012" s="373"/>
      <c r="R1012" s="982"/>
      <c r="S1012" s="279"/>
      <c r="T1012" s="330"/>
      <c r="U1012" s="250"/>
      <c r="V1012" s="334"/>
      <c r="W1012" s="334"/>
      <c r="X1012" s="334"/>
      <c r="Y1012" s="334"/>
      <c r="Z1012" s="457"/>
      <c r="AA1012" s="333"/>
      <c r="AB1012" s="514"/>
      <c r="AC1012" s="460"/>
      <c r="AD1012" s="514"/>
      <c r="AE1012" s="494"/>
      <c r="AF1012" s="494"/>
      <c r="AG1012" s="331"/>
      <c r="AH1012" s="514"/>
      <c r="AI1012" s="531"/>
      <c r="AJ1012" s="464"/>
      <c r="AK1012" s="331"/>
      <c r="AL1012" s="186"/>
      <c r="AM1012" s="186"/>
      <c r="AN1012" s="156"/>
      <c r="AO1012" s="156"/>
      <c r="AP1012" s="115"/>
      <c r="AQ1012" s="115"/>
      <c r="AR1012" s="115"/>
      <c r="AS1012" s="115"/>
      <c r="AT1012" s="115"/>
    </row>
    <row r="1013" spans="1:46" ht="39" customHeight="1" x14ac:dyDescent="0.25">
      <c r="A1013" s="1468">
        <v>1012</v>
      </c>
      <c r="B1013" s="117">
        <v>5</v>
      </c>
      <c r="C1013" s="360" t="s">
        <v>367</v>
      </c>
      <c r="D1013" s="360"/>
      <c r="E1013" s="360"/>
      <c r="F1013" s="360"/>
      <c r="G1013" s="344" t="s">
        <v>425</v>
      </c>
      <c r="H1013" s="344" t="s">
        <v>132</v>
      </c>
      <c r="I1013" s="357"/>
      <c r="J1013" s="256">
        <v>403</v>
      </c>
      <c r="K1013" s="216"/>
      <c r="L1013" s="299"/>
      <c r="M1013" s="299"/>
      <c r="N1013" s="245"/>
      <c r="O1013" s="216"/>
      <c r="P1013" s="627"/>
      <c r="Q1013" s="282"/>
      <c r="R1013" s="381" t="s">
        <v>66</v>
      </c>
      <c r="S1013" s="279"/>
      <c r="T1013" s="289"/>
      <c r="U1013" s="250"/>
      <c r="V1013" s="197"/>
      <c r="W1013" s="197"/>
      <c r="X1013" s="197"/>
      <c r="Y1013" s="197"/>
      <c r="Z1013" s="246"/>
      <c r="AA1013" s="281"/>
      <c r="AB1013" s="245"/>
      <c r="AC1013" s="223"/>
      <c r="AD1013" s="245"/>
      <c r="AE1013" s="494"/>
      <c r="AF1013" s="494"/>
      <c r="AG1013" s="241"/>
      <c r="AH1013" s="253"/>
      <c r="AI1013" s="284"/>
      <c r="AJ1013" s="303"/>
      <c r="AK1013" s="344">
        <v>3</v>
      </c>
      <c r="AL1013" s="122" t="s">
        <v>487</v>
      </c>
      <c r="AM1013" s="122" t="s">
        <v>460</v>
      </c>
      <c r="AN1013" s="151"/>
      <c r="AO1013" s="151"/>
      <c r="AP1013" s="115"/>
      <c r="AQ1013" s="115"/>
      <c r="AR1013" s="115"/>
      <c r="AS1013" s="115"/>
      <c r="AT1013" s="115"/>
    </row>
    <row r="1014" spans="1:46" ht="39" customHeight="1" x14ac:dyDescent="0.25">
      <c r="A1014" s="1468">
        <v>1013</v>
      </c>
      <c r="B1014" s="117">
        <v>2</v>
      </c>
      <c r="C1014" s="526" t="s">
        <v>428</v>
      </c>
      <c r="D1014" s="481"/>
      <c r="E1014" s="481"/>
      <c r="F1014" s="481"/>
      <c r="G1014" s="527" t="s">
        <v>429</v>
      </c>
      <c r="H1014" s="262" t="s">
        <v>87</v>
      </c>
      <c r="I1014" s="473"/>
      <c r="J1014" s="245" t="s">
        <v>561</v>
      </c>
      <c r="K1014" s="216"/>
      <c r="L1014" s="288" t="s">
        <v>5144</v>
      </c>
      <c r="M1014" s="288" t="s">
        <v>5144</v>
      </c>
      <c r="N1014" s="245"/>
      <c r="O1014" s="1397" t="s">
        <v>5262</v>
      </c>
      <c r="P1014" s="627"/>
      <c r="Q1014" s="380" t="s">
        <v>87</v>
      </c>
      <c r="R1014" s="1201" t="s">
        <v>5214</v>
      </c>
      <c r="S1014" s="279">
        <v>38411</v>
      </c>
      <c r="T1014" s="289"/>
      <c r="U1014" s="251" t="s">
        <v>54</v>
      </c>
      <c r="V1014" s="245" t="s">
        <v>5171</v>
      </c>
      <c r="W1014" s="250" t="s">
        <v>295</v>
      </c>
      <c r="X1014" s="197"/>
      <c r="Y1014" s="981" t="s">
        <v>5829</v>
      </c>
      <c r="Z1014" s="246">
        <v>45260</v>
      </c>
      <c r="AA1014" s="252"/>
      <c r="AB1014" s="288" t="s">
        <v>5299</v>
      </c>
      <c r="AC1014" s="223" t="s">
        <v>5302</v>
      </c>
      <c r="AD1014" s="245" t="s">
        <v>467</v>
      </c>
      <c r="AE1014" s="494">
        <v>45256</v>
      </c>
      <c r="AF1014" s="494">
        <v>45621</v>
      </c>
      <c r="AG1014" s="241"/>
      <c r="AH1014" s="253"/>
      <c r="AI1014" s="296" t="s">
        <v>4208</v>
      </c>
      <c r="AJ1014" s="303" t="s">
        <v>136</v>
      </c>
      <c r="AK1014" s="241">
        <v>4</v>
      </c>
      <c r="AL1014" s="122" t="s">
        <v>487</v>
      </c>
      <c r="AM1014" s="122" t="s">
        <v>460</v>
      </c>
      <c r="AN1014" s="167"/>
      <c r="AO1014" s="173"/>
      <c r="AP1014" s="115"/>
      <c r="AQ1014" s="115"/>
      <c r="AR1014" s="115"/>
      <c r="AS1014" s="115"/>
      <c r="AT1014" s="115"/>
    </row>
    <row r="1015" spans="1:46" ht="39" customHeight="1" x14ac:dyDescent="0.25">
      <c r="A1015" s="1468">
        <v>1014</v>
      </c>
      <c r="B1015" s="117">
        <v>2</v>
      </c>
      <c r="C1015" s="501" t="s">
        <v>430</v>
      </c>
      <c r="D1015" s="282"/>
      <c r="E1015" s="282"/>
      <c r="F1015" s="282"/>
      <c r="G1015" s="447" t="s">
        <v>354</v>
      </c>
      <c r="H1015" s="262" t="s">
        <v>87</v>
      </c>
      <c r="I1015" s="357"/>
      <c r="J1015" s="245" t="s">
        <v>561</v>
      </c>
      <c r="K1015" s="216"/>
      <c r="L1015" s="281" t="s">
        <v>1676</v>
      </c>
      <c r="M1015" s="281" t="s">
        <v>1508</v>
      </c>
      <c r="N1015" s="366"/>
      <c r="O1015" s="392" t="s">
        <v>3058</v>
      </c>
      <c r="P1015" s="402"/>
      <c r="Q1015" s="594" t="s">
        <v>87</v>
      </c>
      <c r="R1015" s="381" t="s">
        <v>1783</v>
      </c>
      <c r="S1015" s="279" t="s">
        <v>4796</v>
      </c>
      <c r="T1015" s="197"/>
      <c r="U1015" s="251" t="s">
        <v>54</v>
      </c>
      <c r="V1015" s="245" t="s">
        <v>6163</v>
      </c>
      <c r="W1015" s="250" t="s">
        <v>4608</v>
      </c>
      <c r="X1015" s="197" t="s">
        <v>475</v>
      </c>
      <c r="Y1015" s="981" t="s">
        <v>6174</v>
      </c>
      <c r="Z1015" s="246">
        <v>45323</v>
      </c>
      <c r="AA1015" s="246"/>
      <c r="AB1015" s="296" t="s">
        <v>4413</v>
      </c>
      <c r="AC1015" s="223" t="s">
        <v>946</v>
      </c>
      <c r="AD1015" s="376"/>
      <c r="AE1015" s="494" t="s">
        <v>4354</v>
      </c>
      <c r="AF1015" s="494">
        <v>45477</v>
      </c>
      <c r="AG1015" s="241"/>
      <c r="AH1015" s="283"/>
      <c r="AI1015" s="254" t="s">
        <v>1351</v>
      </c>
      <c r="AJ1015" s="303" t="s">
        <v>136</v>
      </c>
      <c r="AK1015" s="241">
        <v>4</v>
      </c>
      <c r="AL1015" s="122" t="s">
        <v>487</v>
      </c>
      <c r="AM1015" s="122" t="s">
        <v>460</v>
      </c>
      <c r="AN1015" s="151"/>
      <c r="AO1015" s="151"/>
      <c r="AP1015" s="115"/>
      <c r="AQ1015" s="115"/>
      <c r="AR1015" s="115"/>
      <c r="AS1015" s="115"/>
      <c r="AT1015" s="115"/>
    </row>
    <row r="1016" spans="1:46" ht="39" customHeight="1" x14ac:dyDescent="0.25">
      <c r="A1016" s="1468">
        <v>1015</v>
      </c>
      <c r="B1016" s="117"/>
      <c r="C1016" s="929"/>
      <c r="D1016" s="535"/>
      <c r="E1016" s="535"/>
      <c r="F1016" s="535"/>
      <c r="G1016" s="536"/>
      <c r="H1016" s="537"/>
      <c r="I1016" s="537"/>
      <c r="J1016" s="538"/>
      <c r="K1016" s="309"/>
      <c r="L1016" s="318"/>
      <c r="M1016" s="318"/>
      <c r="N1016" s="539"/>
      <c r="O1016" s="309"/>
      <c r="P1016" s="540" t="s">
        <v>919</v>
      </c>
      <c r="Q1016" s="373"/>
      <c r="R1016" s="982"/>
      <c r="S1016" s="279"/>
      <c r="T1016" s="542"/>
      <c r="U1016" s="250"/>
      <c r="V1016" s="318"/>
      <c r="W1016" s="318"/>
      <c r="X1016" s="318"/>
      <c r="Y1016" s="318"/>
      <c r="Z1016" s="310"/>
      <c r="AA1016" s="310"/>
      <c r="AB1016" s="542"/>
      <c r="AC1016" s="542"/>
      <c r="AD1016" s="543"/>
      <c r="AE1016" s="494"/>
      <c r="AF1016" s="494"/>
      <c r="AG1016" s="544"/>
      <c r="AH1016" s="541"/>
      <c r="AI1016" s="545"/>
      <c r="AJ1016" s="546"/>
      <c r="AK1016" s="535"/>
      <c r="AL1016" s="118"/>
      <c r="AM1016" s="118"/>
      <c r="AN1016" s="181"/>
      <c r="AO1016" s="181"/>
      <c r="AP1016" s="115"/>
      <c r="AQ1016" s="115"/>
      <c r="AR1016" s="115"/>
      <c r="AS1016" s="115"/>
      <c r="AT1016" s="115"/>
    </row>
    <row r="1017" spans="1:46" ht="39" customHeight="1" x14ac:dyDescent="0.25">
      <c r="A1017" s="1468">
        <v>1016</v>
      </c>
      <c r="B1017" s="117">
        <v>5</v>
      </c>
      <c r="C1017" s="343" t="s">
        <v>367</v>
      </c>
      <c r="D1017" s="360"/>
      <c r="E1017" s="360"/>
      <c r="F1017" s="360"/>
      <c r="G1017" s="344" t="s">
        <v>425</v>
      </c>
      <c r="H1017" s="344" t="s">
        <v>132</v>
      </c>
      <c r="I1017" s="357"/>
      <c r="J1017" s="256">
        <v>403</v>
      </c>
      <c r="K1017" s="216"/>
      <c r="L1017" s="299" t="s">
        <v>1508</v>
      </c>
      <c r="M1017" s="299" t="s">
        <v>1708</v>
      </c>
      <c r="N1017" s="245"/>
      <c r="O1017" s="392" t="s">
        <v>3145</v>
      </c>
      <c r="P1017" s="627"/>
      <c r="Q1017" s="594" t="s">
        <v>293</v>
      </c>
      <c r="R1017" s="381" t="s">
        <v>1638</v>
      </c>
      <c r="S1017" s="279">
        <v>37493</v>
      </c>
      <c r="T1017" s="289"/>
      <c r="U1017" s="251" t="s">
        <v>54</v>
      </c>
      <c r="V1017" s="197" t="s">
        <v>5948</v>
      </c>
      <c r="W1017" s="250" t="s">
        <v>295</v>
      </c>
      <c r="X1017" s="197" t="s">
        <v>475</v>
      </c>
      <c r="Y1017" s="949" t="s">
        <v>5951</v>
      </c>
      <c r="Z1017" s="246">
        <v>45309</v>
      </c>
      <c r="AA1017" s="252"/>
      <c r="AB1017" s="1239" t="s">
        <v>4467</v>
      </c>
      <c r="AC1017" s="223" t="s">
        <v>946</v>
      </c>
      <c r="AD1017" s="245"/>
      <c r="AE1017" s="494">
        <v>45112</v>
      </c>
      <c r="AF1017" s="494">
        <v>45477</v>
      </c>
      <c r="AG1017" s="241"/>
      <c r="AH1017" s="253"/>
      <c r="AI1017" s="284" t="s">
        <v>1351</v>
      </c>
      <c r="AJ1017" s="303" t="s">
        <v>136</v>
      </c>
      <c r="AK1017" s="533">
        <v>3</v>
      </c>
      <c r="AL1017" s="122" t="s">
        <v>487</v>
      </c>
      <c r="AM1017" s="122" t="s">
        <v>460</v>
      </c>
      <c r="AN1017" s="151"/>
      <c r="AO1017" s="151"/>
      <c r="AP1017" s="115"/>
      <c r="AQ1017" s="115"/>
      <c r="AR1017" s="115"/>
      <c r="AS1017" s="115"/>
      <c r="AT1017" s="115"/>
    </row>
    <row r="1018" spans="1:46" ht="39" customHeight="1" x14ac:dyDescent="0.25">
      <c r="A1018" s="1468">
        <v>1017</v>
      </c>
      <c r="B1018" s="117">
        <v>2</v>
      </c>
      <c r="C1018" s="526" t="s">
        <v>428</v>
      </c>
      <c r="D1018" s="481"/>
      <c r="E1018" s="481"/>
      <c r="F1018" s="481"/>
      <c r="G1018" s="527" t="s">
        <v>429</v>
      </c>
      <c r="H1018" s="262" t="s">
        <v>87</v>
      </c>
      <c r="I1018" s="473"/>
      <c r="J1018" s="245" t="s">
        <v>561</v>
      </c>
      <c r="K1018" s="216"/>
      <c r="L1018" s="288" t="s">
        <v>5144</v>
      </c>
      <c r="M1018" s="288" t="s">
        <v>5144</v>
      </c>
      <c r="N1018" s="366"/>
      <c r="O1018" s="1397" t="s">
        <v>5263</v>
      </c>
      <c r="P1018" s="367"/>
      <c r="Q1018" s="380" t="s">
        <v>87</v>
      </c>
      <c r="R1018" s="1201" t="s">
        <v>5215</v>
      </c>
      <c r="S1018" s="279">
        <v>38099</v>
      </c>
      <c r="T1018" s="197"/>
      <c r="U1018" s="251" t="s">
        <v>54</v>
      </c>
      <c r="V1018" s="245" t="s">
        <v>5171</v>
      </c>
      <c r="W1018" s="250" t="s">
        <v>295</v>
      </c>
      <c r="X1018" s="197"/>
      <c r="Y1018" s="949" t="s">
        <v>5829</v>
      </c>
      <c r="Z1018" s="246">
        <v>45260</v>
      </c>
      <c r="AA1018" s="246"/>
      <c r="AB1018" s="288" t="s">
        <v>5300</v>
      </c>
      <c r="AC1018" s="223" t="s">
        <v>946</v>
      </c>
      <c r="AD1018" s="245" t="s">
        <v>467</v>
      </c>
      <c r="AE1018" s="494">
        <v>45257</v>
      </c>
      <c r="AF1018" s="494">
        <v>45622</v>
      </c>
      <c r="AG1018" s="241"/>
      <c r="AH1018" s="283"/>
      <c r="AI1018" s="296" t="s">
        <v>4208</v>
      </c>
      <c r="AJ1018" s="303" t="s">
        <v>136</v>
      </c>
      <c r="AK1018" s="241">
        <v>4</v>
      </c>
      <c r="AL1018" s="122" t="s">
        <v>487</v>
      </c>
      <c r="AM1018" s="122" t="s">
        <v>460</v>
      </c>
      <c r="AN1018" s="151"/>
      <c r="AO1018" s="151"/>
      <c r="AP1018" s="115"/>
      <c r="AQ1018" s="115"/>
      <c r="AR1018" s="115"/>
      <c r="AS1018" s="115"/>
      <c r="AT1018" s="115"/>
    </row>
    <row r="1019" spans="1:46" ht="39" customHeight="1" x14ac:dyDescent="0.25">
      <c r="A1019" s="1468">
        <v>1018</v>
      </c>
      <c r="B1019" s="117">
        <v>2</v>
      </c>
      <c r="C1019" s="501" t="s">
        <v>430</v>
      </c>
      <c r="D1019" s="282"/>
      <c r="E1019" s="282"/>
      <c r="F1019" s="282"/>
      <c r="G1019" s="447" t="s">
        <v>354</v>
      </c>
      <c r="H1019" s="262" t="s">
        <v>87</v>
      </c>
      <c r="I1019" s="357"/>
      <c r="J1019" s="245" t="s">
        <v>561</v>
      </c>
      <c r="K1019" s="197"/>
      <c r="L1019" s="288" t="s">
        <v>5144</v>
      </c>
      <c r="M1019" s="288" t="s">
        <v>5144</v>
      </c>
      <c r="N1019" s="245"/>
      <c r="O1019" s="1397" t="s">
        <v>5264</v>
      </c>
      <c r="P1019" s="627"/>
      <c r="Q1019" s="380" t="s">
        <v>87</v>
      </c>
      <c r="R1019" s="1201" t="s">
        <v>5216</v>
      </c>
      <c r="S1019" s="279">
        <v>38595</v>
      </c>
      <c r="T1019" s="289"/>
      <c r="U1019" s="251" t="s">
        <v>54</v>
      </c>
      <c r="V1019" s="245" t="s">
        <v>5171</v>
      </c>
      <c r="W1019" s="250" t="s">
        <v>295</v>
      </c>
      <c r="X1019" s="197"/>
      <c r="Y1019" s="949" t="s">
        <v>5829</v>
      </c>
      <c r="Z1019" s="246">
        <v>45260</v>
      </c>
      <c r="AA1019" s="281"/>
      <c r="AB1019" s="250" t="s">
        <v>5301</v>
      </c>
      <c r="AC1019" s="223" t="s">
        <v>946</v>
      </c>
      <c r="AD1019" s="245" t="s">
        <v>467</v>
      </c>
      <c r="AE1019" s="494">
        <v>45257</v>
      </c>
      <c r="AF1019" s="494">
        <v>45622</v>
      </c>
      <c r="AG1019" s="241"/>
      <c r="AH1019" s="253"/>
      <c r="AI1019" s="296" t="s">
        <v>4208</v>
      </c>
      <c r="AJ1019" s="303" t="s">
        <v>136</v>
      </c>
      <c r="AK1019" s="241">
        <v>4</v>
      </c>
      <c r="AL1019" s="122" t="s">
        <v>487</v>
      </c>
      <c r="AM1019" s="122" t="s">
        <v>460</v>
      </c>
      <c r="AN1019" s="151"/>
      <c r="AO1019" s="151"/>
      <c r="AP1019" s="115"/>
      <c r="AQ1019" s="115"/>
      <c r="AR1019" s="115"/>
      <c r="AS1019" s="115"/>
      <c r="AT1019" s="115"/>
    </row>
    <row r="1020" spans="1:46" ht="39" customHeight="1" x14ac:dyDescent="0.25">
      <c r="A1020" s="1468">
        <v>1019</v>
      </c>
      <c r="B1020" s="117"/>
      <c r="C1020" s="929"/>
      <c r="D1020" s="535"/>
      <c r="E1020" s="535"/>
      <c r="F1020" s="535"/>
      <c r="G1020" s="536"/>
      <c r="H1020" s="537"/>
      <c r="I1020" s="537"/>
      <c r="J1020" s="538"/>
      <c r="K1020" s="309"/>
      <c r="L1020" s="318"/>
      <c r="M1020" s="318"/>
      <c r="N1020" s="539"/>
      <c r="O1020" s="309"/>
      <c r="P1020" s="540" t="s">
        <v>921</v>
      </c>
      <c r="Q1020" s="373"/>
      <c r="R1020" s="982"/>
      <c r="S1020" s="279"/>
      <c r="T1020" s="542"/>
      <c r="U1020" s="250"/>
      <c r="V1020" s="318"/>
      <c r="W1020" s="318"/>
      <c r="X1020" s="318"/>
      <c r="Y1020" s="318"/>
      <c r="Z1020" s="310"/>
      <c r="AA1020" s="310"/>
      <c r="AB1020" s="542"/>
      <c r="AC1020" s="542"/>
      <c r="AD1020" s="543"/>
      <c r="AE1020" s="494"/>
      <c r="AF1020" s="494"/>
      <c r="AG1020" s="544"/>
      <c r="AH1020" s="541"/>
      <c r="AI1020" s="545"/>
      <c r="AJ1020" s="546"/>
      <c r="AK1020" s="535"/>
      <c r="AL1020" s="118"/>
      <c r="AM1020" s="118"/>
      <c r="AN1020" s="181"/>
      <c r="AO1020" s="182"/>
      <c r="AP1020" s="115"/>
      <c r="AQ1020" s="115"/>
      <c r="AR1020" s="115"/>
      <c r="AS1020" s="115"/>
      <c r="AT1020" s="115"/>
    </row>
    <row r="1021" spans="1:46" ht="39" customHeight="1" x14ac:dyDescent="0.25">
      <c r="A1021" s="1468">
        <v>1020</v>
      </c>
      <c r="B1021" s="117">
        <v>5</v>
      </c>
      <c r="C1021" s="343" t="s">
        <v>367</v>
      </c>
      <c r="D1021" s="360"/>
      <c r="E1021" s="360"/>
      <c r="F1021" s="360"/>
      <c r="G1021" s="344" t="s">
        <v>425</v>
      </c>
      <c r="H1021" s="344" t="s">
        <v>132</v>
      </c>
      <c r="I1021" s="357"/>
      <c r="J1021" s="256">
        <v>403</v>
      </c>
      <c r="K1021" s="301"/>
      <c r="L1021" s="299" t="s">
        <v>1508</v>
      </c>
      <c r="M1021" s="299" t="s">
        <v>1708</v>
      </c>
      <c r="N1021" s="245"/>
      <c r="O1021" s="392" t="s">
        <v>2959</v>
      </c>
      <c r="P1021" s="627"/>
      <c r="Q1021" s="594" t="s">
        <v>293</v>
      </c>
      <c r="R1021" s="381" t="s">
        <v>1641</v>
      </c>
      <c r="S1021" s="279">
        <v>38172</v>
      </c>
      <c r="T1021" s="289"/>
      <c r="U1021" s="251" t="s">
        <v>54</v>
      </c>
      <c r="V1021" s="197"/>
      <c r="W1021" s="197" t="s">
        <v>295</v>
      </c>
      <c r="X1021" s="197"/>
      <c r="Y1021" s="197"/>
      <c r="Z1021" s="246"/>
      <c r="AA1021" s="281"/>
      <c r="AB1021" s="1239" t="s">
        <v>4468</v>
      </c>
      <c r="AC1021" s="223" t="s">
        <v>946</v>
      </c>
      <c r="AD1021" s="245"/>
      <c r="AE1021" s="494">
        <v>45114</v>
      </c>
      <c r="AF1021" s="494">
        <v>45479</v>
      </c>
      <c r="AG1021" s="241"/>
      <c r="AH1021" s="253"/>
      <c r="AI1021" s="284" t="s">
        <v>1351</v>
      </c>
      <c r="AJ1021" s="303" t="s">
        <v>136</v>
      </c>
      <c r="AK1021" s="533">
        <v>3</v>
      </c>
      <c r="AL1021" s="118" t="s">
        <v>487</v>
      </c>
      <c r="AM1021" s="127" t="s">
        <v>460</v>
      </c>
      <c r="AN1021" s="151"/>
      <c r="AO1021" s="151"/>
      <c r="AP1021" s="115"/>
      <c r="AQ1021" s="115"/>
      <c r="AR1021" s="115"/>
      <c r="AS1021" s="115"/>
      <c r="AT1021" s="115"/>
    </row>
    <row r="1022" spans="1:46" ht="39" customHeight="1" x14ac:dyDescent="0.25">
      <c r="A1022" s="1468">
        <v>1021</v>
      </c>
      <c r="B1022" s="117">
        <v>2</v>
      </c>
      <c r="C1022" s="526" t="s">
        <v>428</v>
      </c>
      <c r="D1022" s="481"/>
      <c r="E1022" s="481"/>
      <c r="F1022" s="481"/>
      <c r="G1022" s="527" t="s">
        <v>429</v>
      </c>
      <c r="H1022" s="262" t="s">
        <v>87</v>
      </c>
      <c r="I1022" s="473"/>
      <c r="J1022" s="245" t="s">
        <v>561</v>
      </c>
      <c r="K1022" s="216"/>
      <c r="L1022" s="299" t="s">
        <v>1508</v>
      </c>
      <c r="M1022" s="299" t="s">
        <v>1708</v>
      </c>
      <c r="N1022" s="245"/>
      <c r="O1022" s="392" t="s">
        <v>3095</v>
      </c>
      <c r="P1022" s="627"/>
      <c r="Q1022" s="594" t="s">
        <v>293</v>
      </c>
      <c r="R1022" s="381" t="s">
        <v>1630</v>
      </c>
      <c r="S1022" s="279">
        <v>38169</v>
      </c>
      <c r="T1022" s="289"/>
      <c r="U1022" s="251" t="s">
        <v>54</v>
      </c>
      <c r="V1022" s="197"/>
      <c r="W1022" s="197" t="s">
        <v>295</v>
      </c>
      <c r="X1022" s="197"/>
      <c r="Y1022" s="197"/>
      <c r="Z1022" s="246"/>
      <c r="AA1022" s="281"/>
      <c r="AB1022" s="1239" t="s">
        <v>4469</v>
      </c>
      <c r="AC1022" s="223" t="s">
        <v>946</v>
      </c>
      <c r="AD1022" s="245"/>
      <c r="AE1022" s="494">
        <v>45112</v>
      </c>
      <c r="AF1022" s="494">
        <v>45477</v>
      </c>
      <c r="AG1022" s="241"/>
      <c r="AH1022" s="253"/>
      <c r="AI1022" s="284" t="s">
        <v>1351</v>
      </c>
      <c r="AJ1022" s="303" t="s">
        <v>136</v>
      </c>
      <c r="AK1022" s="241">
        <v>4</v>
      </c>
      <c r="AL1022" s="122" t="s">
        <v>487</v>
      </c>
      <c r="AM1022" s="122" t="s">
        <v>460</v>
      </c>
      <c r="AN1022" s="151"/>
      <c r="AO1022" s="151"/>
      <c r="AP1022" s="115"/>
      <c r="AQ1022" s="115"/>
      <c r="AR1022" s="115"/>
      <c r="AS1022" s="115"/>
      <c r="AT1022" s="115"/>
    </row>
    <row r="1023" spans="1:46" ht="39" customHeight="1" x14ac:dyDescent="0.3">
      <c r="A1023" s="1468">
        <v>1022</v>
      </c>
      <c r="B1023" s="117">
        <v>2</v>
      </c>
      <c r="C1023" s="504" t="s">
        <v>430</v>
      </c>
      <c r="D1023" s="481"/>
      <c r="E1023" s="481"/>
      <c r="F1023" s="481"/>
      <c r="G1023" s="527" t="s">
        <v>354</v>
      </c>
      <c r="H1023" s="1302" t="s">
        <v>87</v>
      </c>
      <c r="I1023" s="473"/>
      <c r="J1023" s="264" t="s">
        <v>561</v>
      </c>
      <c r="K1023" s="434"/>
      <c r="L1023" s="496" t="s">
        <v>1508</v>
      </c>
      <c r="M1023" s="496" t="s">
        <v>1708</v>
      </c>
      <c r="N1023" s="264"/>
      <c r="O1023" s="626" t="s">
        <v>2904</v>
      </c>
      <c r="P1023" s="1363"/>
      <c r="Q1023" s="802" t="s">
        <v>293</v>
      </c>
      <c r="R1023" s="572" t="s">
        <v>1600</v>
      </c>
      <c r="S1023" s="279">
        <v>37692</v>
      </c>
      <c r="T1023" s="440"/>
      <c r="U1023" s="251" t="s">
        <v>468</v>
      </c>
      <c r="V1023" s="197" t="s">
        <v>5727</v>
      </c>
      <c r="W1023" s="197" t="s">
        <v>2871</v>
      </c>
      <c r="X1023" s="197" t="s">
        <v>2030</v>
      </c>
      <c r="Y1023" s="1130" t="s">
        <v>5730</v>
      </c>
      <c r="Z1023" s="246">
        <v>45266</v>
      </c>
      <c r="AA1023" s="246">
        <v>45322</v>
      </c>
      <c r="AB1023" s="836" t="s">
        <v>4423</v>
      </c>
      <c r="AC1023" s="474" t="s">
        <v>946</v>
      </c>
      <c r="AD1023" s="264"/>
      <c r="AE1023" s="494">
        <v>45114</v>
      </c>
      <c r="AF1023" s="494">
        <v>45479</v>
      </c>
      <c r="AG1023" s="471"/>
      <c r="AH1023" s="803"/>
      <c r="AI1023" s="1353" t="s">
        <v>1351</v>
      </c>
      <c r="AJ1023" s="470" t="s">
        <v>136</v>
      </c>
      <c r="AK1023" s="471">
        <v>4</v>
      </c>
      <c r="AL1023" s="749" t="s">
        <v>487</v>
      </c>
      <c r="AM1023" s="749" t="s">
        <v>460</v>
      </c>
      <c r="AN1023" s="151"/>
      <c r="AO1023" s="167"/>
      <c r="AP1023" s="115"/>
      <c r="AQ1023" s="115"/>
      <c r="AR1023" s="115"/>
      <c r="AS1023" s="115"/>
      <c r="AT1023" s="115"/>
    </row>
    <row r="1024" spans="1:46" ht="39" customHeight="1" x14ac:dyDescent="0.25">
      <c r="A1024" s="1468">
        <v>1023</v>
      </c>
      <c r="B1024" s="987"/>
      <c r="C1024" s="989"/>
      <c r="D1024" s="664"/>
      <c r="E1024" s="664"/>
      <c r="F1024" s="664"/>
      <c r="G1024" s="227"/>
      <c r="H1024" s="228"/>
      <c r="I1024" s="228"/>
      <c r="J1024" s="229"/>
      <c r="K1024" s="227"/>
      <c r="L1024" s="229"/>
      <c r="M1024" s="229"/>
      <c r="N1024" s="229"/>
      <c r="O1024" s="309"/>
      <c r="P1024" s="230" t="s">
        <v>488</v>
      </c>
      <c r="Q1024" s="726"/>
      <c r="R1024" s="1004"/>
      <c r="S1024" s="279"/>
      <c r="T1024" s="232"/>
      <c r="U1024" s="250"/>
      <c r="V1024" s="232"/>
      <c r="W1024" s="232"/>
      <c r="X1024" s="232"/>
      <c r="Y1024" s="232"/>
      <c r="Z1024" s="233"/>
      <c r="AA1024" s="234"/>
      <c r="AB1024" s="235"/>
      <c r="AC1024" s="236"/>
      <c r="AD1024" s="235"/>
      <c r="AE1024" s="494"/>
      <c r="AF1024" s="494"/>
      <c r="AG1024" s="664"/>
      <c r="AH1024" s="238"/>
      <c r="AI1024" s="239"/>
      <c r="AJ1024" s="576"/>
      <c r="AK1024" s="664"/>
      <c r="AL1024" s="113"/>
      <c r="AM1024" s="113"/>
      <c r="AN1024" s="163"/>
      <c r="AO1024" s="114"/>
      <c r="AP1024" s="115"/>
      <c r="AQ1024" s="115"/>
      <c r="AR1024" s="115"/>
      <c r="AS1024" s="115"/>
      <c r="AT1024" s="116"/>
    </row>
    <row r="1025" spans="1:46" ht="39" customHeight="1" x14ac:dyDescent="0.25">
      <c r="A1025" s="1468">
        <v>1024</v>
      </c>
      <c r="B1025" s="131">
        <v>9</v>
      </c>
      <c r="C1025" s="936" t="s">
        <v>305</v>
      </c>
      <c r="D1025" s="487"/>
      <c r="E1025" s="762" t="s">
        <v>47</v>
      </c>
      <c r="F1025" s="487"/>
      <c r="G1025" s="763" t="s">
        <v>432</v>
      </c>
      <c r="H1025" s="764" t="s">
        <v>283</v>
      </c>
      <c r="I1025" s="764"/>
      <c r="J1025" s="441">
        <v>410</v>
      </c>
      <c r="K1025" s="277"/>
      <c r="L1025" s="277" t="s">
        <v>1827</v>
      </c>
      <c r="M1025" s="277" t="s">
        <v>1827</v>
      </c>
      <c r="N1025" s="276"/>
      <c r="O1025" s="634" t="s">
        <v>1808</v>
      </c>
      <c r="P1025" s="801" t="s">
        <v>1828</v>
      </c>
      <c r="Q1025" s="762" t="s">
        <v>283</v>
      </c>
      <c r="R1025" s="1364" t="s">
        <v>1809</v>
      </c>
      <c r="S1025" s="279">
        <v>23735</v>
      </c>
      <c r="T1025" s="443"/>
      <c r="U1025" s="250"/>
      <c r="V1025" s="443"/>
      <c r="W1025" s="1127"/>
      <c r="X1025" s="949"/>
      <c r="Y1025" s="981"/>
      <c r="Z1025" s="486"/>
      <c r="AA1025" s="398"/>
      <c r="AB1025" s="441"/>
      <c r="AC1025" s="488"/>
      <c r="AD1025" s="1365"/>
      <c r="AE1025" s="494"/>
      <c r="AF1025" s="494"/>
      <c r="AG1025" s="476"/>
      <c r="AH1025" s="489"/>
      <c r="AI1025" s="721"/>
      <c r="AJ1025" s="1366" t="s">
        <v>47</v>
      </c>
      <c r="AK1025" s="1366">
        <v>2</v>
      </c>
      <c r="AL1025" s="874" t="s">
        <v>489</v>
      </c>
      <c r="AM1025" s="874" t="s">
        <v>460</v>
      </c>
      <c r="AN1025" s="157"/>
      <c r="AO1025" s="1367"/>
      <c r="AP1025" s="115"/>
      <c r="AQ1025" s="115"/>
      <c r="AR1025" s="115"/>
      <c r="AS1025" s="115"/>
      <c r="AT1025" s="115"/>
    </row>
    <row r="1026" spans="1:46" ht="39" customHeight="1" x14ac:dyDescent="0.25">
      <c r="A1026" s="1468">
        <v>1025</v>
      </c>
      <c r="B1026" s="117"/>
      <c r="C1026" s="324"/>
      <c r="D1026" s="664"/>
      <c r="E1026" s="664"/>
      <c r="F1026" s="664"/>
      <c r="G1026" s="227"/>
      <c r="H1026" s="228"/>
      <c r="I1026" s="228"/>
      <c r="J1026" s="229"/>
      <c r="K1026" s="227"/>
      <c r="L1026" s="229"/>
      <c r="M1026" s="229"/>
      <c r="N1026" s="229"/>
      <c r="O1026" s="216"/>
      <c r="P1026" s="230" t="s">
        <v>434</v>
      </c>
      <c r="Q1026" s="373"/>
      <c r="R1026" s="982"/>
      <c r="S1026" s="279"/>
      <c r="T1026" s="232"/>
      <c r="U1026" s="250"/>
      <c r="V1026" s="232"/>
      <c r="W1026" s="232"/>
      <c r="X1026" s="232"/>
      <c r="Y1026" s="232"/>
      <c r="Z1026" s="233"/>
      <c r="AA1026" s="234"/>
      <c r="AB1026" s="235"/>
      <c r="AC1026" s="236"/>
      <c r="AD1026" s="235"/>
      <c r="AE1026" s="494"/>
      <c r="AF1026" s="494"/>
      <c r="AG1026" s="664"/>
      <c r="AH1026" s="238"/>
      <c r="AI1026" s="239"/>
      <c r="AJ1026" s="303"/>
      <c r="AK1026" s="241"/>
      <c r="AL1026" s="122"/>
      <c r="AM1026" s="122"/>
      <c r="AN1026" s="163"/>
      <c r="AO1026" s="114"/>
      <c r="AP1026" s="115"/>
      <c r="AQ1026" s="115"/>
      <c r="AR1026" s="115"/>
      <c r="AS1026" s="115"/>
      <c r="AT1026" s="116"/>
    </row>
    <row r="1027" spans="1:46" ht="39" customHeight="1" x14ac:dyDescent="0.3">
      <c r="A1027" s="1468">
        <v>1026</v>
      </c>
      <c r="B1027" s="128">
        <v>5</v>
      </c>
      <c r="C1027" s="343" t="s">
        <v>367</v>
      </c>
      <c r="D1027" s="344"/>
      <c r="E1027" s="344" t="s">
        <v>47</v>
      </c>
      <c r="F1027" s="344"/>
      <c r="G1027" s="345" t="s">
        <v>435</v>
      </c>
      <c r="H1027" s="346" t="s">
        <v>132</v>
      </c>
      <c r="I1027" s="346"/>
      <c r="J1027" s="256">
        <v>403</v>
      </c>
      <c r="K1027" s="216"/>
      <c r="L1027" s="299"/>
      <c r="M1027" s="299"/>
      <c r="N1027" s="245"/>
      <c r="O1027" s="392"/>
      <c r="P1027" s="627"/>
      <c r="Q1027" s="594"/>
      <c r="R1027" s="381" t="s">
        <v>66</v>
      </c>
      <c r="S1027" s="279"/>
      <c r="T1027" s="289"/>
      <c r="U1027" s="250"/>
      <c r="V1027" s="197"/>
      <c r="W1027" s="197"/>
      <c r="X1027" s="197"/>
      <c r="Y1027" s="1130"/>
      <c r="Z1027" s="246"/>
      <c r="AA1027" s="246"/>
      <c r="AB1027" s="288"/>
      <c r="AC1027" s="223"/>
      <c r="AD1027" s="245"/>
      <c r="AE1027" s="494"/>
      <c r="AF1027" s="494"/>
      <c r="AG1027" s="241"/>
      <c r="AH1027" s="253"/>
      <c r="AI1027" s="284"/>
      <c r="AJ1027" s="303"/>
      <c r="AK1027" s="348">
        <v>3</v>
      </c>
      <c r="AL1027" s="132" t="s">
        <v>489</v>
      </c>
      <c r="AM1027" s="132" t="s">
        <v>460</v>
      </c>
      <c r="AN1027" s="138"/>
      <c r="AO1027" s="138"/>
      <c r="AP1027" s="115"/>
      <c r="AQ1027" s="115"/>
      <c r="AR1027" s="115"/>
      <c r="AS1027" s="115"/>
      <c r="AT1027" s="115"/>
    </row>
    <row r="1028" spans="1:46" ht="39" customHeight="1" x14ac:dyDescent="0.25">
      <c r="A1028" s="1468">
        <v>1027</v>
      </c>
      <c r="B1028" s="117">
        <v>3</v>
      </c>
      <c r="C1028" s="528" t="s">
        <v>436</v>
      </c>
      <c r="D1028" s="282"/>
      <c r="E1028" s="282"/>
      <c r="F1028" s="282"/>
      <c r="G1028" s="447" t="s">
        <v>437</v>
      </c>
      <c r="H1028" s="262" t="s">
        <v>85</v>
      </c>
      <c r="I1028" s="357"/>
      <c r="J1028" s="245" t="s">
        <v>556</v>
      </c>
      <c r="K1028" s="299"/>
      <c r="L1028" s="299" t="s">
        <v>5415</v>
      </c>
      <c r="M1028" s="288" t="s">
        <v>5415</v>
      </c>
      <c r="N1028" s="366"/>
      <c r="O1028" s="392" t="s">
        <v>5466</v>
      </c>
      <c r="P1028" s="402"/>
      <c r="Q1028" s="301" t="s">
        <v>87</v>
      </c>
      <c r="R1028" s="682" t="s">
        <v>5465</v>
      </c>
      <c r="S1028" s="279">
        <v>38105</v>
      </c>
      <c r="T1028" s="197"/>
      <c r="U1028" s="251" t="s">
        <v>468</v>
      </c>
      <c r="V1028" s="299" t="s">
        <v>5891</v>
      </c>
      <c r="W1028" s="197" t="s">
        <v>2871</v>
      </c>
      <c r="X1028" s="197" t="s">
        <v>2030</v>
      </c>
      <c r="Y1028" s="981" t="s">
        <v>5892</v>
      </c>
      <c r="Z1028" s="246">
        <v>45302</v>
      </c>
      <c r="AA1028" s="246"/>
      <c r="AB1028" s="296" t="s">
        <v>5467</v>
      </c>
      <c r="AC1028" s="223" t="s">
        <v>482</v>
      </c>
      <c r="AD1028" s="376"/>
      <c r="AE1028" s="494">
        <v>45261</v>
      </c>
      <c r="AF1028" s="494">
        <v>45626</v>
      </c>
      <c r="AG1028" s="241"/>
      <c r="AH1028" s="283"/>
      <c r="AI1028" s="307" t="s">
        <v>4208</v>
      </c>
      <c r="AJ1028" s="303" t="s">
        <v>136</v>
      </c>
      <c r="AK1028" s="241">
        <v>4</v>
      </c>
      <c r="AL1028" s="132" t="s">
        <v>489</v>
      </c>
      <c r="AM1028" s="132" t="s">
        <v>460</v>
      </c>
      <c r="AN1028" s="173"/>
      <c r="AO1028" s="151"/>
      <c r="AP1028" s="115"/>
      <c r="AQ1028" s="115"/>
      <c r="AR1028" s="115"/>
      <c r="AS1028" s="115"/>
      <c r="AT1028" s="115"/>
    </row>
    <row r="1029" spans="1:46" ht="39" customHeight="1" x14ac:dyDescent="0.25">
      <c r="A1029" s="1468">
        <v>1028</v>
      </c>
      <c r="B1029" s="117">
        <v>3</v>
      </c>
      <c r="C1029" s="356" t="s">
        <v>438</v>
      </c>
      <c r="D1029" s="282" t="s">
        <v>134</v>
      </c>
      <c r="E1029" s="282"/>
      <c r="F1029" s="282"/>
      <c r="G1029" s="447" t="s">
        <v>291</v>
      </c>
      <c r="H1029" s="262" t="s">
        <v>87</v>
      </c>
      <c r="I1029" s="357"/>
      <c r="J1029" s="245" t="s">
        <v>561</v>
      </c>
      <c r="K1029" s="288" t="s">
        <v>158</v>
      </c>
      <c r="L1029" s="299" t="s">
        <v>5800</v>
      </c>
      <c r="M1029" s="299" t="s">
        <v>5800</v>
      </c>
      <c r="N1029" s="245"/>
      <c r="O1029" s="392" t="s">
        <v>5804</v>
      </c>
      <c r="P1029" s="627"/>
      <c r="Q1029" s="594" t="s">
        <v>293</v>
      </c>
      <c r="R1029" s="682" t="s">
        <v>5803</v>
      </c>
      <c r="S1029" s="279">
        <v>37804</v>
      </c>
      <c r="T1029" s="289"/>
      <c r="U1029" s="250" t="s">
        <v>54</v>
      </c>
      <c r="V1029" s="197" t="s">
        <v>6226</v>
      </c>
      <c r="W1029" s="197" t="s">
        <v>295</v>
      </c>
      <c r="X1029" s="197" t="s">
        <v>475</v>
      </c>
      <c r="Y1029" s="1461" t="s">
        <v>6227</v>
      </c>
      <c r="Z1029" s="246">
        <v>45327</v>
      </c>
      <c r="AA1029" s="246"/>
      <c r="AB1029" s="250"/>
      <c r="AC1029" s="223"/>
      <c r="AD1029" s="245" t="s">
        <v>128</v>
      </c>
      <c r="AE1029" s="494"/>
      <c r="AF1029" s="494"/>
      <c r="AG1029" s="241"/>
      <c r="AH1029" s="253"/>
      <c r="AI1029" s="284" t="s">
        <v>1351</v>
      </c>
      <c r="AJ1029" s="303" t="s">
        <v>136</v>
      </c>
      <c r="AK1029" s="241">
        <v>4</v>
      </c>
      <c r="AL1029" s="132" t="s">
        <v>489</v>
      </c>
      <c r="AM1029" s="132" t="s">
        <v>460</v>
      </c>
      <c r="AN1029" s="179" t="s">
        <v>5766</v>
      </c>
      <c r="AO1029" s="151"/>
      <c r="AP1029" s="115"/>
      <c r="AQ1029" s="115"/>
      <c r="AR1029" s="115"/>
      <c r="AS1029" s="115"/>
      <c r="AT1029" s="115"/>
    </row>
    <row r="1030" spans="1:46" ht="39" customHeight="1" x14ac:dyDescent="0.3">
      <c r="A1030" s="1468">
        <v>1029</v>
      </c>
      <c r="B1030" s="159">
        <v>3</v>
      </c>
      <c r="C1030" s="549" t="s">
        <v>438</v>
      </c>
      <c r="D1030" s="481" t="s">
        <v>134</v>
      </c>
      <c r="E1030" s="481"/>
      <c r="F1030" s="481"/>
      <c r="G1030" s="527" t="s">
        <v>291</v>
      </c>
      <c r="H1030" s="1302" t="s">
        <v>87</v>
      </c>
      <c r="I1030" s="473"/>
      <c r="J1030" s="264" t="s">
        <v>561</v>
      </c>
      <c r="K1030" s="434"/>
      <c r="L1030" s="496" t="s">
        <v>1508</v>
      </c>
      <c r="M1030" s="496" t="s">
        <v>1708</v>
      </c>
      <c r="N1030" s="264"/>
      <c r="O1030" s="626" t="s">
        <v>2890</v>
      </c>
      <c r="P1030" s="1368"/>
      <c r="Q1030" s="802" t="s">
        <v>293</v>
      </c>
      <c r="R1030" s="572" t="s">
        <v>1598</v>
      </c>
      <c r="S1030" s="279">
        <v>38240</v>
      </c>
      <c r="T1030" s="440"/>
      <c r="U1030" s="251" t="s">
        <v>468</v>
      </c>
      <c r="V1030" s="197" t="s">
        <v>5727</v>
      </c>
      <c r="W1030" s="197" t="s">
        <v>2871</v>
      </c>
      <c r="X1030" s="197" t="s">
        <v>2030</v>
      </c>
      <c r="Y1030" s="1130" t="s">
        <v>5730</v>
      </c>
      <c r="Z1030" s="246">
        <v>45266</v>
      </c>
      <c r="AA1030" s="246">
        <v>45322</v>
      </c>
      <c r="AB1030" s="414" t="s">
        <v>4470</v>
      </c>
      <c r="AC1030" s="474" t="s">
        <v>946</v>
      </c>
      <c r="AD1030" s="264"/>
      <c r="AE1030" s="494">
        <v>45113</v>
      </c>
      <c r="AF1030" s="494">
        <v>45478</v>
      </c>
      <c r="AG1030" s="471"/>
      <c r="AH1030" s="803"/>
      <c r="AI1030" s="1353" t="s">
        <v>1351</v>
      </c>
      <c r="AJ1030" s="470" t="s">
        <v>136</v>
      </c>
      <c r="AK1030" s="471">
        <v>4</v>
      </c>
      <c r="AL1030" s="780" t="s">
        <v>489</v>
      </c>
      <c r="AM1030" s="780" t="s">
        <v>460</v>
      </c>
      <c r="AN1030" s="110" t="s">
        <v>5766</v>
      </c>
      <c r="AO1030" s="167"/>
      <c r="AP1030" s="115"/>
      <c r="AQ1030" s="115"/>
      <c r="AR1030" s="115"/>
      <c r="AS1030" s="115"/>
      <c r="AT1030" s="115"/>
    </row>
    <row r="1031" spans="1:46" ht="39" customHeight="1" x14ac:dyDescent="0.25">
      <c r="A1031" s="1468">
        <v>1030</v>
      </c>
      <c r="B1031" s="987"/>
      <c r="C1031" s="989"/>
      <c r="D1031" s="664"/>
      <c r="E1031" s="664"/>
      <c r="F1031" s="664"/>
      <c r="G1031" s="227"/>
      <c r="H1031" s="228"/>
      <c r="I1031" s="228"/>
      <c r="J1031" s="229"/>
      <c r="K1031" s="227"/>
      <c r="L1031" s="229"/>
      <c r="M1031" s="229"/>
      <c r="N1031" s="229"/>
      <c r="O1031" s="309"/>
      <c r="P1031" s="230" t="s">
        <v>439</v>
      </c>
      <c r="Q1031" s="726"/>
      <c r="R1031" s="1004"/>
      <c r="S1031" s="279"/>
      <c r="T1031" s="232"/>
      <c r="U1031" s="250"/>
      <c r="V1031" s="232"/>
      <c r="W1031" s="232"/>
      <c r="X1031" s="232"/>
      <c r="Y1031" s="232"/>
      <c r="Z1031" s="233"/>
      <c r="AA1031" s="234"/>
      <c r="AB1031" s="235"/>
      <c r="AC1031" s="236"/>
      <c r="AD1031" s="235"/>
      <c r="AE1031" s="494"/>
      <c r="AF1031" s="494"/>
      <c r="AG1031" s="664"/>
      <c r="AH1031" s="238"/>
      <c r="AI1031" s="239"/>
      <c r="AJ1031" s="576"/>
      <c r="AK1031" s="664"/>
      <c r="AL1031" s="113"/>
      <c r="AM1031" s="113"/>
      <c r="AN1031" s="163"/>
      <c r="AO1031" s="114"/>
      <c r="AP1031" s="115"/>
      <c r="AQ1031" s="115"/>
      <c r="AR1031" s="115"/>
      <c r="AS1031" s="115"/>
      <c r="AT1031" s="116"/>
    </row>
    <row r="1032" spans="1:46" ht="39" customHeight="1" x14ac:dyDescent="0.3">
      <c r="A1032" s="1468">
        <v>1031</v>
      </c>
      <c r="B1032" s="158">
        <v>5</v>
      </c>
      <c r="C1032" s="931" t="s">
        <v>440</v>
      </c>
      <c r="D1032" s="709"/>
      <c r="E1032" s="709" t="s">
        <v>47</v>
      </c>
      <c r="F1032" s="709"/>
      <c r="G1032" s="847" t="s">
        <v>441</v>
      </c>
      <c r="H1032" s="863" t="s">
        <v>132</v>
      </c>
      <c r="I1032" s="863"/>
      <c r="J1032" s="734">
        <v>403</v>
      </c>
      <c r="K1032" s="277"/>
      <c r="L1032" s="412" t="s">
        <v>1508</v>
      </c>
      <c r="M1032" s="412" t="s">
        <v>1708</v>
      </c>
      <c r="N1032" s="276"/>
      <c r="O1032" s="1361" t="s">
        <v>3107</v>
      </c>
      <c r="P1032" s="772"/>
      <c r="Q1032" s="1110" t="s">
        <v>293</v>
      </c>
      <c r="R1032" s="999" t="s">
        <v>1633</v>
      </c>
      <c r="S1032" s="279">
        <v>37815</v>
      </c>
      <c r="T1032" s="399"/>
      <c r="U1032" s="251" t="s">
        <v>468</v>
      </c>
      <c r="V1032" s="197" t="s">
        <v>5727</v>
      </c>
      <c r="W1032" s="197" t="s">
        <v>2871</v>
      </c>
      <c r="X1032" s="197" t="s">
        <v>2030</v>
      </c>
      <c r="Y1032" s="1130" t="s">
        <v>5730</v>
      </c>
      <c r="Z1032" s="246">
        <v>45266</v>
      </c>
      <c r="AA1032" s="246">
        <v>45322</v>
      </c>
      <c r="AB1032" s="1369" t="s">
        <v>4471</v>
      </c>
      <c r="AC1032" s="488" t="s">
        <v>946</v>
      </c>
      <c r="AD1032" s="276"/>
      <c r="AE1032" s="494">
        <v>45114</v>
      </c>
      <c r="AF1032" s="494">
        <v>45479</v>
      </c>
      <c r="AG1032" s="476"/>
      <c r="AH1032" s="871"/>
      <c r="AI1032" s="760" t="s">
        <v>1351</v>
      </c>
      <c r="AJ1032" s="507" t="s">
        <v>136</v>
      </c>
      <c r="AK1032" s="491">
        <v>3</v>
      </c>
      <c r="AL1032" s="874" t="s">
        <v>489</v>
      </c>
      <c r="AM1032" s="874" t="s">
        <v>460</v>
      </c>
      <c r="AN1032" s="138"/>
      <c r="AO1032" s="170"/>
      <c r="AP1032" s="115"/>
      <c r="AQ1032" s="115"/>
      <c r="AR1032" s="115"/>
      <c r="AS1032" s="115"/>
      <c r="AT1032" s="115"/>
    </row>
    <row r="1033" spans="1:46" ht="39" customHeight="1" x14ac:dyDescent="0.25">
      <c r="A1033" s="1468">
        <v>1032</v>
      </c>
      <c r="B1033" s="117">
        <v>3</v>
      </c>
      <c r="C1033" s="528" t="s">
        <v>931</v>
      </c>
      <c r="D1033" s="282"/>
      <c r="E1033" s="282"/>
      <c r="F1033" s="282"/>
      <c r="G1033" s="447" t="s">
        <v>442</v>
      </c>
      <c r="H1033" s="262" t="s">
        <v>85</v>
      </c>
      <c r="I1033" s="357"/>
      <c r="J1033" s="245" t="s">
        <v>556</v>
      </c>
      <c r="K1033" s="288"/>
      <c r="L1033" s="299" t="s">
        <v>5415</v>
      </c>
      <c r="M1033" s="288" t="s">
        <v>5415</v>
      </c>
      <c r="N1033" s="245"/>
      <c r="O1033" s="392" t="s">
        <v>5469</v>
      </c>
      <c r="P1033" s="627"/>
      <c r="Q1033" s="594" t="s">
        <v>87</v>
      </c>
      <c r="R1033" s="682" t="s">
        <v>5468</v>
      </c>
      <c r="S1033" s="279">
        <v>37954</v>
      </c>
      <c r="T1033" s="289"/>
      <c r="U1033" s="251" t="s">
        <v>468</v>
      </c>
      <c r="V1033" s="299" t="s">
        <v>5891</v>
      </c>
      <c r="W1033" s="197" t="s">
        <v>2871</v>
      </c>
      <c r="X1033" s="197" t="s">
        <v>2030</v>
      </c>
      <c r="Y1033" s="981" t="s">
        <v>5892</v>
      </c>
      <c r="Z1033" s="246">
        <v>45302</v>
      </c>
      <c r="AA1033" s="246"/>
      <c r="AB1033" s="197" t="s">
        <v>4892</v>
      </c>
      <c r="AC1033" s="223" t="s">
        <v>482</v>
      </c>
      <c r="AD1033" s="245"/>
      <c r="AE1033" s="494">
        <v>45261</v>
      </c>
      <c r="AF1033" s="494">
        <v>45626</v>
      </c>
      <c r="AG1033" s="241"/>
      <c r="AH1033" s="253"/>
      <c r="AI1033" s="307" t="s">
        <v>4208</v>
      </c>
      <c r="AJ1033" s="303" t="s">
        <v>136</v>
      </c>
      <c r="AK1033" s="241">
        <v>4</v>
      </c>
      <c r="AL1033" s="132" t="s">
        <v>489</v>
      </c>
      <c r="AM1033" s="132" t="s">
        <v>460</v>
      </c>
      <c r="AN1033" s="183"/>
      <c r="AO1033" s="151"/>
      <c r="AP1033" s="115"/>
      <c r="AQ1033" s="115"/>
      <c r="AR1033" s="115"/>
      <c r="AS1033" s="115"/>
      <c r="AT1033" s="115"/>
    </row>
    <row r="1034" spans="1:46" ht="39" customHeight="1" x14ac:dyDescent="0.25">
      <c r="A1034" s="1468">
        <v>1033</v>
      </c>
      <c r="B1034" s="159">
        <v>2</v>
      </c>
      <c r="C1034" s="504" t="s">
        <v>443</v>
      </c>
      <c r="D1034" s="481"/>
      <c r="E1034" s="481"/>
      <c r="F1034" s="481"/>
      <c r="G1034" s="527" t="s">
        <v>354</v>
      </c>
      <c r="H1034" s="1302" t="s">
        <v>87</v>
      </c>
      <c r="I1034" s="473"/>
      <c r="J1034" s="264" t="s">
        <v>561</v>
      </c>
      <c r="K1034" s="265"/>
      <c r="L1034" s="299" t="s">
        <v>5415</v>
      </c>
      <c r="M1034" s="288" t="s">
        <v>5415</v>
      </c>
      <c r="N1034" s="264"/>
      <c r="O1034" s="1414" t="s">
        <v>5472</v>
      </c>
      <c r="P1034" s="1363"/>
      <c r="Q1034" s="1414" t="s">
        <v>87</v>
      </c>
      <c r="R1034" s="1201" t="s">
        <v>5470</v>
      </c>
      <c r="S1034" s="279">
        <v>38216</v>
      </c>
      <c r="T1034" s="440"/>
      <c r="U1034" s="251" t="s">
        <v>468</v>
      </c>
      <c r="V1034" s="299" t="s">
        <v>5891</v>
      </c>
      <c r="W1034" s="197" t="s">
        <v>2871</v>
      </c>
      <c r="X1034" s="197" t="s">
        <v>2030</v>
      </c>
      <c r="Y1034" s="981" t="s">
        <v>5892</v>
      </c>
      <c r="Z1034" s="246">
        <v>45302</v>
      </c>
      <c r="AA1034" s="246"/>
      <c r="AB1034" s="197" t="s">
        <v>5474</v>
      </c>
      <c r="AC1034" s="223" t="s">
        <v>482</v>
      </c>
      <c r="AD1034" s="264"/>
      <c r="AE1034" s="494">
        <v>45261</v>
      </c>
      <c r="AF1034" s="494">
        <v>45626</v>
      </c>
      <c r="AG1034" s="471"/>
      <c r="AH1034" s="803"/>
      <c r="AI1034" s="307" t="s">
        <v>4208</v>
      </c>
      <c r="AJ1034" s="303" t="s">
        <v>136</v>
      </c>
      <c r="AK1034" s="471">
        <v>4</v>
      </c>
      <c r="AL1034" s="780" t="s">
        <v>489</v>
      </c>
      <c r="AM1034" s="780" t="s">
        <v>460</v>
      </c>
      <c r="AN1034" s="151" t="s">
        <v>5764</v>
      </c>
      <c r="AO1034" s="167"/>
      <c r="AP1034" s="115"/>
      <c r="AQ1034" s="115"/>
      <c r="AR1034" s="115"/>
      <c r="AS1034" s="115"/>
      <c r="AT1034" s="115"/>
    </row>
    <row r="1035" spans="1:46" ht="39" customHeight="1" x14ac:dyDescent="0.25">
      <c r="A1035" s="1468">
        <v>1034</v>
      </c>
      <c r="B1035" s="987"/>
      <c r="C1035" s="989"/>
      <c r="D1035" s="664"/>
      <c r="E1035" s="664"/>
      <c r="F1035" s="664"/>
      <c r="G1035" s="227"/>
      <c r="H1035" s="228"/>
      <c r="I1035" s="228"/>
      <c r="J1035" s="229"/>
      <c r="K1035" s="227"/>
      <c r="L1035" s="229"/>
      <c r="M1035" s="229"/>
      <c r="N1035" s="229"/>
      <c r="O1035" s="309"/>
      <c r="P1035" s="230" t="s">
        <v>444</v>
      </c>
      <c r="Q1035" s="726"/>
      <c r="R1035" s="1004"/>
      <c r="S1035" s="279"/>
      <c r="T1035" s="232"/>
      <c r="U1035" s="250"/>
      <c r="V1035" s="232"/>
      <c r="W1035" s="232"/>
      <c r="X1035" s="232"/>
      <c r="Y1035" s="232"/>
      <c r="Z1035" s="233"/>
      <c r="AA1035" s="234"/>
      <c r="AB1035" s="235"/>
      <c r="AC1035" s="236"/>
      <c r="AD1035" s="235"/>
      <c r="AE1035" s="494"/>
      <c r="AF1035" s="494"/>
      <c r="AG1035" s="664"/>
      <c r="AH1035" s="238"/>
      <c r="AI1035" s="239"/>
      <c r="AJ1035" s="576"/>
      <c r="AK1035" s="664"/>
      <c r="AL1035" s="113"/>
      <c r="AM1035" s="113"/>
      <c r="AN1035" s="163"/>
      <c r="AO1035" s="114"/>
      <c r="AP1035" s="115"/>
      <c r="AQ1035" s="115"/>
      <c r="AR1035" s="115"/>
      <c r="AS1035" s="115"/>
      <c r="AT1035" s="116"/>
    </row>
    <row r="1036" spans="1:46" ht="39" customHeight="1" x14ac:dyDescent="0.3">
      <c r="A1036" s="1468">
        <v>1035</v>
      </c>
      <c r="B1036" s="184">
        <v>5</v>
      </c>
      <c r="C1036" s="934" t="s">
        <v>367</v>
      </c>
      <c r="D1036" s="865"/>
      <c r="E1036" s="498" t="s">
        <v>47</v>
      </c>
      <c r="F1036" s="498"/>
      <c r="G1036" s="499" t="s">
        <v>445</v>
      </c>
      <c r="H1036" s="500" t="s">
        <v>132</v>
      </c>
      <c r="I1036" s="479"/>
      <c r="J1036" s="734">
        <v>403</v>
      </c>
      <c r="K1036" s="280"/>
      <c r="L1036" s="412" t="s">
        <v>1508</v>
      </c>
      <c r="M1036" s="412" t="s">
        <v>1708</v>
      </c>
      <c r="N1036" s="276"/>
      <c r="O1036" s="1361" t="s">
        <v>3104</v>
      </c>
      <c r="P1036" s="772"/>
      <c r="Q1036" s="1110" t="s">
        <v>293</v>
      </c>
      <c r="R1036" s="999" t="s">
        <v>1632</v>
      </c>
      <c r="S1036" s="279">
        <v>38165</v>
      </c>
      <c r="T1036" s="399"/>
      <c r="U1036" s="251" t="s">
        <v>468</v>
      </c>
      <c r="V1036" s="197" t="s">
        <v>5727</v>
      </c>
      <c r="W1036" s="197" t="s">
        <v>2871</v>
      </c>
      <c r="X1036" s="197" t="s">
        <v>2030</v>
      </c>
      <c r="Y1036" s="1130" t="s">
        <v>5730</v>
      </c>
      <c r="Z1036" s="246">
        <v>45266</v>
      </c>
      <c r="AA1036" s="246">
        <v>45322</v>
      </c>
      <c r="AB1036" s="1241" t="s">
        <v>4472</v>
      </c>
      <c r="AC1036" s="488" t="s">
        <v>946</v>
      </c>
      <c r="AD1036" s="276"/>
      <c r="AE1036" s="494">
        <v>45114</v>
      </c>
      <c r="AF1036" s="494">
        <v>45479</v>
      </c>
      <c r="AG1036" s="476"/>
      <c r="AH1036" s="871"/>
      <c r="AI1036" s="760" t="s">
        <v>1351</v>
      </c>
      <c r="AJ1036" s="507" t="s">
        <v>136</v>
      </c>
      <c r="AK1036" s="491">
        <v>3</v>
      </c>
      <c r="AL1036" s="874" t="s">
        <v>489</v>
      </c>
      <c r="AM1036" s="874" t="s">
        <v>460</v>
      </c>
      <c r="AN1036" s="483" t="s">
        <v>5791</v>
      </c>
      <c r="AO1036" s="170"/>
      <c r="AP1036" s="115"/>
      <c r="AQ1036" s="115"/>
      <c r="AR1036" s="115"/>
      <c r="AS1036" s="115"/>
      <c r="AT1036" s="115"/>
    </row>
    <row r="1037" spans="1:46" ht="39" customHeight="1" x14ac:dyDescent="0.25">
      <c r="A1037" s="1468">
        <v>1036</v>
      </c>
      <c r="B1037" s="117">
        <v>2</v>
      </c>
      <c r="C1037" s="501" t="s">
        <v>353</v>
      </c>
      <c r="D1037" s="282"/>
      <c r="E1037" s="282"/>
      <c r="F1037" s="282"/>
      <c r="G1037" s="447" t="s">
        <v>354</v>
      </c>
      <c r="H1037" s="262" t="s">
        <v>87</v>
      </c>
      <c r="I1037" s="357"/>
      <c r="J1037" s="245" t="s">
        <v>561</v>
      </c>
      <c r="K1037" s="216"/>
      <c r="L1037" s="299" t="s">
        <v>1508</v>
      </c>
      <c r="M1037" s="299" t="s">
        <v>1708</v>
      </c>
      <c r="N1037" s="245"/>
      <c r="O1037" s="392" t="s">
        <v>3040</v>
      </c>
      <c r="P1037" s="627"/>
      <c r="Q1037" s="594" t="s">
        <v>293</v>
      </c>
      <c r="R1037" s="381" t="s">
        <v>1657</v>
      </c>
      <c r="S1037" s="279">
        <v>38333</v>
      </c>
      <c r="T1037" s="289"/>
      <c r="U1037" s="251" t="s">
        <v>468</v>
      </c>
      <c r="V1037" s="299" t="s">
        <v>5891</v>
      </c>
      <c r="W1037" s="197" t="s">
        <v>2871</v>
      </c>
      <c r="X1037" s="197" t="s">
        <v>2030</v>
      </c>
      <c r="Y1037" s="981" t="s">
        <v>5892</v>
      </c>
      <c r="Z1037" s="246">
        <v>45302</v>
      </c>
      <c r="AA1037" s="246">
        <v>45291</v>
      </c>
      <c r="AB1037" s="288" t="s">
        <v>4473</v>
      </c>
      <c r="AC1037" s="223" t="s">
        <v>482</v>
      </c>
      <c r="AD1037" s="245"/>
      <c r="AE1037" s="494">
        <v>45114</v>
      </c>
      <c r="AF1037" s="494">
        <v>45479</v>
      </c>
      <c r="AG1037" s="241"/>
      <c r="AH1037" s="253"/>
      <c r="AI1037" s="284" t="s">
        <v>1351</v>
      </c>
      <c r="AJ1037" s="303" t="s">
        <v>136</v>
      </c>
      <c r="AK1037" s="241">
        <v>4</v>
      </c>
      <c r="AL1037" s="132" t="s">
        <v>489</v>
      </c>
      <c r="AM1037" s="132" t="s">
        <v>460</v>
      </c>
      <c r="AN1037" s="151" t="s">
        <v>5764</v>
      </c>
      <c r="AO1037" s="151"/>
      <c r="AP1037" s="115"/>
      <c r="AQ1037" s="115"/>
      <c r="AR1037" s="115"/>
      <c r="AS1037" s="115"/>
      <c r="AT1037" s="115"/>
    </row>
    <row r="1038" spans="1:46" ht="39" customHeight="1" x14ac:dyDescent="0.3">
      <c r="A1038" s="1468">
        <v>1037</v>
      </c>
      <c r="B1038" s="117">
        <v>2</v>
      </c>
      <c r="C1038" s="501" t="s">
        <v>353</v>
      </c>
      <c r="D1038" s="282"/>
      <c r="E1038" s="282"/>
      <c r="F1038" s="282"/>
      <c r="G1038" s="447" t="s">
        <v>354</v>
      </c>
      <c r="H1038" s="262" t="s">
        <v>87</v>
      </c>
      <c r="I1038" s="357"/>
      <c r="J1038" s="245" t="s">
        <v>561</v>
      </c>
      <c r="K1038" s="216"/>
      <c r="L1038" s="299" t="s">
        <v>1508</v>
      </c>
      <c r="M1038" s="299" t="s">
        <v>1708</v>
      </c>
      <c r="N1038" s="245"/>
      <c r="O1038" s="392" t="s">
        <v>3064</v>
      </c>
      <c r="P1038" s="627"/>
      <c r="Q1038" s="594" t="s">
        <v>293</v>
      </c>
      <c r="R1038" s="381" t="s">
        <v>6222</v>
      </c>
      <c r="S1038" s="279">
        <v>37918</v>
      </c>
      <c r="T1038" s="289" t="s">
        <v>5921</v>
      </c>
      <c r="U1038" s="251" t="s">
        <v>468</v>
      </c>
      <c r="V1038" s="197" t="s">
        <v>5727</v>
      </c>
      <c r="W1038" s="197" t="s">
        <v>2871</v>
      </c>
      <c r="X1038" s="197" t="s">
        <v>2030</v>
      </c>
      <c r="Y1038" s="1130" t="s">
        <v>5730</v>
      </c>
      <c r="Z1038" s="246">
        <v>45266</v>
      </c>
      <c r="AA1038" s="246">
        <v>45322</v>
      </c>
      <c r="AB1038" s="250" t="s">
        <v>4474</v>
      </c>
      <c r="AC1038" s="223" t="s">
        <v>482</v>
      </c>
      <c r="AD1038" s="245"/>
      <c r="AE1038" s="494">
        <v>45114</v>
      </c>
      <c r="AF1038" s="494">
        <v>45479</v>
      </c>
      <c r="AG1038" s="241"/>
      <c r="AH1038" s="253"/>
      <c r="AI1038" s="284" t="s">
        <v>1351</v>
      </c>
      <c r="AJ1038" s="303" t="s">
        <v>136</v>
      </c>
      <c r="AK1038" s="241">
        <v>4</v>
      </c>
      <c r="AL1038" s="132" t="s">
        <v>489</v>
      </c>
      <c r="AM1038" s="132" t="s">
        <v>460</v>
      </c>
      <c r="AN1038" s="151" t="s">
        <v>5764</v>
      </c>
      <c r="AO1038" s="151"/>
      <c r="AP1038" s="115"/>
      <c r="AQ1038" s="115"/>
      <c r="AR1038" s="115"/>
      <c r="AS1038" s="115"/>
      <c r="AT1038" s="115"/>
    </row>
    <row r="1039" spans="1:46" ht="39" customHeight="1" x14ac:dyDescent="0.25">
      <c r="A1039" s="1468">
        <v>1038</v>
      </c>
      <c r="B1039" s="117">
        <v>2</v>
      </c>
      <c r="C1039" s="501" t="s">
        <v>353</v>
      </c>
      <c r="D1039" s="282"/>
      <c r="E1039" s="282"/>
      <c r="F1039" s="282"/>
      <c r="G1039" s="447" t="s">
        <v>354</v>
      </c>
      <c r="H1039" s="262" t="s">
        <v>87</v>
      </c>
      <c r="I1039" s="357"/>
      <c r="J1039" s="245" t="s">
        <v>561</v>
      </c>
      <c r="K1039" s="197"/>
      <c r="L1039" s="299" t="s">
        <v>1508</v>
      </c>
      <c r="M1039" s="299" t="s">
        <v>1708</v>
      </c>
      <c r="N1039" s="245"/>
      <c r="O1039" s="392" t="s">
        <v>3033</v>
      </c>
      <c r="P1039" s="627"/>
      <c r="Q1039" s="594" t="s">
        <v>293</v>
      </c>
      <c r="R1039" s="381" t="s">
        <v>1656</v>
      </c>
      <c r="S1039" s="279">
        <v>38310</v>
      </c>
      <c r="T1039" s="289"/>
      <c r="U1039" s="251" t="s">
        <v>468</v>
      </c>
      <c r="V1039" s="245" t="s">
        <v>6226</v>
      </c>
      <c r="W1039" s="197" t="s">
        <v>2871</v>
      </c>
      <c r="X1039" s="197" t="s">
        <v>2030</v>
      </c>
      <c r="Y1039" s="981" t="s">
        <v>6233</v>
      </c>
      <c r="Z1039" s="246">
        <v>45328</v>
      </c>
      <c r="AA1039" s="246">
        <v>45337</v>
      </c>
      <c r="AB1039" s="288" t="s">
        <v>4475</v>
      </c>
      <c r="AC1039" s="223" t="s">
        <v>482</v>
      </c>
      <c r="AD1039" s="245"/>
      <c r="AE1039" s="494">
        <v>45114</v>
      </c>
      <c r="AF1039" s="494">
        <v>45479</v>
      </c>
      <c r="AG1039" s="241"/>
      <c r="AH1039" s="253"/>
      <c r="AI1039" s="284" t="s">
        <v>1351</v>
      </c>
      <c r="AJ1039" s="303" t="s">
        <v>136</v>
      </c>
      <c r="AK1039" s="241">
        <v>4</v>
      </c>
      <c r="AL1039" s="132" t="s">
        <v>489</v>
      </c>
      <c r="AM1039" s="132" t="s">
        <v>460</v>
      </c>
      <c r="AN1039" s="151" t="s">
        <v>5764</v>
      </c>
      <c r="AO1039" s="151"/>
      <c r="AP1039" s="115"/>
      <c r="AQ1039" s="115"/>
      <c r="AR1039" s="115"/>
      <c r="AS1039" s="115"/>
      <c r="AT1039" s="115"/>
    </row>
    <row r="1040" spans="1:46" ht="39" customHeight="1" x14ac:dyDescent="0.3">
      <c r="A1040" s="1468">
        <v>1039</v>
      </c>
      <c r="B1040" s="161">
        <v>2</v>
      </c>
      <c r="C1040" s="501" t="s">
        <v>446</v>
      </c>
      <c r="D1040" s="282"/>
      <c r="E1040" s="282"/>
      <c r="F1040" s="282"/>
      <c r="G1040" s="447" t="s">
        <v>354</v>
      </c>
      <c r="H1040" s="262" t="s">
        <v>87</v>
      </c>
      <c r="I1040" s="364"/>
      <c r="J1040" s="245" t="s">
        <v>561</v>
      </c>
      <c r="K1040" s="216"/>
      <c r="L1040" s="299" t="s">
        <v>1508</v>
      </c>
      <c r="M1040" s="299" t="s">
        <v>1708</v>
      </c>
      <c r="N1040" s="245"/>
      <c r="O1040" s="392" t="s">
        <v>2927</v>
      </c>
      <c r="P1040" s="627"/>
      <c r="Q1040" s="301" t="s">
        <v>293</v>
      </c>
      <c r="R1040" s="683" t="s">
        <v>1648</v>
      </c>
      <c r="S1040" s="279">
        <v>37483</v>
      </c>
      <c r="T1040" s="289" t="s">
        <v>5922</v>
      </c>
      <c r="U1040" s="251" t="s">
        <v>468</v>
      </c>
      <c r="V1040" s="197" t="s">
        <v>5727</v>
      </c>
      <c r="W1040" s="197" t="s">
        <v>2871</v>
      </c>
      <c r="X1040" s="197" t="s">
        <v>2030</v>
      </c>
      <c r="Y1040" s="1130" t="s">
        <v>5730</v>
      </c>
      <c r="Z1040" s="246">
        <v>45266</v>
      </c>
      <c r="AA1040" s="246">
        <v>45322</v>
      </c>
      <c r="AB1040" s="288" t="s">
        <v>4476</v>
      </c>
      <c r="AC1040" s="223" t="s">
        <v>482</v>
      </c>
      <c r="AD1040" s="245"/>
      <c r="AE1040" s="494">
        <v>45114</v>
      </c>
      <c r="AF1040" s="494">
        <v>45479</v>
      </c>
      <c r="AG1040" s="241"/>
      <c r="AH1040" s="253"/>
      <c r="AI1040" s="284" t="s">
        <v>1351</v>
      </c>
      <c r="AJ1040" s="303" t="s">
        <v>136</v>
      </c>
      <c r="AK1040" s="241">
        <v>4</v>
      </c>
      <c r="AL1040" s="132" t="s">
        <v>489</v>
      </c>
      <c r="AM1040" s="132" t="s">
        <v>460</v>
      </c>
      <c r="AN1040" s="151" t="s">
        <v>5764</v>
      </c>
      <c r="AO1040" s="151"/>
      <c r="AP1040" s="115"/>
      <c r="AQ1040" s="115"/>
      <c r="AR1040" s="115"/>
      <c r="AS1040" s="115"/>
      <c r="AT1040" s="115"/>
    </row>
    <row r="1041" spans="1:46" ht="39" customHeight="1" x14ac:dyDescent="0.25">
      <c r="A1041" s="1468">
        <v>1040</v>
      </c>
      <c r="B1041" s="117">
        <v>2</v>
      </c>
      <c r="C1041" s="504" t="s">
        <v>360</v>
      </c>
      <c r="D1041" s="481"/>
      <c r="E1041" s="481"/>
      <c r="F1041" s="481"/>
      <c r="G1041" s="472" t="s">
        <v>354</v>
      </c>
      <c r="H1041" s="1302" t="s">
        <v>87</v>
      </c>
      <c r="I1041" s="473"/>
      <c r="J1041" s="264" t="s">
        <v>561</v>
      </c>
      <c r="K1041" s="394"/>
      <c r="L1041" s="496" t="s">
        <v>1508</v>
      </c>
      <c r="M1041" s="496" t="s">
        <v>1708</v>
      </c>
      <c r="N1041" s="264"/>
      <c r="O1041" s="626" t="s">
        <v>3160</v>
      </c>
      <c r="P1041" s="1363"/>
      <c r="Q1041" s="802" t="s">
        <v>293</v>
      </c>
      <c r="R1041" s="572" t="s">
        <v>1662</v>
      </c>
      <c r="S1041" s="279">
        <v>38357</v>
      </c>
      <c r="T1041" s="440" t="s">
        <v>5921</v>
      </c>
      <c r="U1041" s="251" t="s">
        <v>468</v>
      </c>
      <c r="V1041" s="245" t="s">
        <v>5393</v>
      </c>
      <c r="W1041" s="250" t="s">
        <v>3509</v>
      </c>
      <c r="X1041" s="197" t="s">
        <v>2030</v>
      </c>
      <c r="Y1041" s="245" t="s">
        <v>5394</v>
      </c>
      <c r="Z1041" s="246">
        <v>45264</v>
      </c>
      <c r="AA1041" s="246">
        <v>45275</v>
      </c>
      <c r="AB1041" s="414" t="s">
        <v>4477</v>
      </c>
      <c r="AC1041" s="474" t="s">
        <v>482</v>
      </c>
      <c r="AD1041" s="264"/>
      <c r="AE1041" s="494">
        <v>45114</v>
      </c>
      <c r="AF1041" s="494">
        <v>45479</v>
      </c>
      <c r="AG1041" s="471"/>
      <c r="AH1041" s="803"/>
      <c r="AI1041" s="1353" t="s">
        <v>1351</v>
      </c>
      <c r="AJ1041" s="470" t="s">
        <v>136</v>
      </c>
      <c r="AK1041" s="471">
        <v>4</v>
      </c>
      <c r="AL1041" s="780" t="s">
        <v>489</v>
      </c>
      <c r="AM1041" s="780" t="s">
        <v>460</v>
      </c>
      <c r="AN1041" s="151" t="s">
        <v>5764</v>
      </c>
      <c r="AO1041" s="167"/>
      <c r="AP1041" s="115"/>
      <c r="AQ1041" s="115"/>
      <c r="AR1041" s="115"/>
      <c r="AS1041" s="115"/>
      <c r="AT1041" s="115"/>
    </row>
    <row r="1042" spans="1:46" ht="39" customHeight="1" x14ac:dyDescent="0.25">
      <c r="A1042" s="1468">
        <v>1041</v>
      </c>
      <c r="B1042" s="987"/>
      <c r="C1042" s="989"/>
      <c r="D1042" s="664"/>
      <c r="E1042" s="664"/>
      <c r="F1042" s="664"/>
      <c r="G1042" s="227"/>
      <c r="H1042" s="228"/>
      <c r="I1042" s="228"/>
      <c r="J1042" s="229"/>
      <c r="K1042" s="227"/>
      <c r="L1042" s="229"/>
      <c r="M1042" s="229"/>
      <c r="N1042" s="229"/>
      <c r="O1042" s="309"/>
      <c r="P1042" s="230" t="s">
        <v>447</v>
      </c>
      <c r="Q1042" s="726"/>
      <c r="R1042" s="1004"/>
      <c r="S1042" s="279"/>
      <c r="T1042" s="232"/>
      <c r="U1042" s="250"/>
      <c r="V1042" s="232"/>
      <c r="W1042" s="232"/>
      <c r="X1042" s="232"/>
      <c r="Y1042" s="232"/>
      <c r="Z1042" s="233"/>
      <c r="AA1042" s="234"/>
      <c r="AB1042" s="235"/>
      <c r="AC1042" s="236"/>
      <c r="AD1042" s="235"/>
      <c r="AE1042" s="494"/>
      <c r="AF1042" s="494"/>
      <c r="AG1042" s="664"/>
      <c r="AH1042" s="238"/>
      <c r="AI1042" s="239"/>
      <c r="AJ1042" s="576"/>
      <c r="AK1042" s="664"/>
      <c r="AL1042" s="113"/>
      <c r="AM1042" s="113"/>
      <c r="AN1042" s="163"/>
      <c r="AO1042" s="114"/>
      <c r="AP1042" s="115"/>
      <c r="AQ1042" s="115"/>
      <c r="AR1042" s="115"/>
      <c r="AS1042" s="115"/>
      <c r="AT1042" s="116"/>
    </row>
    <row r="1043" spans="1:46" ht="39" customHeight="1" x14ac:dyDescent="0.3">
      <c r="A1043" s="1468">
        <v>1042</v>
      </c>
      <c r="B1043" s="184">
        <v>5</v>
      </c>
      <c r="C1043" s="934" t="s">
        <v>367</v>
      </c>
      <c r="D1043" s="865"/>
      <c r="E1043" s="498" t="s">
        <v>47</v>
      </c>
      <c r="F1043" s="498"/>
      <c r="G1043" s="499" t="s">
        <v>445</v>
      </c>
      <c r="H1043" s="500" t="s">
        <v>132</v>
      </c>
      <c r="I1043" s="479"/>
      <c r="J1043" s="734">
        <v>403</v>
      </c>
      <c r="K1043" s="280"/>
      <c r="L1043" s="412" t="s">
        <v>1508</v>
      </c>
      <c r="M1043" s="412" t="s">
        <v>1708</v>
      </c>
      <c r="N1043" s="276"/>
      <c r="O1043" s="1361" t="s">
        <v>3139</v>
      </c>
      <c r="P1043" s="772"/>
      <c r="Q1043" s="1110" t="s">
        <v>293</v>
      </c>
      <c r="R1043" s="999" t="s">
        <v>4479</v>
      </c>
      <c r="S1043" s="279">
        <v>38062</v>
      </c>
      <c r="T1043" s="399"/>
      <c r="U1043" s="251" t="s">
        <v>54</v>
      </c>
      <c r="V1043" s="197"/>
      <c r="W1043" s="250" t="s">
        <v>295</v>
      </c>
      <c r="X1043" s="197"/>
      <c r="Y1043" s="1130"/>
      <c r="Z1043" s="246">
        <v>45290</v>
      </c>
      <c r="AA1043" s="246"/>
      <c r="AB1043" s="1241" t="s">
        <v>4478</v>
      </c>
      <c r="AC1043" s="488" t="s">
        <v>946</v>
      </c>
      <c r="AD1043" s="276"/>
      <c r="AE1043" s="494">
        <v>45114</v>
      </c>
      <c r="AF1043" s="494">
        <v>45479</v>
      </c>
      <c r="AG1043" s="476"/>
      <c r="AH1043" s="871"/>
      <c r="AI1043" s="760" t="s">
        <v>1351</v>
      </c>
      <c r="AJ1043" s="507" t="s">
        <v>136</v>
      </c>
      <c r="AK1043" s="491">
        <v>3</v>
      </c>
      <c r="AL1043" s="874" t="s">
        <v>489</v>
      </c>
      <c r="AM1043" s="874" t="s">
        <v>460</v>
      </c>
      <c r="AN1043" s="483" t="s">
        <v>5791</v>
      </c>
      <c r="AO1043" s="170"/>
      <c r="AP1043" s="115"/>
      <c r="AQ1043" s="115"/>
      <c r="AR1043" s="115"/>
      <c r="AS1043" s="115"/>
      <c r="AT1043" s="115"/>
    </row>
    <row r="1044" spans="1:46" ht="39" customHeight="1" x14ac:dyDescent="0.3">
      <c r="A1044" s="1468">
        <v>1043</v>
      </c>
      <c r="B1044" s="117">
        <v>2</v>
      </c>
      <c r="C1044" s="501" t="s">
        <v>353</v>
      </c>
      <c r="D1044" s="282"/>
      <c r="E1044" s="282"/>
      <c r="F1044" s="282"/>
      <c r="G1044" s="447" t="s">
        <v>354</v>
      </c>
      <c r="H1044" s="262" t="s">
        <v>87</v>
      </c>
      <c r="I1044" s="357"/>
      <c r="J1044" s="245" t="s">
        <v>561</v>
      </c>
      <c r="K1044" s="257"/>
      <c r="L1044" s="299" t="s">
        <v>1508</v>
      </c>
      <c r="M1044" s="299" t="s">
        <v>1708</v>
      </c>
      <c r="N1044" s="245"/>
      <c r="O1044" s="392" t="s">
        <v>2961</v>
      </c>
      <c r="P1044" s="627"/>
      <c r="Q1044" s="594" t="s">
        <v>293</v>
      </c>
      <c r="R1044" s="381" t="s">
        <v>1611</v>
      </c>
      <c r="S1044" s="279">
        <v>37411</v>
      </c>
      <c r="T1044" s="289"/>
      <c r="U1044" s="251" t="s">
        <v>468</v>
      </c>
      <c r="V1044" s="197" t="s">
        <v>5727</v>
      </c>
      <c r="W1044" s="197" t="s">
        <v>2871</v>
      </c>
      <c r="X1044" s="197" t="s">
        <v>2030</v>
      </c>
      <c r="Y1044" s="1130" t="s">
        <v>5730</v>
      </c>
      <c r="Z1044" s="246">
        <v>45266</v>
      </c>
      <c r="AA1044" s="246">
        <v>45322</v>
      </c>
      <c r="AB1044" s="250" t="s">
        <v>4431</v>
      </c>
      <c r="AC1044" s="223" t="s">
        <v>946</v>
      </c>
      <c r="AD1044" s="245"/>
      <c r="AE1044" s="494">
        <v>45112</v>
      </c>
      <c r="AF1044" s="494">
        <v>45477</v>
      </c>
      <c r="AG1044" s="241"/>
      <c r="AH1044" s="253"/>
      <c r="AI1044" s="284" t="s">
        <v>1351</v>
      </c>
      <c r="AJ1044" s="303" t="s">
        <v>136</v>
      </c>
      <c r="AK1044" s="241">
        <v>4</v>
      </c>
      <c r="AL1044" s="132" t="s">
        <v>489</v>
      </c>
      <c r="AM1044" s="132" t="s">
        <v>460</v>
      </c>
      <c r="AN1044" s="173" t="s">
        <v>5767</v>
      </c>
      <c r="AO1044" s="151"/>
      <c r="AP1044" s="115"/>
      <c r="AQ1044" s="115"/>
      <c r="AR1044" s="115"/>
      <c r="AS1044" s="115"/>
      <c r="AT1044" s="115"/>
    </row>
    <row r="1045" spans="1:46" ht="39" customHeight="1" x14ac:dyDescent="0.25">
      <c r="A1045" s="1468">
        <v>1044</v>
      </c>
      <c r="B1045" s="117">
        <v>2</v>
      </c>
      <c r="C1045" s="501" t="s">
        <v>353</v>
      </c>
      <c r="D1045" s="282"/>
      <c r="E1045" s="282"/>
      <c r="F1045" s="282"/>
      <c r="G1045" s="447" t="s">
        <v>354</v>
      </c>
      <c r="H1045" s="262" t="s">
        <v>87</v>
      </c>
      <c r="I1045" s="357"/>
      <c r="J1045" s="245" t="s">
        <v>561</v>
      </c>
      <c r="K1045" s="216"/>
      <c r="L1045" s="299" t="s">
        <v>5415</v>
      </c>
      <c r="M1045" s="288" t="s">
        <v>5415</v>
      </c>
      <c r="N1045" s="289"/>
      <c r="O1045" s="1414" t="s">
        <v>5473</v>
      </c>
      <c r="P1045" s="325"/>
      <c r="Q1045" s="1414" t="s">
        <v>87</v>
      </c>
      <c r="R1045" s="1201" t="s">
        <v>5471</v>
      </c>
      <c r="S1045" s="279">
        <v>38049</v>
      </c>
      <c r="T1045" s="289"/>
      <c r="U1045" s="251" t="s">
        <v>468</v>
      </c>
      <c r="V1045" s="299" t="s">
        <v>5891</v>
      </c>
      <c r="W1045" s="197" t="s">
        <v>2871</v>
      </c>
      <c r="X1045" s="197" t="s">
        <v>2030</v>
      </c>
      <c r="Y1045" s="981" t="s">
        <v>5892</v>
      </c>
      <c r="Z1045" s="246">
        <v>45302</v>
      </c>
      <c r="AA1045" s="252"/>
      <c r="AB1045" s="281" t="s">
        <v>5475</v>
      </c>
      <c r="AC1045" s="223" t="s">
        <v>482</v>
      </c>
      <c r="AD1045" s="365"/>
      <c r="AE1045" s="494">
        <v>45261</v>
      </c>
      <c r="AF1045" s="494">
        <v>45626</v>
      </c>
      <c r="AG1045" s="241"/>
      <c r="AH1045" s="283"/>
      <c r="AI1045" s="307" t="s">
        <v>4208</v>
      </c>
      <c r="AJ1045" s="303" t="s">
        <v>136</v>
      </c>
      <c r="AK1045" s="241">
        <v>4</v>
      </c>
      <c r="AL1045" s="132" t="s">
        <v>489</v>
      </c>
      <c r="AM1045" s="132" t="s">
        <v>460</v>
      </c>
      <c r="AN1045" s="151" t="s">
        <v>5764</v>
      </c>
      <c r="AO1045" s="151"/>
      <c r="AP1045" s="115"/>
      <c r="AQ1045" s="115"/>
      <c r="AR1045" s="115"/>
      <c r="AS1045" s="115"/>
      <c r="AT1045" s="115"/>
    </row>
    <row r="1046" spans="1:46" ht="39" customHeight="1" x14ac:dyDescent="0.3">
      <c r="A1046" s="1468">
        <v>1045</v>
      </c>
      <c r="B1046" s="117">
        <v>2</v>
      </c>
      <c r="C1046" s="501" t="s">
        <v>448</v>
      </c>
      <c r="D1046" s="282"/>
      <c r="E1046" s="282"/>
      <c r="F1046" s="282"/>
      <c r="G1046" s="447" t="s">
        <v>354</v>
      </c>
      <c r="H1046" s="262" t="s">
        <v>87</v>
      </c>
      <c r="I1046" s="357"/>
      <c r="J1046" s="245" t="s">
        <v>561</v>
      </c>
      <c r="K1046" s="288" t="s">
        <v>158</v>
      </c>
      <c r="L1046" s="299" t="s">
        <v>3678</v>
      </c>
      <c r="M1046" s="299" t="s">
        <v>3678</v>
      </c>
      <c r="N1046" s="281" t="s">
        <v>4217</v>
      </c>
      <c r="O1046" s="1357" t="s">
        <v>3690</v>
      </c>
      <c r="P1046" s="627"/>
      <c r="Q1046" s="282" t="s">
        <v>87</v>
      </c>
      <c r="R1046" s="381" t="s">
        <v>4573</v>
      </c>
      <c r="S1046" s="279">
        <v>37436</v>
      </c>
      <c r="T1046" s="289"/>
      <c r="U1046" s="251" t="s">
        <v>468</v>
      </c>
      <c r="V1046" s="197" t="s">
        <v>5727</v>
      </c>
      <c r="W1046" s="197" t="s">
        <v>2871</v>
      </c>
      <c r="X1046" s="197" t="s">
        <v>2030</v>
      </c>
      <c r="Y1046" s="1130" t="s">
        <v>5730</v>
      </c>
      <c r="Z1046" s="246">
        <v>45266</v>
      </c>
      <c r="AA1046" s="246">
        <v>45322</v>
      </c>
      <c r="AB1046" s="288" t="s">
        <v>4267</v>
      </c>
      <c r="AC1046" s="223" t="s">
        <v>946</v>
      </c>
      <c r="AD1046" s="299" t="s">
        <v>467</v>
      </c>
      <c r="AE1046" s="494">
        <v>45112</v>
      </c>
      <c r="AF1046" s="494">
        <v>45477</v>
      </c>
      <c r="AG1046" s="241"/>
      <c r="AH1046" s="253"/>
      <c r="AI1046" s="284" t="s">
        <v>1351</v>
      </c>
      <c r="AJ1046" s="303" t="s">
        <v>136</v>
      </c>
      <c r="AK1046" s="241">
        <v>4</v>
      </c>
      <c r="AL1046" s="132" t="s">
        <v>489</v>
      </c>
      <c r="AM1046" s="132" t="s">
        <v>460</v>
      </c>
      <c r="AN1046" s="151" t="s">
        <v>5764</v>
      </c>
      <c r="AO1046" s="151"/>
      <c r="AP1046" s="115"/>
      <c r="AQ1046" s="115"/>
      <c r="AR1046" s="115"/>
      <c r="AS1046" s="115"/>
      <c r="AT1046" s="115"/>
    </row>
    <row r="1047" spans="1:46" ht="39" customHeight="1" x14ac:dyDescent="0.3">
      <c r="A1047" s="1468">
        <v>1046</v>
      </c>
      <c r="B1047" s="117">
        <v>2</v>
      </c>
      <c r="C1047" s="501" t="s">
        <v>446</v>
      </c>
      <c r="D1047" s="282"/>
      <c r="E1047" s="282"/>
      <c r="F1047" s="282"/>
      <c r="G1047" s="447" t="s">
        <v>354</v>
      </c>
      <c r="H1047" s="262" t="s">
        <v>87</v>
      </c>
      <c r="I1047" s="357"/>
      <c r="J1047" s="245" t="s">
        <v>561</v>
      </c>
      <c r="K1047" s="257"/>
      <c r="L1047" s="299" t="s">
        <v>1508</v>
      </c>
      <c r="M1047" s="299" t="s">
        <v>1708</v>
      </c>
      <c r="N1047" s="245"/>
      <c r="O1047" s="392" t="s">
        <v>2957</v>
      </c>
      <c r="P1047" s="627"/>
      <c r="Q1047" s="594" t="s">
        <v>293</v>
      </c>
      <c r="R1047" s="381" t="s">
        <v>1610</v>
      </c>
      <c r="S1047" s="279">
        <v>38037</v>
      </c>
      <c r="T1047" s="289"/>
      <c r="U1047" s="251" t="s">
        <v>468</v>
      </c>
      <c r="V1047" s="197" t="s">
        <v>5727</v>
      </c>
      <c r="W1047" s="197" t="s">
        <v>2871</v>
      </c>
      <c r="X1047" s="197" t="s">
        <v>2030</v>
      </c>
      <c r="Y1047" s="1130" t="s">
        <v>5730</v>
      </c>
      <c r="Z1047" s="246">
        <v>45266</v>
      </c>
      <c r="AA1047" s="246">
        <v>45322</v>
      </c>
      <c r="AB1047" s="250" t="s">
        <v>4481</v>
      </c>
      <c r="AC1047" s="223" t="s">
        <v>946</v>
      </c>
      <c r="AD1047" s="245"/>
      <c r="AE1047" s="494">
        <v>45113</v>
      </c>
      <c r="AF1047" s="494">
        <v>45478</v>
      </c>
      <c r="AG1047" s="241"/>
      <c r="AH1047" s="253"/>
      <c r="AI1047" s="284" t="s">
        <v>1351</v>
      </c>
      <c r="AJ1047" s="303" t="s">
        <v>136</v>
      </c>
      <c r="AK1047" s="241">
        <v>4</v>
      </c>
      <c r="AL1047" s="132" t="s">
        <v>489</v>
      </c>
      <c r="AM1047" s="132" t="s">
        <v>460</v>
      </c>
      <c r="AN1047" s="151" t="s">
        <v>5764</v>
      </c>
      <c r="AO1047" s="151"/>
      <c r="AP1047" s="115"/>
      <c r="AQ1047" s="115"/>
      <c r="AR1047" s="115"/>
      <c r="AS1047" s="115"/>
      <c r="AT1047" s="115"/>
    </row>
    <row r="1048" spans="1:46" ht="39" customHeight="1" x14ac:dyDescent="0.3">
      <c r="A1048" s="1468">
        <v>1047</v>
      </c>
      <c r="B1048" s="161">
        <v>2</v>
      </c>
      <c r="C1048" s="504" t="s">
        <v>353</v>
      </c>
      <c r="D1048" s="481"/>
      <c r="E1048" s="481" t="s">
        <v>47</v>
      </c>
      <c r="F1048" s="481"/>
      <c r="G1048" s="527" t="s">
        <v>449</v>
      </c>
      <c r="H1048" s="1302" t="s">
        <v>87</v>
      </c>
      <c r="I1048" s="492"/>
      <c r="J1048" s="264" t="s">
        <v>561</v>
      </c>
      <c r="K1048" s="265"/>
      <c r="L1048" s="496" t="s">
        <v>1508</v>
      </c>
      <c r="M1048" s="496" t="s">
        <v>1708</v>
      </c>
      <c r="N1048" s="264"/>
      <c r="O1048" s="626" t="s">
        <v>2885</v>
      </c>
      <c r="P1048" s="1363"/>
      <c r="Q1048" s="802" t="s">
        <v>293</v>
      </c>
      <c r="R1048" s="572" t="s">
        <v>1640</v>
      </c>
      <c r="S1048" s="279">
        <v>37881</v>
      </c>
      <c r="T1048" s="440"/>
      <c r="U1048" s="251" t="s">
        <v>468</v>
      </c>
      <c r="V1048" s="197" t="s">
        <v>5727</v>
      </c>
      <c r="W1048" s="197" t="s">
        <v>2871</v>
      </c>
      <c r="X1048" s="197" t="s">
        <v>2030</v>
      </c>
      <c r="Y1048" s="1130" t="s">
        <v>5730</v>
      </c>
      <c r="Z1048" s="246">
        <v>45266</v>
      </c>
      <c r="AA1048" s="246">
        <v>45322</v>
      </c>
      <c r="AB1048" s="1370" t="s">
        <v>4482</v>
      </c>
      <c r="AC1048" s="474" t="s">
        <v>946</v>
      </c>
      <c r="AD1048" s="264"/>
      <c r="AE1048" s="494">
        <v>45114</v>
      </c>
      <c r="AF1048" s="494">
        <v>45479</v>
      </c>
      <c r="AG1048" s="471"/>
      <c r="AH1048" s="803"/>
      <c r="AI1048" s="1353" t="s">
        <v>1351</v>
      </c>
      <c r="AJ1048" s="470" t="s">
        <v>136</v>
      </c>
      <c r="AK1048" s="471">
        <v>4</v>
      </c>
      <c r="AL1048" s="780" t="s">
        <v>489</v>
      </c>
      <c r="AM1048" s="780" t="s">
        <v>460</v>
      </c>
      <c r="AN1048" s="151" t="s">
        <v>5764</v>
      </c>
      <c r="AO1048" s="167"/>
      <c r="AP1048" s="115"/>
      <c r="AQ1048" s="115"/>
      <c r="AR1048" s="115"/>
      <c r="AS1048" s="115"/>
      <c r="AT1048" s="115"/>
    </row>
    <row r="1049" spans="1:46" ht="39" customHeight="1" x14ac:dyDescent="0.25">
      <c r="A1049" s="1468">
        <v>1048</v>
      </c>
      <c r="B1049" s="1142"/>
      <c r="C1049" s="1371"/>
      <c r="D1049" s="535"/>
      <c r="E1049" s="535"/>
      <c r="F1049" s="535"/>
      <c r="G1049" s="536"/>
      <c r="H1049" s="732"/>
      <c r="I1049" s="732"/>
      <c r="J1049" s="309"/>
      <c r="K1049" s="309"/>
      <c r="L1049" s="309"/>
      <c r="M1049" s="538"/>
      <c r="N1049" s="309"/>
      <c r="O1049" s="309"/>
      <c r="P1049" s="738" t="s">
        <v>450</v>
      </c>
      <c r="Q1049" s="726"/>
      <c r="R1049" s="1004"/>
      <c r="S1049" s="279"/>
      <c r="T1049" s="232"/>
      <c r="U1049" s="250"/>
      <c r="V1049" s="232"/>
      <c r="W1049" s="232"/>
      <c r="X1049" s="232"/>
      <c r="Y1049" s="232"/>
      <c r="Z1049" s="233"/>
      <c r="AA1049" s="233"/>
      <c r="AB1049" s="745"/>
      <c r="AC1049" s="236"/>
      <c r="AD1049" s="538"/>
      <c r="AE1049" s="494"/>
      <c r="AF1049" s="494"/>
      <c r="AG1049" s="535"/>
      <c r="AH1049" s="745"/>
      <c r="AI1049" s="747"/>
      <c r="AJ1049" s="742"/>
      <c r="AK1049" s="742"/>
      <c r="AL1049" s="753"/>
      <c r="AM1049" s="753"/>
      <c r="AN1049" s="156"/>
      <c r="AO1049" s="182"/>
      <c r="AP1049" s="115"/>
      <c r="AQ1049" s="115"/>
      <c r="AR1049" s="115"/>
      <c r="AS1049" s="115"/>
      <c r="AT1049" s="115"/>
    </row>
    <row r="1050" spans="1:46" ht="39" customHeight="1" x14ac:dyDescent="0.25">
      <c r="A1050" s="1468">
        <v>1049</v>
      </c>
      <c r="B1050" s="184">
        <v>5</v>
      </c>
      <c r="C1050" s="934" t="s">
        <v>367</v>
      </c>
      <c r="D1050" s="865"/>
      <c r="E1050" s="498"/>
      <c r="F1050" s="498"/>
      <c r="G1050" s="499" t="s">
        <v>451</v>
      </c>
      <c r="H1050" s="500" t="s">
        <v>132</v>
      </c>
      <c r="I1050" s="480"/>
      <c r="J1050" s="734">
        <v>403</v>
      </c>
      <c r="K1050" s="277" t="s">
        <v>158</v>
      </c>
      <c r="L1050" s="487" t="s">
        <v>1144</v>
      </c>
      <c r="M1050" s="487" t="s">
        <v>466</v>
      </c>
      <c r="N1050" s="441"/>
      <c r="O1050" s="277" t="s">
        <v>1145</v>
      </c>
      <c r="P1050" s="720"/>
      <c r="Q1050" s="485" t="s">
        <v>132</v>
      </c>
      <c r="R1050" s="998" t="s">
        <v>1146</v>
      </c>
      <c r="S1050" s="279">
        <v>35043</v>
      </c>
      <c r="T1050" s="280" t="s">
        <v>480</v>
      </c>
      <c r="U1050" s="251" t="s">
        <v>54</v>
      </c>
      <c r="V1050" s="398" t="s">
        <v>950</v>
      </c>
      <c r="W1050" s="280" t="s">
        <v>56</v>
      </c>
      <c r="X1050" s="280" t="s">
        <v>57</v>
      </c>
      <c r="Y1050" s="280" t="s">
        <v>951</v>
      </c>
      <c r="Z1050" s="398">
        <v>44828</v>
      </c>
      <c r="AA1050" s="486"/>
      <c r="AB1050" s="441"/>
      <c r="AC1050" s="488" t="s">
        <v>946</v>
      </c>
      <c r="AD1050" s="441"/>
      <c r="AE1050" s="494">
        <v>42918</v>
      </c>
      <c r="AF1050" s="494">
        <v>44743</v>
      </c>
      <c r="AG1050" s="476" t="s">
        <v>61</v>
      </c>
      <c r="AH1050" s="441"/>
      <c r="AI1050" s="721"/>
      <c r="AJ1050" s="491" t="s">
        <v>560</v>
      </c>
      <c r="AK1050" s="491">
        <v>3</v>
      </c>
      <c r="AL1050" s="874" t="s">
        <v>489</v>
      </c>
      <c r="AM1050" s="874" t="s">
        <v>460</v>
      </c>
      <c r="AN1050" s="151"/>
      <c r="AO1050" s="173"/>
      <c r="AP1050" s="115"/>
      <c r="AQ1050" s="115"/>
      <c r="AR1050" s="115"/>
      <c r="AS1050" s="115"/>
      <c r="AT1050" s="115"/>
    </row>
    <row r="1051" spans="1:46" ht="39" customHeight="1" x14ac:dyDescent="0.25">
      <c r="A1051" s="1468">
        <v>1050</v>
      </c>
      <c r="B1051" s="161">
        <v>3</v>
      </c>
      <c r="C1051" s="358" t="s">
        <v>452</v>
      </c>
      <c r="D1051" s="282"/>
      <c r="E1051" s="282"/>
      <c r="F1051" s="282"/>
      <c r="G1051" s="447" t="s">
        <v>453</v>
      </c>
      <c r="H1051" s="262" t="s">
        <v>85</v>
      </c>
      <c r="I1051" s="364"/>
      <c r="J1051" s="245" t="s">
        <v>556</v>
      </c>
      <c r="K1051" s="216"/>
      <c r="L1051" s="216"/>
      <c r="M1051" s="281"/>
      <c r="N1051" s="216"/>
      <c r="O1051" s="1488" t="s">
        <v>3326</v>
      </c>
      <c r="P1051" s="247"/>
      <c r="Q1051" s="344" t="s">
        <v>87</v>
      </c>
      <c r="R1051" s="982" t="s">
        <v>1407</v>
      </c>
      <c r="S1051" s="279">
        <v>33549</v>
      </c>
      <c r="T1051" s="197"/>
      <c r="U1051" s="197"/>
      <c r="V1051" s="197"/>
      <c r="W1051" s="280"/>
      <c r="X1051" s="280"/>
      <c r="Y1051" s="197"/>
      <c r="Z1051" s="246"/>
      <c r="AA1051" s="246"/>
      <c r="AB1051" s="376"/>
      <c r="AC1051" s="223"/>
      <c r="AD1051" s="281"/>
      <c r="AE1051" s="494"/>
      <c r="AF1051" s="494"/>
      <c r="AG1051" s="282"/>
      <c r="AH1051" s="376"/>
      <c r="AI1051" s="547"/>
      <c r="AJ1051" s="348" t="s">
        <v>560</v>
      </c>
      <c r="AK1051" s="241">
        <v>4</v>
      </c>
      <c r="AL1051" s="132" t="s">
        <v>489</v>
      </c>
      <c r="AM1051" s="132" t="s">
        <v>460</v>
      </c>
      <c r="AN1051" s="151"/>
      <c r="AO1051" s="151"/>
      <c r="AP1051" s="115"/>
      <c r="AQ1051" s="115"/>
      <c r="AR1051" s="115"/>
      <c r="AS1051" s="115"/>
      <c r="AT1051" s="115"/>
    </row>
    <row r="1052" spans="1:46" ht="39" customHeight="1" x14ac:dyDescent="0.25">
      <c r="A1052" s="1468">
        <v>1051</v>
      </c>
      <c r="B1052" s="161">
        <v>2</v>
      </c>
      <c r="C1052" s="358" t="s">
        <v>454</v>
      </c>
      <c r="D1052" s="282"/>
      <c r="E1052" s="282"/>
      <c r="F1052" s="282"/>
      <c r="G1052" s="447" t="s">
        <v>455</v>
      </c>
      <c r="H1052" s="262" t="s">
        <v>87</v>
      </c>
      <c r="I1052" s="364"/>
      <c r="J1052" s="245" t="s">
        <v>561</v>
      </c>
      <c r="K1052" s="216"/>
      <c r="L1052" s="216"/>
      <c r="M1052" s="216"/>
      <c r="N1052" s="366"/>
      <c r="O1052" s="950" t="s">
        <v>2323</v>
      </c>
      <c r="P1052" s="247" t="s">
        <v>1411</v>
      </c>
      <c r="Q1052" s="344" t="s">
        <v>87</v>
      </c>
      <c r="R1052" s="1166" t="s">
        <v>2322</v>
      </c>
      <c r="S1052" s="279">
        <v>29968</v>
      </c>
      <c r="T1052" s="250"/>
      <c r="U1052" s="251" t="s">
        <v>886</v>
      </c>
      <c r="V1052" s="306" t="s">
        <v>5931</v>
      </c>
      <c r="W1052" s="197" t="s">
        <v>5932</v>
      </c>
      <c r="X1052" s="197" t="s">
        <v>886</v>
      </c>
      <c r="Y1052" s="197"/>
      <c r="Z1052" s="246">
        <v>45304</v>
      </c>
      <c r="AA1052" s="246"/>
      <c r="AB1052" s="197"/>
      <c r="AC1052" s="223"/>
      <c r="AD1052" s="197"/>
      <c r="AE1052" s="494"/>
      <c r="AF1052" s="494"/>
      <c r="AG1052" s="305"/>
      <c r="AH1052" s="283"/>
      <c r="AI1052" s="296"/>
      <c r="AJ1052" s="348" t="s">
        <v>560</v>
      </c>
      <c r="AK1052" s="241">
        <v>4</v>
      </c>
      <c r="AL1052" s="132" t="s">
        <v>489</v>
      </c>
      <c r="AM1052" s="132" t="s">
        <v>460</v>
      </c>
      <c r="AN1052" s="151"/>
      <c r="AO1052" s="151"/>
      <c r="AP1052" s="115"/>
      <c r="AQ1052" s="115"/>
      <c r="AR1052" s="115"/>
      <c r="AS1052" s="115"/>
      <c r="AT1052" s="115"/>
    </row>
    <row r="1053" spans="1:46" ht="39" customHeight="1" x14ac:dyDescent="0.3">
      <c r="A1053" s="1468">
        <v>1052</v>
      </c>
      <c r="B1053" s="161">
        <v>2</v>
      </c>
      <c r="C1053" s="358" t="s">
        <v>454</v>
      </c>
      <c r="D1053" s="282"/>
      <c r="E1053" s="282"/>
      <c r="F1053" s="282"/>
      <c r="G1053" s="447" t="s">
        <v>455</v>
      </c>
      <c r="H1053" s="262" t="s">
        <v>87</v>
      </c>
      <c r="I1053" s="364"/>
      <c r="J1053" s="245" t="s">
        <v>561</v>
      </c>
      <c r="K1053" s="288" t="s">
        <v>158</v>
      </c>
      <c r="L1053" s="216" t="s">
        <v>3678</v>
      </c>
      <c r="M1053" s="216" t="s">
        <v>3678</v>
      </c>
      <c r="N1053" s="281" t="s">
        <v>4217</v>
      </c>
      <c r="O1053" s="216" t="s">
        <v>3700</v>
      </c>
      <c r="P1053" s="320"/>
      <c r="Q1053" s="301" t="s">
        <v>293</v>
      </c>
      <c r="R1053" s="682" t="s">
        <v>3699</v>
      </c>
      <c r="S1053" s="279">
        <v>37907</v>
      </c>
      <c r="T1053" s="197"/>
      <c r="U1053" s="251" t="s">
        <v>468</v>
      </c>
      <c r="V1053" s="197" t="s">
        <v>5727</v>
      </c>
      <c r="W1053" s="197" t="s">
        <v>2871</v>
      </c>
      <c r="X1053" s="197" t="s">
        <v>2030</v>
      </c>
      <c r="Y1053" s="1130" t="s">
        <v>5730</v>
      </c>
      <c r="Z1053" s="246">
        <v>45266</v>
      </c>
      <c r="AA1053" s="246">
        <v>45322</v>
      </c>
      <c r="AB1053" s="288" t="s">
        <v>4315</v>
      </c>
      <c r="AC1053" s="223" t="s">
        <v>4223</v>
      </c>
      <c r="AD1053" s="299" t="s">
        <v>467</v>
      </c>
      <c r="AE1053" s="494">
        <v>45113</v>
      </c>
      <c r="AF1053" s="494">
        <v>45478</v>
      </c>
      <c r="AG1053" s="282"/>
      <c r="AH1053" s="376"/>
      <c r="AI1053" s="296" t="s">
        <v>1351</v>
      </c>
      <c r="AJ1053" s="303" t="s">
        <v>136</v>
      </c>
      <c r="AK1053" s="241">
        <v>4</v>
      </c>
      <c r="AL1053" s="132" t="s">
        <v>489</v>
      </c>
      <c r="AM1053" s="132" t="s">
        <v>460</v>
      </c>
      <c r="AN1053" s="151"/>
      <c r="AO1053" s="151"/>
      <c r="AP1053" s="115"/>
      <c r="AQ1053" s="115"/>
      <c r="AR1053" s="115"/>
      <c r="AS1053" s="115"/>
      <c r="AT1053" s="115"/>
    </row>
    <row r="1054" spans="1:46" ht="39" customHeight="1" x14ac:dyDescent="0.3">
      <c r="A1054" s="1468">
        <v>1053</v>
      </c>
      <c r="B1054" s="161">
        <v>2</v>
      </c>
      <c r="C1054" s="358" t="s">
        <v>454</v>
      </c>
      <c r="D1054" s="282"/>
      <c r="E1054" s="282"/>
      <c r="F1054" s="282"/>
      <c r="G1054" s="447" t="s">
        <v>455</v>
      </c>
      <c r="H1054" s="262" t="s">
        <v>87</v>
      </c>
      <c r="I1054" s="364"/>
      <c r="J1054" s="245" t="s">
        <v>561</v>
      </c>
      <c r="K1054" s="288" t="s">
        <v>158</v>
      </c>
      <c r="L1054" s="216" t="s">
        <v>3678</v>
      </c>
      <c r="M1054" s="216" t="s">
        <v>3678</v>
      </c>
      <c r="N1054" s="281" t="s">
        <v>4217</v>
      </c>
      <c r="O1054" s="1354" t="s">
        <v>3697</v>
      </c>
      <c r="P1054" s="247"/>
      <c r="Q1054" s="301" t="s">
        <v>293</v>
      </c>
      <c r="R1054" s="381" t="s">
        <v>3695</v>
      </c>
      <c r="S1054" s="279">
        <v>37542</v>
      </c>
      <c r="T1054" s="197"/>
      <c r="U1054" s="251" t="s">
        <v>468</v>
      </c>
      <c r="V1054" s="197" t="s">
        <v>5727</v>
      </c>
      <c r="W1054" s="197" t="s">
        <v>2871</v>
      </c>
      <c r="X1054" s="197" t="s">
        <v>2030</v>
      </c>
      <c r="Y1054" s="1130" t="s">
        <v>5730</v>
      </c>
      <c r="Z1054" s="246">
        <v>45266</v>
      </c>
      <c r="AA1054" s="246">
        <v>45322</v>
      </c>
      <c r="AB1054" s="288" t="s">
        <v>4301</v>
      </c>
      <c r="AC1054" s="223" t="s">
        <v>946</v>
      </c>
      <c r="AD1054" s="299" t="s">
        <v>467</v>
      </c>
      <c r="AE1054" s="494">
        <v>45087</v>
      </c>
      <c r="AF1054" s="494">
        <v>45452</v>
      </c>
      <c r="AG1054" s="282"/>
      <c r="AH1054" s="376"/>
      <c r="AI1054" s="296" t="s">
        <v>1351</v>
      </c>
      <c r="AJ1054" s="303" t="s">
        <v>136</v>
      </c>
      <c r="AK1054" s="241">
        <v>4</v>
      </c>
      <c r="AL1054" s="132" t="s">
        <v>489</v>
      </c>
      <c r="AM1054" s="132" t="s">
        <v>460</v>
      </c>
      <c r="AN1054" s="151"/>
      <c r="AO1054" s="151"/>
      <c r="AP1054" s="115"/>
      <c r="AQ1054" s="115"/>
      <c r="AR1054" s="115"/>
      <c r="AS1054" s="115"/>
      <c r="AT1054" s="115"/>
    </row>
    <row r="1055" spans="1:46" ht="39" customHeight="1" x14ac:dyDescent="0.3">
      <c r="A1055" s="1468">
        <v>1054</v>
      </c>
      <c r="B1055" s="161">
        <v>2</v>
      </c>
      <c r="C1055" s="568" t="s">
        <v>456</v>
      </c>
      <c r="D1055" s="282"/>
      <c r="E1055" s="282"/>
      <c r="F1055" s="282"/>
      <c r="G1055" s="447" t="s">
        <v>457</v>
      </c>
      <c r="H1055" s="262" t="s">
        <v>87</v>
      </c>
      <c r="I1055" s="364"/>
      <c r="J1055" s="245" t="s">
        <v>561</v>
      </c>
      <c r="K1055" s="288" t="s">
        <v>158</v>
      </c>
      <c r="L1055" s="299" t="s">
        <v>3678</v>
      </c>
      <c r="M1055" s="299" t="s">
        <v>3678</v>
      </c>
      <c r="N1055" s="281" t="s">
        <v>4217</v>
      </c>
      <c r="O1055" s="392" t="s">
        <v>3691</v>
      </c>
      <c r="P1055" s="627"/>
      <c r="Q1055" s="282" t="s">
        <v>87</v>
      </c>
      <c r="R1055" s="381" t="s">
        <v>4338</v>
      </c>
      <c r="S1055" s="279">
        <v>37573</v>
      </c>
      <c r="T1055" s="289"/>
      <c r="U1055" s="251" t="s">
        <v>468</v>
      </c>
      <c r="V1055" s="197" t="s">
        <v>5727</v>
      </c>
      <c r="W1055" s="197" t="s">
        <v>2871</v>
      </c>
      <c r="X1055" s="197" t="s">
        <v>2030</v>
      </c>
      <c r="Y1055" s="1130" t="s">
        <v>5730</v>
      </c>
      <c r="Z1055" s="246">
        <v>45266</v>
      </c>
      <c r="AA1055" s="246">
        <v>45322</v>
      </c>
      <c r="AB1055" s="288" t="s">
        <v>4267</v>
      </c>
      <c r="AC1055" s="223" t="s">
        <v>946</v>
      </c>
      <c r="AD1055" s="299" t="s">
        <v>467</v>
      </c>
      <c r="AE1055" s="494">
        <v>45112</v>
      </c>
      <c r="AF1055" s="494">
        <v>45477</v>
      </c>
      <c r="AG1055" s="241"/>
      <c r="AH1055" s="253"/>
      <c r="AI1055" s="284" t="s">
        <v>1351</v>
      </c>
      <c r="AJ1055" s="303" t="s">
        <v>136</v>
      </c>
      <c r="AK1055" s="241">
        <v>4</v>
      </c>
      <c r="AL1055" s="132" t="s">
        <v>489</v>
      </c>
      <c r="AM1055" s="132" t="s">
        <v>460</v>
      </c>
      <c r="AN1055" s="151"/>
      <c r="AO1055" s="151"/>
      <c r="AP1055" s="115"/>
      <c r="AQ1055" s="115"/>
      <c r="AR1055" s="115"/>
      <c r="AS1055" s="115"/>
      <c r="AT1055" s="115"/>
    </row>
    <row r="1056" spans="1:46" ht="39" customHeight="1" x14ac:dyDescent="0.3">
      <c r="A1056" s="1468">
        <v>1055</v>
      </c>
      <c r="B1056" s="161">
        <v>2</v>
      </c>
      <c r="C1056" s="725" t="s">
        <v>456</v>
      </c>
      <c r="D1056" s="481"/>
      <c r="E1056" s="481"/>
      <c r="F1056" s="481"/>
      <c r="G1056" s="527" t="s">
        <v>457</v>
      </c>
      <c r="H1056" s="262" t="s">
        <v>87</v>
      </c>
      <c r="I1056" s="492"/>
      <c r="J1056" s="245" t="s">
        <v>561</v>
      </c>
      <c r="K1056" s="288" t="s">
        <v>158</v>
      </c>
      <c r="L1056" s="299" t="s">
        <v>3678</v>
      </c>
      <c r="M1056" s="299" t="s">
        <v>3678</v>
      </c>
      <c r="N1056" s="281" t="s">
        <v>4217</v>
      </c>
      <c r="O1056" s="392" t="s">
        <v>3693</v>
      </c>
      <c r="P1056" s="627"/>
      <c r="Q1056" s="282" t="s">
        <v>87</v>
      </c>
      <c r="R1056" s="381" t="s">
        <v>3692</v>
      </c>
      <c r="S1056" s="279">
        <v>37441</v>
      </c>
      <c r="T1056" s="289"/>
      <c r="U1056" s="251" t="s">
        <v>468</v>
      </c>
      <c r="V1056" s="197" t="s">
        <v>5727</v>
      </c>
      <c r="W1056" s="197" t="s">
        <v>2871</v>
      </c>
      <c r="X1056" s="197" t="s">
        <v>2030</v>
      </c>
      <c r="Y1056" s="1130" t="s">
        <v>5730</v>
      </c>
      <c r="Z1056" s="246">
        <v>45266</v>
      </c>
      <c r="AA1056" s="246">
        <v>45322</v>
      </c>
      <c r="AB1056" s="288" t="s">
        <v>4310</v>
      </c>
      <c r="AC1056" s="223" t="s">
        <v>946</v>
      </c>
      <c r="AD1056" s="299" t="s">
        <v>467</v>
      </c>
      <c r="AE1056" s="494">
        <v>45111</v>
      </c>
      <c r="AF1056" s="494">
        <v>45476</v>
      </c>
      <c r="AG1056" s="241"/>
      <c r="AH1056" s="253"/>
      <c r="AI1056" s="284" t="s">
        <v>1351</v>
      </c>
      <c r="AJ1056" s="303" t="s">
        <v>136</v>
      </c>
      <c r="AK1056" s="471">
        <v>4</v>
      </c>
      <c r="AL1056" s="780" t="s">
        <v>489</v>
      </c>
      <c r="AM1056" s="780" t="s">
        <v>460</v>
      </c>
      <c r="AN1056" s="151"/>
      <c r="AO1056" s="167"/>
      <c r="AP1056" s="115"/>
      <c r="AQ1056" s="115"/>
      <c r="AR1056" s="115"/>
      <c r="AS1056" s="115"/>
      <c r="AT1056" s="115"/>
    </row>
    <row r="1057" spans="1:46" ht="39" customHeight="1" x14ac:dyDescent="0.25">
      <c r="A1057" s="1468">
        <v>1056</v>
      </c>
      <c r="B1057" s="117"/>
      <c r="C1057" s="787"/>
      <c r="D1057" s="391"/>
      <c r="E1057" s="391"/>
      <c r="F1057" s="391"/>
      <c r="G1057" s="788"/>
      <c r="H1057" s="789"/>
      <c r="I1057" s="789"/>
      <c r="J1057" s="342"/>
      <c r="K1057" s="788"/>
      <c r="L1057" s="342"/>
      <c r="M1057" s="342"/>
      <c r="N1057" s="342"/>
      <c r="O1057" s="342"/>
      <c r="P1057" s="390" t="s">
        <v>490</v>
      </c>
      <c r="Q1057" s="792"/>
      <c r="R1057" s="1005"/>
      <c r="S1057" s="279"/>
      <c r="T1057" s="329"/>
      <c r="U1057" s="250"/>
      <c r="V1057" s="334"/>
      <c r="W1057" s="369"/>
      <c r="X1057" s="369"/>
      <c r="Y1057" s="369"/>
      <c r="Z1057" s="702"/>
      <c r="AA1057" s="790"/>
      <c r="AB1057" s="701"/>
      <c r="AC1057" s="703"/>
      <c r="AD1057" s="701"/>
      <c r="AE1057" s="494"/>
      <c r="AF1057" s="494"/>
      <c r="AG1057" s="391"/>
      <c r="AH1057" s="704"/>
      <c r="AI1057" s="705"/>
      <c r="AJ1057" s="704"/>
      <c r="AK1057" s="391"/>
      <c r="AL1057" s="795"/>
      <c r="AM1057" s="795"/>
      <c r="AN1057" s="796"/>
      <c r="AO1057" s="797"/>
      <c r="AP1057" s="115"/>
      <c r="AQ1057" s="115"/>
      <c r="AR1057" s="115"/>
      <c r="AS1057" s="115"/>
      <c r="AT1057" s="116"/>
    </row>
    <row r="1058" spans="1:46" ht="39" customHeight="1" x14ac:dyDescent="0.25">
      <c r="A1058" s="1468">
        <v>1057</v>
      </c>
      <c r="B1058" s="117"/>
      <c r="C1058" s="787"/>
      <c r="D1058" s="391"/>
      <c r="E1058" s="391"/>
      <c r="F1058" s="391"/>
      <c r="G1058" s="788"/>
      <c r="H1058" s="789"/>
      <c r="I1058" s="789"/>
      <c r="J1058" s="342"/>
      <c r="K1058" s="788"/>
      <c r="L1058" s="342"/>
      <c r="M1058" s="342"/>
      <c r="N1058" s="342"/>
      <c r="O1058" s="342"/>
      <c r="P1058" s="390" t="s">
        <v>45</v>
      </c>
      <c r="Q1058" s="792"/>
      <c r="R1058" s="1005"/>
      <c r="S1058" s="279"/>
      <c r="T1058" s="229"/>
      <c r="U1058" s="250"/>
      <c r="V1058" s="232"/>
      <c r="W1058" s="369"/>
      <c r="X1058" s="369"/>
      <c r="Y1058" s="369"/>
      <c r="Z1058" s="702"/>
      <c r="AA1058" s="790"/>
      <c r="AB1058" s="701"/>
      <c r="AC1058" s="703"/>
      <c r="AD1058" s="701"/>
      <c r="AE1058" s="494"/>
      <c r="AF1058" s="494"/>
      <c r="AG1058" s="391"/>
      <c r="AH1058" s="704"/>
      <c r="AI1058" s="705"/>
      <c r="AJ1058" s="704"/>
      <c r="AK1058" s="391"/>
      <c r="AL1058" s="795"/>
      <c r="AM1058" s="795"/>
      <c r="AN1058" s="796"/>
      <c r="AO1058" s="797"/>
      <c r="AP1058" s="115"/>
      <c r="AQ1058" s="115"/>
      <c r="AR1058" s="115"/>
      <c r="AS1058" s="115"/>
      <c r="AT1058" s="116"/>
    </row>
    <row r="1059" spans="1:46" ht="39" customHeight="1" x14ac:dyDescent="0.25">
      <c r="A1059" s="1468">
        <v>1058</v>
      </c>
      <c r="B1059" s="117"/>
      <c r="C1059" s="324"/>
      <c r="D1059" s="664"/>
      <c r="E1059" s="664"/>
      <c r="F1059" s="664"/>
      <c r="G1059" s="227"/>
      <c r="H1059" s="228"/>
      <c r="I1059" s="228"/>
      <c r="J1059" s="229"/>
      <c r="K1059" s="227"/>
      <c r="L1059" s="229"/>
      <c r="M1059" s="229"/>
      <c r="N1059" s="229"/>
      <c r="O1059" s="229"/>
      <c r="P1059" s="230" t="s">
        <v>44</v>
      </c>
      <c r="Q1059" s="726"/>
      <c r="R1059" s="1004"/>
      <c r="S1059" s="279"/>
      <c r="T1059" s="229"/>
      <c r="U1059" s="250"/>
      <c r="V1059" s="232"/>
      <c r="W1059" s="232"/>
      <c r="X1059" s="232"/>
      <c r="Y1059" s="232"/>
      <c r="Z1059" s="233"/>
      <c r="AA1059" s="234"/>
      <c r="AB1059" s="235"/>
      <c r="AC1059" s="236"/>
      <c r="AD1059" s="235"/>
      <c r="AE1059" s="494"/>
      <c r="AF1059" s="494"/>
      <c r="AG1059" s="664"/>
      <c r="AH1059" s="238"/>
      <c r="AI1059" s="239"/>
      <c r="AJ1059" s="238"/>
      <c r="AK1059" s="664"/>
      <c r="AL1059" s="134"/>
      <c r="AM1059" s="134"/>
      <c r="AN1059" s="113"/>
      <c r="AO1059" s="114"/>
      <c r="AP1059" s="115"/>
      <c r="AQ1059" s="115"/>
      <c r="AR1059" s="115"/>
      <c r="AS1059" s="115"/>
      <c r="AT1059" s="116"/>
    </row>
    <row r="1060" spans="1:46" ht="39" customHeight="1" x14ac:dyDescent="0.25">
      <c r="A1060" s="1468">
        <v>1059</v>
      </c>
      <c r="B1060" s="119">
        <v>18</v>
      </c>
      <c r="C1060" s="793" t="s">
        <v>265</v>
      </c>
      <c r="D1060" s="487"/>
      <c r="E1060" s="728" t="s">
        <v>47</v>
      </c>
      <c r="F1060" s="487"/>
      <c r="G1060" s="730" t="s">
        <v>91</v>
      </c>
      <c r="H1060" s="733" t="s">
        <v>65</v>
      </c>
      <c r="I1060" s="733"/>
      <c r="J1060" s="245">
        <v>202</v>
      </c>
      <c r="K1060" s="197" t="s">
        <v>50</v>
      </c>
      <c r="L1060" s="216" t="s">
        <v>3967</v>
      </c>
      <c r="M1060" s="216" t="s">
        <v>3967</v>
      </c>
      <c r="N1060" s="245"/>
      <c r="O1060" s="626" t="s">
        <v>3171</v>
      </c>
      <c r="P1060" s="320" t="s">
        <v>1411</v>
      </c>
      <c r="Q1060" s="248" t="s">
        <v>65</v>
      </c>
      <c r="R1060" s="995" t="s">
        <v>1387</v>
      </c>
      <c r="S1060" s="279">
        <v>28303</v>
      </c>
      <c r="T1060" s="250"/>
      <c r="U1060" s="197"/>
      <c r="V1060" s="250"/>
      <c r="W1060" s="197"/>
      <c r="X1060" s="197"/>
      <c r="Y1060" s="197"/>
      <c r="Z1060" s="246"/>
      <c r="AA1060" s="246"/>
      <c r="AB1060" s="282"/>
      <c r="AC1060" s="223"/>
      <c r="AD1060" s="282"/>
      <c r="AE1060" s="258"/>
      <c r="AF1060" s="258"/>
      <c r="AG1060" s="241"/>
      <c r="AH1060" s="283"/>
      <c r="AI1060" s="328"/>
      <c r="AJ1060" s="255" t="s">
        <v>62</v>
      </c>
      <c r="AK1060" s="442">
        <v>1</v>
      </c>
      <c r="AL1060" s="123" t="s">
        <v>491</v>
      </c>
      <c r="AM1060" s="175" t="s">
        <v>492</v>
      </c>
      <c r="AN1060" s="124"/>
      <c r="AO1060" s="798"/>
      <c r="AP1060" s="115"/>
      <c r="AQ1060" s="115"/>
      <c r="AR1060" s="115"/>
      <c r="AS1060" s="115"/>
      <c r="AT1060" s="115"/>
    </row>
    <row r="1061" spans="1:46" ht="39" customHeight="1" x14ac:dyDescent="0.25">
      <c r="A1061" s="1468">
        <v>1060</v>
      </c>
      <c r="B1061" s="119">
        <v>16</v>
      </c>
      <c r="C1061" s="341" t="s">
        <v>268</v>
      </c>
      <c r="D1061" s="282"/>
      <c r="E1061" s="338" t="s">
        <v>47</v>
      </c>
      <c r="F1061" s="282"/>
      <c r="G1061" s="339" t="s">
        <v>269</v>
      </c>
      <c r="H1061" s="340" t="s">
        <v>92</v>
      </c>
      <c r="I1061" s="340"/>
      <c r="J1061" s="245">
        <v>204</v>
      </c>
      <c r="K1061" s="197" t="s">
        <v>50</v>
      </c>
      <c r="L1061" s="281"/>
      <c r="M1061" s="281"/>
      <c r="N1061" s="245"/>
      <c r="O1061" s="1476" t="s">
        <v>3172</v>
      </c>
      <c r="P1061" s="325"/>
      <c r="Q1061" s="338" t="s">
        <v>92</v>
      </c>
      <c r="R1061" s="1164" t="s">
        <v>3249</v>
      </c>
      <c r="S1061" s="279">
        <v>31903</v>
      </c>
      <c r="T1061" s="250"/>
      <c r="U1061" s="250"/>
      <c r="V1061" s="250"/>
      <c r="W1061" s="197" t="s">
        <v>6061</v>
      </c>
      <c r="X1061" s="197"/>
      <c r="Y1061" s="197"/>
      <c r="Z1061" s="246"/>
      <c r="AA1061" s="252"/>
      <c r="AB1061" s="281"/>
      <c r="AC1061" s="223"/>
      <c r="AD1061" s="281"/>
      <c r="AE1061" s="494"/>
      <c r="AF1061" s="494"/>
      <c r="AG1061" s="241"/>
      <c r="AH1061" s="283"/>
      <c r="AI1061" s="328"/>
      <c r="AJ1061" s="255" t="s">
        <v>62</v>
      </c>
      <c r="AK1061" s="242">
        <v>1</v>
      </c>
      <c r="AL1061" s="123" t="s">
        <v>491</v>
      </c>
      <c r="AM1061" s="175" t="s">
        <v>492</v>
      </c>
      <c r="AN1061" s="124"/>
      <c r="AO1061" s="124"/>
      <c r="AP1061" s="115"/>
      <c r="AQ1061" s="115"/>
      <c r="AR1061" s="115"/>
      <c r="AS1061" s="115"/>
      <c r="AT1061" s="115"/>
    </row>
    <row r="1062" spans="1:46" ht="39" customHeight="1" x14ac:dyDescent="0.25">
      <c r="A1062" s="1468">
        <v>1061</v>
      </c>
      <c r="B1062" s="119">
        <v>16</v>
      </c>
      <c r="C1062" s="781" t="s">
        <v>270</v>
      </c>
      <c r="D1062" s="481"/>
      <c r="E1062" s="700" t="s">
        <v>47</v>
      </c>
      <c r="F1062" s="481"/>
      <c r="G1062" s="782" t="s">
        <v>271</v>
      </c>
      <c r="H1062" s="783" t="s">
        <v>92</v>
      </c>
      <c r="I1062" s="783"/>
      <c r="J1062" s="245">
        <v>204</v>
      </c>
      <c r="K1062" s="216" t="s">
        <v>1024</v>
      </c>
      <c r="L1062" s="281" t="s">
        <v>1025</v>
      </c>
      <c r="M1062" s="281" t="s">
        <v>1026</v>
      </c>
      <c r="N1062" s="245"/>
      <c r="O1062" s="216" t="s">
        <v>1027</v>
      </c>
      <c r="P1062" s="287"/>
      <c r="Q1062" s="338" t="s">
        <v>119</v>
      </c>
      <c r="R1062" s="259" t="s">
        <v>3285</v>
      </c>
      <c r="S1062" s="279">
        <v>36503</v>
      </c>
      <c r="T1062" s="197"/>
      <c r="U1062" s="250"/>
      <c r="V1062" s="306"/>
      <c r="W1062" s="250"/>
      <c r="X1062" s="250"/>
      <c r="Y1062" s="197"/>
      <c r="Z1062" s="246"/>
      <c r="AA1062" s="252"/>
      <c r="AB1062" s="282" t="s">
        <v>1028</v>
      </c>
      <c r="AC1062" s="223" t="s">
        <v>946</v>
      </c>
      <c r="AD1062" s="282" t="s">
        <v>1024</v>
      </c>
      <c r="AE1062" s="494">
        <v>43384</v>
      </c>
      <c r="AF1062" s="494">
        <v>46226</v>
      </c>
      <c r="AG1062" s="241" t="s">
        <v>61</v>
      </c>
      <c r="AH1062" s="283"/>
      <c r="AI1062" s="254"/>
      <c r="AJ1062" s="255" t="s">
        <v>62</v>
      </c>
      <c r="AK1062" s="242">
        <v>1</v>
      </c>
      <c r="AL1062" s="123" t="s">
        <v>491</v>
      </c>
      <c r="AM1062" s="175" t="s">
        <v>492</v>
      </c>
      <c r="AN1062" s="124"/>
      <c r="AO1062" s="124"/>
      <c r="AP1062" s="115"/>
      <c r="AQ1062" s="115"/>
      <c r="AR1062" s="115"/>
      <c r="AS1062" s="115"/>
      <c r="AT1062" s="115"/>
    </row>
    <row r="1063" spans="1:46" ht="39" customHeight="1" x14ac:dyDescent="0.25">
      <c r="A1063" s="1468">
        <v>1062</v>
      </c>
      <c r="B1063" s="117"/>
      <c r="C1063" s="324"/>
      <c r="D1063" s="664"/>
      <c r="E1063" s="664"/>
      <c r="F1063" s="664"/>
      <c r="G1063" s="227"/>
      <c r="H1063" s="228"/>
      <c r="I1063" s="228"/>
      <c r="J1063" s="229"/>
      <c r="K1063" s="227"/>
      <c r="L1063" s="229"/>
      <c r="M1063" s="229"/>
      <c r="N1063" s="229"/>
      <c r="O1063" s="309"/>
      <c r="P1063" s="230" t="s">
        <v>88</v>
      </c>
      <c r="Q1063" s="726"/>
      <c r="R1063" s="1004"/>
      <c r="S1063" s="279"/>
      <c r="T1063" s="232"/>
      <c r="U1063" s="250"/>
      <c r="V1063" s="232"/>
      <c r="W1063" s="232"/>
      <c r="X1063" s="232"/>
      <c r="Y1063" s="232"/>
      <c r="Z1063" s="233"/>
      <c r="AA1063" s="234"/>
      <c r="AB1063" s="235"/>
      <c r="AC1063" s="236"/>
      <c r="AD1063" s="235"/>
      <c r="AE1063" s="494"/>
      <c r="AF1063" s="494"/>
      <c r="AG1063" s="664"/>
      <c r="AH1063" s="238"/>
      <c r="AI1063" s="239"/>
      <c r="AJ1063" s="238"/>
      <c r="AK1063" s="664"/>
      <c r="AL1063" s="134"/>
      <c r="AM1063" s="785"/>
      <c r="AN1063" s="113"/>
      <c r="AO1063" s="114"/>
      <c r="AP1063" s="115"/>
      <c r="AQ1063" s="115"/>
      <c r="AR1063" s="115"/>
      <c r="AS1063" s="115"/>
      <c r="AT1063" s="116"/>
    </row>
    <row r="1064" spans="1:46" ht="39" customHeight="1" x14ac:dyDescent="0.25">
      <c r="A1064" s="1468">
        <v>1063</v>
      </c>
      <c r="B1064" s="119">
        <v>16</v>
      </c>
      <c r="C1064" s="341" t="s">
        <v>272</v>
      </c>
      <c r="D1064" s="282"/>
      <c r="E1064" s="338" t="s">
        <v>47</v>
      </c>
      <c r="F1064" s="282"/>
      <c r="G1064" s="339" t="s">
        <v>91</v>
      </c>
      <c r="H1064" s="340" t="s">
        <v>92</v>
      </c>
      <c r="I1064" s="340"/>
      <c r="J1064" s="245">
        <v>204</v>
      </c>
      <c r="K1064" s="216" t="s">
        <v>50</v>
      </c>
      <c r="L1064" s="216" t="s">
        <v>947</v>
      </c>
      <c r="M1064" s="216" t="s">
        <v>947</v>
      </c>
      <c r="N1064" s="245"/>
      <c r="O1064" s="216" t="s">
        <v>948</v>
      </c>
      <c r="P1064" s="287"/>
      <c r="Q1064" s="242" t="s">
        <v>78</v>
      </c>
      <c r="R1064" s="1163" t="s">
        <v>949</v>
      </c>
      <c r="S1064" s="279">
        <v>34926</v>
      </c>
      <c r="T1064" s="197"/>
      <c r="U1064" s="250"/>
      <c r="V1064" s="250"/>
      <c r="W1064" s="197" t="s">
        <v>5994</v>
      </c>
      <c r="X1064" s="197"/>
      <c r="Y1064" s="981"/>
      <c r="Z1064" s="252"/>
      <c r="AA1064" s="246"/>
      <c r="AB1064" s="282"/>
      <c r="AC1064" s="223" t="s">
        <v>946</v>
      </c>
      <c r="AD1064" s="282"/>
      <c r="AE1064" s="494">
        <v>42056</v>
      </c>
      <c r="AF1064" s="494">
        <v>45015</v>
      </c>
      <c r="AG1064" s="241" t="s">
        <v>61</v>
      </c>
      <c r="AH1064" s="283"/>
      <c r="AI1064" s="254"/>
      <c r="AJ1064" s="255" t="s">
        <v>62</v>
      </c>
      <c r="AK1064" s="442">
        <v>1</v>
      </c>
      <c r="AL1064" s="123" t="s">
        <v>491</v>
      </c>
      <c r="AM1064" s="175" t="s">
        <v>492</v>
      </c>
      <c r="AN1064" s="124"/>
      <c r="AO1064" s="124"/>
      <c r="AP1064" s="115"/>
      <c r="AQ1064" s="115"/>
      <c r="AR1064" s="115"/>
      <c r="AS1064" s="115"/>
      <c r="AT1064" s="115"/>
    </row>
    <row r="1065" spans="1:46" ht="39" customHeight="1" x14ac:dyDescent="0.25">
      <c r="A1065" s="1468">
        <v>1064</v>
      </c>
      <c r="B1065" s="128">
        <v>5</v>
      </c>
      <c r="C1065" s="343" t="s">
        <v>273</v>
      </c>
      <c r="D1065" s="344"/>
      <c r="E1065" s="344" t="s">
        <v>47</v>
      </c>
      <c r="F1065" s="344"/>
      <c r="G1065" s="345" t="s">
        <v>274</v>
      </c>
      <c r="H1065" s="346" t="s">
        <v>132</v>
      </c>
      <c r="I1065" s="346"/>
      <c r="J1065" s="256">
        <v>403</v>
      </c>
      <c r="K1065" s="265"/>
      <c r="L1065" s="438"/>
      <c r="M1065" s="438"/>
      <c r="N1065" s="264"/>
      <c r="O1065" s="265"/>
      <c r="P1065" s="1124"/>
      <c r="Q1065" s="344"/>
      <c r="R1065" s="683" t="s">
        <v>66</v>
      </c>
      <c r="S1065" s="279"/>
      <c r="T1065" s="414"/>
      <c r="U1065" s="250"/>
      <c r="V1065" s="197"/>
      <c r="W1065" s="268"/>
      <c r="X1065" s="268"/>
      <c r="Y1065" s="268"/>
      <c r="Z1065" s="405"/>
      <c r="AA1065" s="405"/>
      <c r="AB1065" s="438"/>
      <c r="AC1065" s="474"/>
      <c r="AD1065" s="438"/>
      <c r="AE1065" s="494"/>
      <c r="AF1065" s="494"/>
      <c r="AG1065" s="471"/>
      <c r="AH1065" s="585"/>
      <c r="AI1065" s="1101"/>
      <c r="AJ1065" s="348"/>
      <c r="AK1065" s="348">
        <v>3</v>
      </c>
      <c r="AL1065" s="123" t="s">
        <v>491</v>
      </c>
      <c r="AM1065" s="175" t="s">
        <v>492</v>
      </c>
      <c r="AN1065" s="130"/>
      <c r="AO1065" s="130"/>
      <c r="AP1065" s="115"/>
      <c r="AQ1065" s="115"/>
      <c r="AR1065" s="115"/>
      <c r="AS1065" s="115"/>
      <c r="AT1065" s="115"/>
    </row>
    <row r="1066" spans="1:46" ht="39" customHeight="1" x14ac:dyDescent="0.25">
      <c r="A1066" s="1468">
        <v>1065</v>
      </c>
      <c r="B1066" s="117"/>
      <c r="C1066" s="324"/>
      <c r="D1066" s="664"/>
      <c r="E1066" s="664"/>
      <c r="F1066" s="664"/>
      <c r="G1066" s="227"/>
      <c r="H1066" s="228"/>
      <c r="I1066" s="228"/>
      <c r="J1066" s="229"/>
      <c r="K1066" s="227"/>
      <c r="L1066" s="229"/>
      <c r="M1066" s="229"/>
      <c r="N1066" s="229"/>
      <c r="O1066" s="216"/>
      <c r="P1066" s="230" t="s">
        <v>493</v>
      </c>
      <c r="Q1066" s="373"/>
      <c r="R1066" s="982"/>
      <c r="S1066" s="279"/>
      <c r="T1066" s="232"/>
      <c r="U1066" s="250"/>
      <c r="V1066" s="232"/>
      <c r="W1066" s="232"/>
      <c r="X1066" s="232"/>
      <c r="Y1066" s="232"/>
      <c r="Z1066" s="233"/>
      <c r="AA1066" s="234"/>
      <c r="AB1066" s="235"/>
      <c r="AC1066" s="236"/>
      <c r="AD1066" s="235"/>
      <c r="AE1066" s="494"/>
      <c r="AF1066" s="494"/>
      <c r="AG1066" s="664"/>
      <c r="AH1066" s="238"/>
      <c r="AI1066" s="239"/>
      <c r="AJ1066" s="238"/>
      <c r="AK1066" s="241"/>
      <c r="AL1066" s="123"/>
      <c r="AM1066" s="123"/>
      <c r="AN1066" s="113"/>
      <c r="AO1066" s="114"/>
      <c r="AP1066" s="115"/>
      <c r="AQ1066" s="115"/>
      <c r="AR1066" s="115"/>
      <c r="AS1066" s="115"/>
      <c r="AT1066" s="116"/>
    </row>
    <row r="1067" spans="1:46" ht="39" customHeight="1" x14ac:dyDescent="0.25">
      <c r="A1067" s="1468">
        <v>1066</v>
      </c>
      <c r="B1067" s="141" t="s">
        <v>276</v>
      </c>
      <c r="C1067" s="240" t="s">
        <v>277</v>
      </c>
      <c r="D1067" s="242"/>
      <c r="E1067" s="242" t="s">
        <v>47</v>
      </c>
      <c r="F1067" s="242"/>
      <c r="G1067" s="243" t="s">
        <v>91</v>
      </c>
      <c r="H1067" s="244" t="s">
        <v>78</v>
      </c>
      <c r="I1067" s="340"/>
      <c r="J1067" s="245">
        <v>300</v>
      </c>
      <c r="K1067" s="197"/>
      <c r="L1067" s="216" t="s">
        <v>6054</v>
      </c>
      <c r="M1067" s="216" t="s">
        <v>6054</v>
      </c>
      <c r="N1067" s="245"/>
      <c r="O1067" s="392" t="s">
        <v>6117</v>
      </c>
      <c r="P1067" s="287"/>
      <c r="Q1067" s="338" t="s">
        <v>83</v>
      </c>
      <c r="R1067" s="990" t="s">
        <v>6116</v>
      </c>
      <c r="S1067" s="279">
        <v>35725</v>
      </c>
      <c r="T1067" s="197"/>
      <c r="U1067" s="250"/>
      <c r="V1067" s="250"/>
      <c r="W1067" s="197" t="s">
        <v>6184</v>
      </c>
      <c r="X1067" s="197"/>
      <c r="Y1067" s="288"/>
      <c r="Z1067" s="252"/>
      <c r="AA1067" s="246"/>
      <c r="AB1067" s="282"/>
      <c r="AC1067" s="223"/>
      <c r="AD1067" s="282"/>
      <c r="AE1067" s="494"/>
      <c r="AF1067" s="494"/>
      <c r="AG1067" s="241"/>
      <c r="AH1067" s="283"/>
      <c r="AI1067" s="254"/>
      <c r="AJ1067" s="255" t="s">
        <v>62</v>
      </c>
      <c r="AK1067" s="242">
        <v>1</v>
      </c>
      <c r="AL1067" s="123" t="s">
        <v>494</v>
      </c>
      <c r="AM1067" s="175" t="s">
        <v>492</v>
      </c>
      <c r="AN1067" s="124"/>
      <c r="AO1067" s="124"/>
      <c r="AP1067" s="115"/>
      <c r="AQ1067" s="115"/>
      <c r="AR1067" s="115"/>
      <c r="AS1067" s="115"/>
      <c r="AT1067" s="115"/>
    </row>
    <row r="1068" spans="1:46" ht="39" customHeight="1" x14ac:dyDescent="0.25">
      <c r="A1068" s="1468">
        <v>1067</v>
      </c>
      <c r="B1068" s="141">
        <v>12</v>
      </c>
      <c r="C1068" s="240" t="s">
        <v>279</v>
      </c>
      <c r="D1068" s="242"/>
      <c r="E1068" s="242" t="s">
        <v>47</v>
      </c>
      <c r="F1068" s="242"/>
      <c r="G1068" s="243" t="s">
        <v>280</v>
      </c>
      <c r="H1068" s="244" t="s">
        <v>83</v>
      </c>
      <c r="I1068" s="349"/>
      <c r="J1068" s="245">
        <v>302</v>
      </c>
      <c r="K1068" s="197" t="s">
        <v>50</v>
      </c>
      <c r="L1068" s="301"/>
      <c r="M1068" s="216"/>
      <c r="N1068" s="366"/>
      <c r="O1068" s="1476" t="s">
        <v>4013</v>
      </c>
      <c r="P1068" s="282" t="s">
        <v>1411</v>
      </c>
      <c r="Q1068" s="338" t="s">
        <v>83</v>
      </c>
      <c r="R1068" s="1163" t="s">
        <v>4012</v>
      </c>
      <c r="S1068" s="279">
        <v>27104</v>
      </c>
      <c r="T1068" s="250"/>
      <c r="U1068" s="251" t="s">
        <v>54</v>
      </c>
      <c r="V1068" s="250"/>
      <c r="W1068" s="197" t="s">
        <v>70</v>
      </c>
      <c r="X1068" s="197" t="s">
        <v>71</v>
      </c>
      <c r="Y1068" s="197"/>
      <c r="Z1068" s="246"/>
      <c r="AA1068" s="246"/>
      <c r="AB1068" s="282"/>
      <c r="AC1068" s="223"/>
      <c r="AD1068" s="301"/>
      <c r="AE1068" s="494"/>
      <c r="AF1068" s="494"/>
      <c r="AG1068" s="385"/>
      <c r="AH1068" s="386"/>
      <c r="AI1068" s="386"/>
      <c r="AJ1068" s="255" t="s">
        <v>62</v>
      </c>
      <c r="AK1068" s="242">
        <v>1</v>
      </c>
      <c r="AL1068" s="123" t="s">
        <v>494</v>
      </c>
      <c r="AM1068" s="175" t="s">
        <v>492</v>
      </c>
      <c r="AN1068" s="124"/>
      <c r="AO1068" s="124"/>
      <c r="AP1068" s="115"/>
      <c r="AQ1068" s="115"/>
      <c r="AR1068" s="115"/>
      <c r="AS1068" s="115"/>
      <c r="AT1068" s="115"/>
    </row>
    <row r="1069" spans="1:46" ht="39" customHeight="1" x14ac:dyDescent="0.25">
      <c r="A1069" s="1468">
        <v>1068</v>
      </c>
      <c r="B1069" s="142">
        <v>9</v>
      </c>
      <c r="C1069" s="311" t="s">
        <v>281</v>
      </c>
      <c r="D1069" s="241"/>
      <c r="E1069" s="312" t="s">
        <v>47</v>
      </c>
      <c r="F1069" s="241"/>
      <c r="G1069" s="313" t="s">
        <v>282</v>
      </c>
      <c r="H1069" s="314" t="s">
        <v>283</v>
      </c>
      <c r="I1069" s="350"/>
      <c r="J1069" s="281">
        <v>410</v>
      </c>
      <c r="K1069" s="216"/>
      <c r="L1069" s="216" t="s">
        <v>1856</v>
      </c>
      <c r="M1069" s="216" t="s">
        <v>1856</v>
      </c>
      <c r="N1069" s="245"/>
      <c r="O1069" s="392" t="s">
        <v>2016</v>
      </c>
      <c r="P1069" s="706" t="s">
        <v>1828</v>
      </c>
      <c r="Q1069" s="317" t="s">
        <v>283</v>
      </c>
      <c r="R1069" s="1170" t="s">
        <v>2015</v>
      </c>
      <c r="S1069" s="279">
        <v>30733</v>
      </c>
      <c r="T1069" s="197"/>
      <c r="U1069" s="251" t="s">
        <v>54</v>
      </c>
      <c r="V1069" s="280" t="s">
        <v>3508</v>
      </c>
      <c r="W1069" s="197" t="s">
        <v>2039</v>
      </c>
      <c r="X1069" s="197" t="s">
        <v>475</v>
      </c>
      <c r="Y1069" s="949" t="s">
        <v>3510</v>
      </c>
      <c r="Z1069" s="612">
        <v>45205</v>
      </c>
      <c r="AA1069" s="246"/>
      <c r="AB1069" s="282"/>
      <c r="AC1069" s="223"/>
      <c r="AD1069" s="282"/>
      <c r="AE1069" s="494"/>
      <c r="AF1069" s="494"/>
      <c r="AG1069" s="241"/>
      <c r="AH1069" s="283"/>
      <c r="AI1069" s="296"/>
      <c r="AJ1069" s="317" t="s">
        <v>47</v>
      </c>
      <c r="AK1069" s="312">
        <v>2</v>
      </c>
      <c r="AL1069" s="123" t="s">
        <v>494</v>
      </c>
      <c r="AM1069" s="175" t="s">
        <v>492</v>
      </c>
      <c r="AN1069" s="133"/>
      <c r="AO1069" s="133"/>
      <c r="AP1069" s="115"/>
      <c r="AQ1069" s="115"/>
      <c r="AR1069" s="115"/>
      <c r="AS1069" s="115"/>
      <c r="AT1069" s="115"/>
    </row>
    <row r="1070" spans="1:46" ht="39" customHeight="1" x14ac:dyDescent="0.25">
      <c r="A1070" s="1468">
        <v>1069</v>
      </c>
      <c r="B1070" s="142">
        <v>9</v>
      </c>
      <c r="C1070" s="311" t="s">
        <v>284</v>
      </c>
      <c r="D1070" s="241"/>
      <c r="E1070" s="312" t="s">
        <v>47</v>
      </c>
      <c r="F1070" s="241"/>
      <c r="G1070" s="313" t="s">
        <v>285</v>
      </c>
      <c r="H1070" s="314" t="s">
        <v>283</v>
      </c>
      <c r="I1070" s="350"/>
      <c r="J1070" s="281">
        <v>410</v>
      </c>
      <c r="K1070" s="216"/>
      <c r="L1070" s="252" t="s">
        <v>2577</v>
      </c>
      <c r="M1070" s="252" t="s">
        <v>2577</v>
      </c>
      <c r="N1070" s="245"/>
      <c r="O1070" s="1259" t="s">
        <v>3235</v>
      </c>
      <c r="P1070" s="287" t="s">
        <v>1828</v>
      </c>
      <c r="Q1070" s="317" t="s">
        <v>153</v>
      </c>
      <c r="R1070" s="1170" t="s">
        <v>3234</v>
      </c>
      <c r="S1070" s="279">
        <v>25965</v>
      </c>
      <c r="T1070" s="250"/>
      <c r="U1070" s="251" t="s">
        <v>391</v>
      </c>
      <c r="V1070" s="250" t="s">
        <v>5067</v>
      </c>
      <c r="W1070" s="197" t="s">
        <v>3672</v>
      </c>
      <c r="X1070" s="197" t="s">
        <v>2002</v>
      </c>
      <c r="Y1070" s="288" t="s">
        <v>5068</v>
      </c>
      <c r="Z1070" s="252">
        <v>45254</v>
      </c>
      <c r="AA1070" s="252"/>
      <c r="AB1070" s="281"/>
      <c r="AC1070" s="223"/>
      <c r="AD1070" s="281"/>
      <c r="AE1070" s="494"/>
      <c r="AF1070" s="494"/>
      <c r="AG1070" s="241"/>
      <c r="AH1070" s="283"/>
      <c r="AI1070" s="422"/>
      <c r="AJ1070" s="317" t="s">
        <v>47</v>
      </c>
      <c r="AK1070" s="312">
        <v>2</v>
      </c>
      <c r="AL1070" s="123" t="s">
        <v>494</v>
      </c>
      <c r="AM1070" s="175" t="s">
        <v>492</v>
      </c>
      <c r="AN1070" s="133"/>
      <c r="AO1070" s="133"/>
      <c r="AP1070" s="115"/>
      <c r="AQ1070" s="115"/>
      <c r="AR1070" s="115"/>
      <c r="AS1070" s="115"/>
      <c r="AT1070" s="115"/>
    </row>
    <row r="1071" spans="1:46" ht="39" customHeight="1" x14ac:dyDescent="0.25">
      <c r="A1071" s="1468">
        <v>1070</v>
      </c>
      <c r="B1071" s="142">
        <v>6</v>
      </c>
      <c r="C1071" s="311" t="s">
        <v>286</v>
      </c>
      <c r="D1071" s="241"/>
      <c r="E1071" s="312" t="s">
        <v>47</v>
      </c>
      <c r="F1071" s="241"/>
      <c r="G1071" s="313" t="s">
        <v>287</v>
      </c>
      <c r="H1071" s="323" t="s">
        <v>153</v>
      </c>
      <c r="I1071" s="354"/>
      <c r="J1071" s="256">
        <v>400</v>
      </c>
      <c r="K1071" s="216"/>
      <c r="L1071" s="252"/>
      <c r="M1071" s="252"/>
      <c r="N1071" s="245"/>
      <c r="O1071" s="1493"/>
      <c r="P1071" s="287"/>
      <c r="Q1071" s="317"/>
      <c r="R1071" s="683" t="s">
        <v>66</v>
      </c>
      <c r="S1071" s="279"/>
      <c r="T1071" s="250"/>
      <c r="U1071" s="250"/>
      <c r="V1071" s="250"/>
      <c r="W1071" s="197"/>
      <c r="X1071" s="197"/>
      <c r="Y1071" s="288"/>
      <c r="Z1071" s="252"/>
      <c r="AA1071" s="252"/>
      <c r="AB1071" s="281"/>
      <c r="AC1071" s="223"/>
      <c r="AD1071" s="281"/>
      <c r="AE1071" s="494"/>
      <c r="AF1071" s="494"/>
      <c r="AG1071" s="241"/>
      <c r="AH1071" s="283"/>
      <c r="AI1071" s="422"/>
      <c r="AJ1071" s="317"/>
      <c r="AK1071" s="312">
        <v>2</v>
      </c>
      <c r="AL1071" s="123" t="s">
        <v>494</v>
      </c>
      <c r="AM1071" s="175" t="s">
        <v>492</v>
      </c>
      <c r="AN1071" s="133"/>
      <c r="AO1071" s="133"/>
      <c r="AP1071" s="115"/>
      <c r="AQ1071" s="115"/>
      <c r="AR1071" s="115"/>
      <c r="AS1071" s="115"/>
      <c r="AT1071" s="115"/>
    </row>
    <row r="1072" spans="1:46" ht="39" customHeight="1" x14ac:dyDescent="0.25">
      <c r="A1072" s="1468">
        <v>1071</v>
      </c>
      <c r="B1072" s="141">
        <v>5</v>
      </c>
      <c r="C1072" s="290" t="s">
        <v>288</v>
      </c>
      <c r="D1072" s="291"/>
      <c r="E1072" s="291" t="s">
        <v>47</v>
      </c>
      <c r="F1072" s="291"/>
      <c r="G1072" s="292" t="s">
        <v>289</v>
      </c>
      <c r="H1072" s="293" t="s">
        <v>132</v>
      </c>
      <c r="I1072" s="344">
        <v>144</v>
      </c>
      <c r="J1072" s="256">
        <v>403</v>
      </c>
      <c r="K1072" s="277"/>
      <c r="L1072" s="756" t="s">
        <v>1526</v>
      </c>
      <c r="M1072" s="756" t="s">
        <v>1526</v>
      </c>
      <c r="N1072" s="454"/>
      <c r="O1072" s="385" t="s">
        <v>1581</v>
      </c>
      <c r="P1072" s="454"/>
      <c r="Q1072" s="485" t="s">
        <v>87</v>
      </c>
      <c r="R1072" s="998" t="s">
        <v>3278</v>
      </c>
      <c r="S1072" s="279">
        <v>26799</v>
      </c>
      <c r="T1072" s="280"/>
      <c r="U1072" s="251" t="s">
        <v>54</v>
      </c>
      <c r="V1072" s="250" t="s">
        <v>1676</v>
      </c>
      <c r="W1072" s="197" t="s">
        <v>56</v>
      </c>
      <c r="X1072" s="197" t="s">
        <v>57</v>
      </c>
      <c r="Y1072" s="981" t="s">
        <v>5824</v>
      </c>
      <c r="Z1072" s="246"/>
      <c r="AA1072" s="388"/>
      <c r="AB1072" s="288"/>
      <c r="AC1072" s="223"/>
      <c r="AD1072" s="288"/>
      <c r="AE1072" s="384"/>
      <c r="AF1072" s="384"/>
      <c r="AG1072" s="1459"/>
      <c r="AH1072" s="283"/>
      <c r="AI1072" s="254"/>
      <c r="AJ1072" s="348" t="s">
        <v>560</v>
      </c>
      <c r="AK1072" s="348">
        <v>3</v>
      </c>
      <c r="AL1072" s="123" t="s">
        <v>494</v>
      </c>
      <c r="AM1072" s="175" t="s">
        <v>492</v>
      </c>
      <c r="AN1072" s="130"/>
      <c r="AO1072" s="130"/>
      <c r="AP1072" s="115"/>
      <c r="AQ1072" s="115"/>
      <c r="AR1072" s="115"/>
      <c r="AS1072" s="115"/>
      <c r="AT1072" s="115"/>
    </row>
    <row r="1073" spans="1:46" ht="39" customHeight="1" x14ac:dyDescent="0.25">
      <c r="A1073" s="1468">
        <v>1072</v>
      </c>
      <c r="B1073" s="141">
        <v>3</v>
      </c>
      <c r="C1073" s="356" t="s">
        <v>290</v>
      </c>
      <c r="D1073" s="241" t="s">
        <v>134</v>
      </c>
      <c r="E1073" s="241"/>
      <c r="F1073" s="241"/>
      <c r="G1073" s="261" t="s">
        <v>291</v>
      </c>
      <c r="H1073" s="262" t="s">
        <v>87</v>
      </c>
      <c r="I1073" s="357"/>
      <c r="J1073" s="245" t="s">
        <v>561</v>
      </c>
      <c r="K1073" s="216"/>
      <c r="L1073" s="299" t="s">
        <v>1508</v>
      </c>
      <c r="M1073" s="299" t="s">
        <v>1708</v>
      </c>
      <c r="N1073" s="245"/>
      <c r="O1073" s="392" t="s">
        <v>2979</v>
      </c>
      <c r="P1073" s="627"/>
      <c r="Q1073" s="282" t="s">
        <v>293</v>
      </c>
      <c r="R1073" s="381" t="s">
        <v>1614</v>
      </c>
      <c r="S1073" s="279" t="s">
        <v>4797</v>
      </c>
      <c r="T1073" s="289"/>
      <c r="U1073" s="251" t="s">
        <v>54</v>
      </c>
      <c r="V1073" s="197" t="s">
        <v>1987</v>
      </c>
      <c r="W1073" s="197" t="s">
        <v>2039</v>
      </c>
      <c r="X1073" s="197" t="s">
        <v>57</v>
      </c>
      <c r="Y1073" s="147" t="s">
        <v>2040</v>
      </c>
      <c r="Z1073" s="246">
        <v>45147</v>
      </c>
      <c r="AA1073" s="281"/>
      <c r="AB1073" s="1240" t="s">
        <v>4483</v>
      </c>
      <c r="AC1073" s="223" t="s">
        <v>946</v>
      </c>
      <c r="AD1073" s="245"/>
      <c r="AE1073" s="494" t="s">
        <v>4345</v>
      </c>
      <c r="AF1073" s="494">
        <v>45478</v>
      </c>
      <c r="AG1073" s="241"/>
      <c r="AH1073" s="253"/>
      <c r="AI1073" s="284" t="s">
        <v>1351</v>
      </c>
      <c r="AJ1073" s="303" t="s">
        <v>136</v>
      </c>
      <c r="AK1073" s="241">
        <v>4</v>
      </c>
      <c r="AL1073" s="123" t="s">
        <v>494</v>
      </c>
      <c r="AM1073" s="175" t="s">
        <v>492</v>
      </c>
      <c r="AN1073" s="110" t="s">
        <v>4184</v>
      </c>
      <c r="AO1073" s="110"/>
      <c r="AP1073" s="115"/>
      <c r="AQ1073" s="115"/>
      <c r="AR1073" s="115"/>
      <c r="AS1073" s="115"/>
      <c r="AT1073" s="115"/>
    </row>
    <row r="1074" spans="1:46" ht="39" customHeight="1" x14ac:dyDescent="0.25">
      <c r="A1074" s="1468">
        <v>1073</v>
      </c>
      <c r="B1074" s="141">
        <v>3</v>
      </c>
      <c r="C1074" s="358" t="s">
        <v>297</v>
      </c>
      <c r="D1074" s="241" t="s">
        <v>134</v>
      </c>
      <c r="E1074" s="241"/>
      <c r="F1074" s="241"/>
      <c r="G1074" s="261" t="s">
        <v>298</v>
      </c>
      <c r="H1074" s="262" t="s">
        <v>85</v>
      </c>
      <c r="I1074" s="357"/>
      <c r="J1074" s="245" t="s">
        <v>556</v>
      </c>
      <c r="K1074" s="277"/>
      <c r="L1074" s="412" t="s">
        <v>5916</v>
      </c>
      <c r="M1074" s="412" t="s">
        <v>5916</v>
      </c>
      <c r="N1074" s="276"/>
      <c r="O1074" s="412" t="s">
        <v>6020</v>
      </c>
      <c r="P1074" s="772"/>
      <c r="Q1074" s="344" t="s">
        <v>85</v>
      </c>
      <c r="R1074" s="998" t="s">
        <v>6019</v>
      </c>
      <c r="S1074" s="279">
        <v>37862</v>
      </c>
      <c r="T1074" s="399"/>
      <c r="U1074" s="197"/>
      <c r="V1074" s="280"/>
      <c r="W1074" s="280"/>
      <c r="X1074" s="280"/>
      <c r="Y1074" s="988"/>
      <c r="Z1074" s="486"/>
      <c r="AA1074" s="441"/>
      <c r="AB1074" s="250"/>
      <c r="AC1074" s="223"/>
      <c r="AD1074" s="276"/>
      <c r="AE1074" s="494"/>
      <c r="AF1074" s="494"/>
      <c r="AG1074" s="476"/>
      <c r="AH1074" s="871"/>
      <c r="AI1074" s="760"/>
      <c r="AJ1074" s="348" t="s">
        <v>560</v>
      </c>
      <c r="AK1074" s="241">
        <v>4</v>
      </c>
      <c r="AL1074" s="123" t="s">
        <v>494</v>
      </c>
      <c r="AM1074" s="175" t="s">
        <v>492</v>
      </c>
      <c r="AN1074" s="110"/>
      <c r="AO1074" s="110"/>
      <c r="AP1074" s="115"/>
      <c r="AQ1074" s="115"/>
      <c r="AR1074" s="115"/>
      <c r="AS1074" s="115"/>
      <c r="AT1074" s="116"/>
    </row>
    <row r="1075" spans="1:46" ht="39" customHeight="1" x14ac:dyDescent="0.25">
      <c r="A1075" s="1468">
        <v>1074</v>
      </c>
      <c r="B1075" s="141">
        <v>2</v>
      </c>
      <c r="C1075" s="260" t="s">
        <v>299</v>
      </c>
      <c r="D1075" s="241"/>
      <c r="E1075" s="241"/>
      <c r="F1075" s="241"/>
      <c r="G1075" s="261" t="s">
        <v>300</v>
      </c>
      <c r="H1075" s="262" t="s">
        <v>87</v>
      </c>
      <c r="I1075" s="357"/>
      <c r="J1075" s="245" t="s">
        <v>561</v>
      </c>
      <c r="K1075" s="434"/>
      <c r="L1075" s="281" t="s">
        <v>5746</v>
      </c>
      <c r="M1075" s="281" t="s">
        <v>5746</v>
      </c>
      <c r="N1075" s="496"/>
      <c r="O1075" s="392" t="s">
        <v>5745</v>
      </c>
      <c r="P1075" s="505"/>
      <c r="Q1075" s="344" t="s">
        <v>85</v>
      </c>
      <c r="R1075" s="998" t="s">
        <v>5744</v>
      </c>
      <c r="S1075" s="279">
        <v>31717</v>
      </c>
      <c r="T1075" s="440"/>
      <c r="U1075" s="251" t="s">
        <v>178</v>
      </c>
      <c r="V1075" s="280" t="s">
        <v>6071</v>
      </c>
      <c r="W1075" s="197" t="s">
        <v>5716</v>
      </c>
      <c r="X1075" s="197" t="s">
        <v>3477</v>
      </c>
      <c r="Y1075" s="981" t="s">
        <v>6087</v>
      </c>
      <c r="Z1075" s="612">
        <v>45310</v>
      </c>
      <c r="AA1075" s="612">
        <v>45338</v>
      </c>
      <c r="AB1075" s="197"/>
      <c r="AC1075" s="223"/>
      <c r="AD1075" s="299"/>
      <c r="AE1075" s="494"/>
      <c r="AF1075" s="494"/>
      <c r="AG1075" s="299"/>
      <c r="AH1075" s="299"/>
      <c r="AI1075" s="254"/>
      <c r="AJ1075" s="348" t="s">
        <v>560</v>
      </c>
      <c r="AK1075" s="241">
        <v>4</v>
      </c>
      <c r="AL1075" s="123" t="s">
        <v>494</v>
      </c>
      <c r="AM1075" s="175" t="s">
        <v>492</v>
      </c>
      <c r="AN1075" s="110"/>
      <c r="AO1075" s="218"/>
      <c r="AP1075" s="1157"/>
      <c r="AQ1075" s="464"/>
      <c r="AR1075" s="115"/>
      <c r="AS1075" s="115"/>
      <c r="AT1075" s="115"/>
    </row>
    <row r="1076" spans="1:46" ht="39" customHeight="1" x14ac:dyDescent="0.25">
      <c r="A1076" s="1468">
        <v>1075</v>
      </c>
      <c r="B1076" s="146">
        <v>2</v>
      </c>
      <c r="C1076" s="260" t="s">
        <v>86</v>
      </c>
      <c r="D1076" s="241"/>
      <c r="E1076" s="241"/>
      <c r="F1076" s="241"/>
      <c r="G1076" s="261" t="s">
        <v>303</v>
      </c>
      <c r="H1076" s="262" t="s">
        <v>87</v>
      </c>
      <c r="I1076" s="364"/>
      <c r="J1076" s="245" t="s">
        <v>561</v>
      </c>
      <c r="K1076" s="257"/>
      <c r="L1076" s="299" t="s">
        <v>1508</v>
      </c>
      <c r="M1076" s="299" t="s">
        <v>1708</v>
      </c>
      <c r="N1076" s="245"/>
      <c r="O1076" s="392" t="s">
        <v>2995</v>
      </c>
      <c r="P1076" s="627"/>
      <c r="Q1076" s="594" t="s">
        <v>293</v>
      </c>
      <c r="R1076" s="381" t="s">
        <v>1668</v>
      </c>
      <c r="S1076" s="279">
        <v>37084</v>
      </c>
      <c r="T1076" s="289"/>
      <c r="U1076" s="251" t="s">
        <v>54</v>
      </c>
      <c r="V1076" s="197" t="s">
        <v>1987</v>
      </c>
      <c r="W1076" s="197" t="s">
        <v>2039</v>
      </c>
      <c r="X1076" s="197" t="s">
        <v>57</v>
      </c>
      <c r="Y1076" s="147" t="s">
        <v>2040</v>
      </c>
      <c r="Z1076" s="246">
        <v>45147</v>
      </c>
      <c r="AA1076" s="281"/>
      <c r="AB1076" s="1239" t="s">
        <v>4486</v>
      </c>
      <c r="AC1076" s="223" t="s">
        <v>946</v>
      </c>
      <c r="AD1076" s="245"/>
      <c r="AE1076" s="494">
        <v>45115</v>
      </c>
      <c r="AF1076" s="494">
        <v>45480</v>
      </c>
      <c r="AG1076" s="241"/>
      <c r="AH1076" s="253"/>
      <c r="AI1076" s="284" t="s">
        <v>1351</v>
      </c>
      <c r="AJ1076" s="303" t="s">
        <v>136</v>
      </c>
      <c r="AK1076" s="241">
        <v>4</v>
      </c>
      <c r="AL1076" s="123" t="s">
        <v>494</v>
      </c>
      <c r="AM1076" s="175" t="s">
        <v>492</v>
      </c>
      <c r="AN1076" s="110"/>
      <c r="AO1076" s="380"/>
      <c r="AP1076" s="1157"/>
      <c r="AQ1076" s="464"/>
      <c r="AR1076" s="115"/>
      <c r="AS1076" s="115"/>
      <c r="AT1076" s="115"/>
    </row>
    <row r="1077" spans="1:46" ht="39" customHeight="1" x14ac:dyDescent="0.25">
      <c r="A1077" s="1468">
        <v>1076</v>
      </c>
      <c r="B1077" s="117"/>
      <c r="C1077" s="324"/>
      <c r="D1077" s="664"/>
      <c r="E1077" s="664"/>
      <c r="F1077" s="664"/>
      <c r="G1077" s="227"/>
      <c r="H1077" s="228"/>
      <c r="I1077" s="228"/>
      <c r="J1077" s="229"/>
      <c r="K1077" s="227"/>
      <c r="L1077" s="229"/>
      <c r="M1077" s="229"/>
      <c r="N1077" s="229"/>
      <c r="O1077" s="216"/>
      <c r="P1077" s="230" t="s">
        <v>304</v>
      </c>
      <c r="Q1077" s="373"/>
      <c r="R1077" s="1004"/>
      <c r="S1077" s="232"/>
      <c r="T1077" s="232"/>
      <c r="U1077" s="232"/>
      <c r="V1077" s="232"/>
      <c r="W1077" s="232"/>
      <c r="X1077" s="232"/>
      <c r="Y1077" s="232"/>
      <c r="Z1077" s="233"/>
      <c r="AA1077" s="234"/>
      <c r="AB1077" s="235"/>
      <c r="AC1077" s="236"/>
      <c r="AD1077" s="235"/>
      <c r="AE1077" s="494"/>
      <c r="AF1077" s="494"/>
      <c r="AG1077" s="664"/>
      <c r="AH1077" s="238"/>
      <c r="AI1077" s="239"/>
      <c r="AJ1077" s="303"/>
      <c r="AK1077" s="241"/>
      <c r="AL1077" s="122"/>
      <c r="AM1077" s="122"/>
      <c r="AN1077" s="113"/>
      <c r="AO1077" s="114"/>
      <c r="AP1077" s="115"/>
      <c r="AQ1077" s="115"/>
      <c r="AR1077" s="115"/>
      <c r="AS1077" s="115"/>
      <c r="AT1077" s="116"/>
    </row>
    <row r="1078" spans="1:46" ht="39" customHeight="1" x14ac:dyDescent="0.25">
      <c r="A1078" s="1468">
        <v>1077</v>
      </c>
      <c r="B1078" s="141">
        <v>10</v>
      </c>
      <c r="C1078" s="240" t="s">
        <v>305</v>
      </c>
      <c r="D1078" s="242"/>
      <c r="E1078" s="242" t="s">
        <v>47</v>
      </c>
      <c r="F1078" s="242"/>
      <c r="G1078" s="243" t="s">
        <v>91</v>
      </c>
      <c r="H1078" s="244" t="s">
        <v>83</v>
      </c>
      <c r="I1078" s="340"/>
      <c r="J1078" s="245">
        <v>302</v>
      </c>
      <c r="K1078" s="1278"/>
      <c r="L1078" s="301" t="s">
        <v>2055</v>
      </c>
      <c r="M1078" s="301" t="s">
        <v>2055</v>
      </c>
      <c r="N1078" s="1278"/>
      <c r="O1078" s="950" t="s">
        <v>2054</v>
      </c>
      <c r="P1078" s="1278"/>
      <c r="Q1078" s="338" t="s">
        <v>2053</v>
      </c>
      <c r="R1078" s="990" t="s">
        <v>2052</v>
      </c>
      <c r="S1078" s="279">
        <v>31215</v>
      </c>
      <c r="T1078" s="1278"/>
      <c r="U1078" s="251" t="s">
        <v>54</v>
      </c>
      <c r="V1078" s="280" t="s">
        <v>3508</v>
      </c>
      <c r="W1078" s="197" t="s">
        <v>2039</v>
      </c>
      <c r="X1078" s="197" t="s">
        <v>475</v>
      </c>
      <c r="Y1078" s="949" t="s">
        <v>3510</v>
      </c>
      <c r="Z1078" s="612">
        <v>45205</v>
      </c>
      <c r="AA1078" s="1278"/>
      <c r="AB1078" s="1292"/>
      <c r="AC1078" s="1278"/>
      <c r="AD1078" s="1279"/>
      <c r="AE1078" s="494"/>
      <c r="AF1078" s="494"/>
      <c r="AG1078" s="1278"/>
      <c r="AH1078" s="1278"/>
      <c r="AI1078" s="1479"/>
      <c r="AJ1078" s="444" t="s">
        <v>62</v>
      </c>
      <c r="AK1078" s="242">
        <v>1</v>
      </c>
      <c r="AL1078" s="123" t="s">
        <v>494</v>
      </c>
      <c r="AM1078" s="175" t="s">
        <v>492</v>
      </c>
      <c r="AN1078" s="124"/>
      <c r="AO1078" s="124"/>
      <c r="AP1078" s="115"/>
      <c r="AQ1078" s="115"/>
      <c r="AR1078" s="115"/>
      <c r="AS1078" s="115"/>
      <c r="AT1078" s="115"/>
    </row>
    <row r="1079" spans="1:46" ht="39" customHeight="1" x14ac:dyDescent="0.25">
      <c r="A1079" s="1468">
        <v>1078</v>
      </c>
      <c r="B1079" s="117"/>
      <c r="C1079" s="324"/>
      <c r="D1079" s="664"/>
      <c r="E1079" s="664"/>
      <c r="F1079" s="664"/>
      <c r="G1079" s="227"/>
      <c r="H1079" s="228"/>
      <c r="I1079" s="228"/>
      <c r="J1079" s="229"/>
      <c r="K1079" s="433"/>
      <c r="L1079" s="329"/>
      <c r="M1079" s="329"/>
      <c r="N1079" s="329"/>
      <c r="O1079" s="330"/>
      <c r="P1079" s="273" t="s">
        <v>306</v>
      </c>
      <c r="Q1079" s="373"/>
      <c r="R1079" s="1004"/>
      <c r="S1079" s="232"/>
      <c r="T1079" s="232"/>
      <c r="U1079" s="232"/>
      <c r="V1079" s="232"/>
      <c r="W1079" s="690"/>
      <c r="X1079" s="690"/>
      <c r="Y1079" s="690"/>
      <c r="Z1079" s="691"/>
      <c r="AA1079" s="692"/>
      <c r="AB1079" s="693"/>
      <c r="AC1079" s="694"/>
      <c r="AD1079" s="693"/>
      <c r="AE1079" s="494"/>
      <c r="AF1079" s="494"/>
      <c r="AG1079" s="646"/>
      <c r="AH1079" s="696"/>
      <c r="AI1079" s="697"/>
      <c r="AJ1079" s="507"/>
      <c r="AK1079" s="241"/>
      <c r="AL1079" s="122"/>
      <c r="AM1079" s="122"/>
      <c r="AN1079" s="113"/>
      <c r="AO1079" s="114"/>
      <c r="AP1079" s="115"/>
      <c r="AQ1079" s="115"/>
      <c r="AR1079" s="115"/>
      <c r="AS1079" s="115"/>
      <c r="AT1079" s="116"/>
    </row>
    <row r="1080" spans="1:46" ht="39" customHeight="1" x14ac:dyDescent="0.25">
      <c r="A1080" s="1468">
        <v>1079</v>
      </c>
      <c r="B1080" s="146">
        <v>7</v>
      </c>
      <c r="C1080" s="290" t="s">
        <v>307</v>
      </c>
      <c r="D1080" s="291"/>
      <c r="E1080" s="291" t="s">
        <v>47</v>
      </c>
      <c r="F1080" s="291"/>
      <c r="G1080" s="292" t="s">
        <v>308</v>
      </c>
      <c r="H1080" s="370" t="s">
        <v>132</v>
      </c>
      <c r="I1080" s="371" t="s">
        <v>309</v>
      </c>
      <c r="J1080" s="256">
        <v>403</v>
      </c>
      <c r="K1080" s="366"/>
      <c r="L1080" s="392"/>
      <c r="M1080" s="392"/>
      <c r="N1080" s="366"/>
      <c r="O1080" s="392" t="s">
        <v>3199</v>
      </c>
      <c r="P1080" s="282" t="s">
        <v>1411</v>
      </c>
      <c r="Q1080" s="344" t="s">
        <v>132</v>
      </c>
      <c r="R1080" s="998" t="s">
        <v>586</v>
      </c>
      <c r="S1080" s="279">
        <v>31736</v>
      </c>
      <c r="T1080" s="451"/>
      <c r="U1080" s="251" t="s">
        <v>54</v>
      </c>
      <c r="V1080" s="197"/>
      <c r="W1080" s="197" t="s">
        <v>70</v>
      </c>
      <c r="X1080" s="197" t="s">
        <v>71</v>
      </c>
      <c r="Y1080" s="366"/>
      <c r="Z1080" s="366"/>
      <c r="AA1080" s="366"/>
      <c r="AB1080" s="1289"/>
      <c r="AC1080" s="366"/>
      <c r="AD1080" s="658"/>
      <c r="AE1080" s="494"/>
      <c r="AF1080" s="494"/>
      <c r="AG1080" s="366"/>
      <c r="AH1080" s="366"/>
      <c r="AI1080" s="392"/>
      <c r="AJ1080" s="348" t="s">
        <v>560</v>
      </c>
      <c r="AK1080" s="348">
        <v>3</v>
      </c>
      <c r="AL1080" s="123" t="s">
        <v>494</v>
      </c>
      <c r="AM1080" s="175" t="s">
        <v>492</v>
      </c>
      <c r="AN1080" s="130"/>
      <c r="AO1080" s="130"/>
      <c r="AP1080" s="115"/>
      <c r="AQ1080" s="115"/>
      <c r="AR1080" s="115"/>
      <c r="AS1080" s="115"/>
      <c r="AT1080" s="115"/>
    </row>
    <row r="1081" spans="1:46" ht="39" customHeight="1" x14ac:dyDescent="0.25">
      <c r="A1081" s="1468">
        <v>1080</v>
      </c>
      <c r="B1081" s="141">
        <v>3</v>
      </c>
      <c r="C1081" s="356" t="s">
        <v>290</v>
      </c>
      <c r="D1081" s="241" t="s">
        <v>134</v>
      </c>
      <c r="E1081" s="241"/>
      <c r="F1081" s="241"/>
      <c r="G1081" s="261" t="s">
        <v>291</v>
      </c>
      <c r="H1081" s="262" t="s">
        <v>85</v>
      </c>
      <c r="I1081" s="371"/>
      <c r="J1081" s="245" t="s">
        <v>556</v>
      </c>
      <c r="K1081" s="216"/>
      <c r="L1081" s="299" t="s">
        <v>1508</v>
      </c>
      <c r="M1081" s="299" t="s">
        <v>1708</v>
      </c>
      <c r="N1081" s="245"/>
      <c r="O1081" s="392" t="s">
        <v>2977</v>
      </c>
      <c r="P1081" s="627"/>
      <c r="Q1081" s="594" t="s">
        <v>293</v>
      </c>
      <c r="R1081" s="381" t="s">
        <v>1667</v>
      </c>
      <c r="S1081" s="279">
        <v>37748</v>
      </c>
      <c r="T1081" s="289"/>
      <c r="U1081" s="251" t="s">
        <v>54</v>
      </c>
      <c r="V1081" s="197" t="s">
        <v>1987</v>
      </c>
      <c r="W1081" s="197" t="s">
        <v>2039</v>
      </c>
      <c r="X1081" s="197" t="s">
        <v>57</v>
      </c>
      <c r="Y1081" s="147" t="s">
        <v>2040</v>
      </c>
      <c r="Z1081" s="246">
        <v>45147</v>
      </c>
      <c r="AA1081" s="281"/>
      <c r="AB1081" s="250" t="s">
        <v>4487</v>
      </c>
      <c r="AC1081" s="223" t="s">
        <v>946</v>
      </c>
      <c r="AD1081" s="245"/>
      <c r="AE1081" s="494">
        <v>45115</v>
      </c>
      <c r="AF1081" s="494">
        <v>45480</v>
      </c>
      <c r="AG1081" s="241"/>
      <c r="AH1081" s="253"/>
      <c r="AI1081" s="284" t="s">
        <v>1351</v>
      </c>
      <c r="AJ1081" s="303" t="s">
        <v>136</v>
      </c>
      <c r="AK1081" s="241">
        <v>4</v>
      </c>
      <c r="AL1081" s="123" t="s">
        <v>494</v>
      </c>
      <c r="AM1081" s="175" t="s">
        <v>492</v>
      </c>
      <c r="AN1081" s="110" t="s">
        <v>4184</v>
      </c>
      <c r="AO1081" s="130"/>
      <c r="AP1081" s="115"/>
      <c r="AQ1081" s="115"/>
      <c r="AR1081" s="115"/>
      <c r="AS1081" s="115"/>
      <c r="AT1081" s="115"/>
    </row>
    <row r="1082" spans="1:46" ht="39" customHeight="1" x14ac:dyDescent="0.25">
      <c r="A1082" s="1468">
        <v>1081</v>
      </c>
      <c r="B1082" s="141">
        <v>3</v>
      </c>
      <c r="C1082" s="358" t="s">
        <v>297</v>
      </c>
      <c r="D1082" s="241" t="s">
        <v>134</v>
      </c>
      <c r="E1082" s="241"/>
      <c r="F1082" s="241"/>
      <c r="G1082" s="261" t="s">
        <v>298</v>
      </c>
      <c r="H1082" s="262" t="s">
        <v>85</v>
      </c>
      <c r="I1082" s="371"/>
      <c r="J1082" s="245" t="s">
        <v>556</v>
      </c>
      <c r="K1082" s="257"/>
      <c r="L1082" s="301" t="s">
        <v>1679</v>
      </c>
      <c r="M1082" s="301" t="s">
        <v>1347</v>
      </c>
      <c r="N1082" s="299"/>
      <c r="O1082" s="392" t="s">
        <v>2884</v>
      </c>
      <c r="P1082" s="300"/>
      <c r="Q1082" s="301" t="s">
        <v>293</v>
      </c>
      <c r="R1082" s="427" t="s">
        <v>1379</v>
      </c>
      <c r="S1082" s="279">
        <v>37080</v>
      </c>
      <c r="T1082" s="289"/>
      <c r="U1082" s="251" t="s">
        <v>54</v>
      </c>
      <c r="V1082" s="280" t="s">
        <v>3508</v>
      </c>
      <c r="W1082" s="197" t="s">
        <v>2039</v>
      </c>
      <c r="X1082" s="197" t="s">
        <v>475</v>
      </c>
      <c r="Y1082" s="949" t="s">
        <v>3510</v>
      </c>
      <c r="Z1082" s="612">
        <v>45205</v>
      </c>
      <c r="AA1082" s="289"/>
      <c r="AB1082" s="288" t="s">
        <v>4488</v>
      </c>
      <c r="AC1082" s="223" t="s">
        <v>946</v>
      </c>
      <c r="AD1082" s="299"/>
      <c r="AE1082" s="494">
        <v>45083</v>
      </c>
      <c r="AF1082" s="494">
        <v>45448</v>
      </c>
      <c r="AG1082" s="299"/>
      <c r="AH1082" s="299"/>
      <c r="AI1082" s="254" t="s">
        <v>1351</v>
      </c>
      <c r="AJ1082" s="303" t="s">
        <v>136</v>
      </c>
      <c r="AK1082" s="241">
        <v>4</v>
      </c>
      <c r="AL1082" s="123" t="s">
        <v>494</v>
      </c>
      <c r="AM1082" s="175" t="s">
        <v>492</v>
      </c>
      <c r="AN1082" s="130"/>
      <c r="AO1082" s="130"/>
      <c r="AP1082" s="115"/>
      <c r="AQ1082" s="115"/>
      <c r="AR1082" s="115"/>
      <c r="AS1082" s="115"/>
      <c r="AT1082" s="116"/>
    </row>
    <row r="1083" spans="1:46" ht="39" customHeight="1" x14ac:dyDescent="0.25">
      <c r="A1083" s="1468">
        <v>1082</v>
      </c>
      <c r="B1083" s="141">
        <v>2</v>
      </c>
      <c r="C1083" s="260" t="s">
        <v>311</v>
      </c>
      <c r="D1083" s="241"/>
      <c r="E1083" s="241"/>
      <c r="F1083" s="241"/>
      <c r="G1083" s="261" t="s">
        <v>312</v>
      </c>
      <c r="H1083" s="262" t="s">
        <v>85</v>
      </c>
      <c r="I1083" s="371"/>
      <c r="J1083" s="245" t="s">
        <v>556</v>
      </c>
      <c r="K1083" s="436"/>
      <c r="L1083" s="282" t="s">
        <v>2800</v>
      </c>
      <c r="M1083" s="282" t="s">
        <v>2800</v>
      </c>
      <c r="N1083" s="412"/>
      <c r="O1083" s="906" t="s">
        <v>2246</v>
      </c>
      <c r="P1083" s="454"/>
      <c r="Q1083" s="485" t="s">
        <v>87</v>
      </c>
      <c r="R1083" s="998" t="s">
        <v>2245</v>
      </c>
      <c r="S1083" s="279">
        <v>33521</v>
      </c>
      <c r="T1083" s="399"/>
      <c r="U1083" s="251" t="s">
        <v>886</v>
      </c>
      <c r="V1083" s="476" t="s">
        <v>6101</v>
      </c>
      <c r="W1083" s="280" t="s">
        <v>886</v>
      </c>
      <c r="X1083" s="299" t="s">
        <v>886</v>
      </c>
      <c r="Y1083" s="299"/>
      <c r="Z1083" s="289">
        <v>45317</v>
      </c>
      <c r="AA1083" s="289"/>
      <c r="AB1083" s="412"/>
      <c r="AC1083" s="488"/>
      <c r="AD1083" s="412"/>
      <c r="AE1083" s="494"/>
      <c r="AF1083" s="494"/>
      <c r="AG1083" s="412"/>
      <c r="AH1083" s="412"/>
      <c r="AI1083" s="488"/>
      <c r="AJ1083" s="491" t="s">
        <v>560</v>
      </c>
      <c r="AK1083" s="241">
        <v>4</v>
      </c>
      <c r="AL1083" s="123" t="s">
        <v>494</v>
      </c>
      <c r="AM1083" s="175" t="s">
        <v>492</v>
      </c>
      <c r="AN1083" s="130"/>
      <c r="AO1083" s="130"/>
      <c r="AP1083" s="115"/>
      <c r="AQ1083" s="115"/>
      <c r="AR1083" s="115"/>
      <c r="AS1083" s="115"/>
      <c r="AT1083" s="116"/>
    </row>
    <row r="1084" spans="1:46" ht="39" customHeight="1" x14ac:dyDescent="0.25">
      <c r="A1084" s="1468">
        <v>1083</v>
      </c>
      <c r="B1084" s="141">
        <v>2</v>
      </c>
      <c r="C1084" s="260" t="s">
        <v>317</v>
      </c>
      <c r="D1084" s="241"/>
      <c r="E1084" s="241"/>
      <c r="F1084" s="241"/>
      <c r="G1084" s="261" t="s">
        <v>318</v>
      </c>
      <c r="H1084" s="262" t="s">
        <v>87</v>
      </c>
      <c r="I1084" s="371"/>
      <c r="J1084" s="245" t="s">
        <v>561</v>
      </c>
      <c r="K1084" s="216"/>
      <c r="L1084" s="299" t="s">
        <v>1508</v>
      </c>
      <c r="M1084" s="299" t="s">
        <v>1708</v>
      </c>
      <c r="N1084" s="245"/>
      <c r="O1084" s="392" t="s">
        <v>3158</v>
      </c>
      <c r="P1084" s="627"/>
      <c r="Q1084" s="594" t="s">
        <v>293</v>
      </c>
      <c r="R1084" s="381" t="s">
        <v>1639</v>
      </c>
      <c r="S1084" s="279">
        <v>37987</v>
      </c>
      <c r="T1084" s="289"/>
      <c r="U1084" s="251" t="s">
        <v>54</v>
      </c>
      <c r="V1084" s="197" t="s">
        <v>1987</v>
      </c>
      <c r="W1084" s="197" t="s">
        <v>2039</v>
      </c>
      <c r="X1084" s="197" t="s">
        <v>57</v>
      </c>
      <c r="Y1084" s="147" t="s">
        <v>2040</v>
      </c>
      <c r="Z1084" s="246">
        <v>45147</v>
      </c>
      <c r="AA1084" s="281"/>
      <c r="AB1084" s="1239" t="s">
        <v>4489</v>
      </c>
      <c r="AC1084" s="223" t="s">
        <v>946</v>
      </c>
      <c r="AD1084" s="245"/>
      <c r="AE1084" s="494">
        <v>45114</v>
      </c>
      <c r="AF1084" s="494">
        <v>45479</v>
      </c>
      <c r="AG1084" s="241"/>
      <c r="AH1084" s="253"/>
      <c r="AI1084" s="284" t="s">
        <v>1351</v>
      </c>
      <c r="AJ1084" s="303" t="s">
        <v>136</v>
      </c>
      <c r="AK1084" s="241">
        <v>4</v>
      </c>
      <c r="AL1084" s="123" t="s">
        <v>494</v>
      </c>
      <c r="AM1084" s="175" t="s">
        <v>492</v>
      </c>
      <c r="AN1084" s="130"/>
      <c r="AO1084" s="130"/>
      <c r="AP1084" s="115"/>
      <c r="AQ1084" s="115"/>
      <c r="AR1084" s="115"/>
      <c r="AS1084" s="115"/>
      <c r="AT1084" s="115"/>
    </row>
    <row r="1085" spans="1:46" ht="39" customHeight="1" x14ac:dyDescent="0.25">
      <c r="A1085" s="1468">
        <v>1084</v>
      </c>
      <c r="B1085" s="146">
        <v>2</v>
      </c>
      <c r="C1085" s="260" t="s">
        <v>319</v>
      </c>
      <c r="D1085" s="241"/>
      <c r="E1085" s="241"/>
      <c r="F1085" s="241"/>
      <c r="G1085" s="261" t="s">
        <v>320</v>
      </c>
      <c r="H1085" s="262" t="s">
        <v>87</v>
      </c>
      <c r="I1085" s="357"/>
      <c r="J1085" s="245" t="s">
        <v>561</v>
      </c>
      <c r="K1085" s="571"/>
      <c r="L1085" s="301" t="s">
        <v>1678</v>
      </c>
      <c r="M1085" s="301" t="s">
        <v>991</v>
      </c>
      <c r="N1085" s="571"/>
      <c r="O1085" s="1284" t="s">
        <v>2909</v>
      </c>
      <c r="P1085" s="571"/>
      <c r="Q1085" s="301" t="s">
        <v>87</v>
      </c>
      <c r="R1085" s="381" t="s">
        <v>1353</v>
      </c>
      <c r="S1085" s="279">
        <v>37440</v>
      </c>
      <c r="T1085" s="571"/>
      <c r="U1085" s="251" t="s">
        <v>54</v>
      </c>
      <c r="V1085" s="280" t="s">
        <v>3508</v>
      </c>
      <c r="W1085" s="197" t="s">
        <v>2039</v>
      </c>
      <c r="X1085" s="197" t="s">
        <v>475</v>
      </c>
      <c r="Y1085" s="949" t="s">
        <v>3510</v>
      </c>
      <c r="Z1085" s="612">
        <v>45205</v>
      </c>
      <c r="AA1085" s="571"/>
      <c r="AB1085" s="197" t="s">
        <v>4525</v>
      </c>
      <c r="AC1085" s="571" t="s">
        <v>4223</v>
      </c>
      <c r="AD1085" s="571"/>
      <c r="AE1085" s="494">
        <v>45070</v>
      </c>
      <c r="AF1085" s="494">
        <v>45435</v>
      </c>
      <c r="AG1085" s="571"/>
      <c r="AH1085" s="571"/>
      <c r="AI1085" s="254" t="s">
        <v>1351</v>
      </c>
      <c r="AJ1085" s="303" t="s">
        <v>136</v>
      </c>
      <c r="AK1085" s="241">
        <v>4</v>
      </c>
      <c r="AL1085" s="123" t="s">
        <v>494</v>
      </c>
      <c r="AM1085" s="175" t="s">
        <v>492</v>
      </c>
      <c r="AN1085" s="110"/>
      <c r="AO1085" s="110"/>
      <c r="AP1085" s="115"/>
      <c r="AQ1085" s="115"/>
      <c r="AR1085" s="115"/>
      <c r="AS1085" s="115"/>
      <c r="AT1085" s="115"/>
    </row>
    <row r="1086" spans="1:46" ht="39" customHeight="1" x14ac:dyDescent="0.25">
      <c r="A1086" s="1468">
        <v>1085</v>
      </c>
      <c r="B1086" s="141">
        <v>2</v>
      </c>
      <c r="C1086" s="378" t="s">
        <v>321</v>
      </c>
      <c r="D1086" s="303"/>
      <c r="E1086" s="241"/>
      <c r="F1086" s="241"/>
      <c r="G1086" s="261" t="s">
        <v>322</v>
      </c>
      <c r="H1086" s="262" t="s">
        <v>87</v>
      </c>
      <c r="I1086" s="364"/>
      <c r="J1086" s="245" t="s">
        <v>561</v>
      </c>
      <c r="K1086" s="277"/>
      <c r="L1086" s="412" t="s">
        <v>1508</v>
      </c>
      <c r="M1086" s="412" t="s">
        <v>1708</v>
      </c>
      <c r="N1086" s="276"/>
      <c r="O1086" s="625" t="s">
        <v>2962</v>
      </c>
      <c r="P1086" s="772"/>
      <c r="Q1086" s="1110" t="s">
        <v>293</v>
      </c>
      <c r="R1086" s="999" t="s">
        <v>1664</v>
      </c>
      <c r="S1086" s="279">
        <v>37856</v>
      </c>
      <c r="T1086" s="399"/>
      <c r="U1086" s="251" t="s">
        <v>54</v>
      </c>
      <c r="V1086" s="280" t="s">
        <v>1987</v>
      </c>
      <c r="W1086" s="280" t="s">
        <v>2039</v>
      </c>
      <c r="X1086" s="280" t="s">
        <v>57</v>
      </c>
      <c r="Y1086" s="147" t="s">
        <v>2040</v>
      </c>
      <c r="Z1086" s="486">
        <v>45147</v>
      </c>
      <c r="AA1086" s="441"/>
      <c r="AB1086" s="1241" t="s">
        <v>4490</v>
      </c>
      <c r="AC1086" s="488" t="s">
        <v>946</v>
      </c>
      <c r="AD1086" s="276"/>
      <c r="AE1086" s="494">
        <v>45115</v>
      </c>
      <c r="AF1086" s="494">
        <v>45480</v>
      </c>
      <c r="AG1086" s="476"/>
      <c r="AH1086" s="871"/>
      <c r="AI1086" s="760" t="s">
        <v>1351</v>
      </c>
      <c r="AJ1086" s="303" t="s">
        <v>136</v>
      </c>
      <c r="AK1086" s="241">
        <v>4</v>
      </c>
      <c r="AL1086" s="123" t="s">
        <v>494</v>
      </c>
      <c r="AM1086" s="175" t="s">
        <v>492</v>
      </c>
      <c r="AN1086" s="110"/>
      <c r="AO1086" s="110"/>
      <c r="AP1086" s="115"/>
      <c r="AQ1086" s="115"/>
      <c r="AR1086" s="115"/>
      <c r="AS1086" s="115"/>
      <c r="AT1086" s="115"/>
    </row>
    <row r="1087" spans="1:46" ht="39" customHeight="1" x14ac:dyDescent="0.25">
      <c r="A1087" s="1468">
        <v>1086</v>
      </c>
      <c r="B1087" s="141">
        <v>1</v>
      </c>
      <c r="C1087" s="378" t="s">
        <v>323</v>
      </c>
      <c r="D1087" s="303"/>
      <c r="E1087" s="241"/>
      <c r="F1087" s="241"/>
      <c r="G1087" s="261" t="s">
        <v>324</v>
      </c>
      <c r="H1087" s="262" t="s">
        <v>87</v>
      </c>
      <c r="I1087" s="357"/>
      <c r="J1087" s="245" t="s">
        <v>561</v>
      </c>
      <c r="K1087" s="307"/>
      <c r="L1087" s="301" t="s">
        <v>3518</v>
      </c>
      <c r="M1087" s="281" t="s">
        <v>3518</v>
      </c>
      <c r="N1087" s="366"/>
      <c r="O1087" s="392" t="s">
        <v>3535</v>
      </c>
      <c r="P1087" s="706" t="s">
        <v>1828</v>
      </c>
      <c r="Q1087" s="373" t="s">
        <v>87</v>
      </c>
      <c r="R1087" s="982" t="s">
        <v>3534</v>
      </c>
      <c r="S1087" s="279">
        <v>37034</v>
      </c>
      <c r="T1087" s="250"/>
      <c r="U1087" s="251" t="s">
        <v>54</v>
      </c>
      <c r="V1087" s="197" t="s">
        <v>5512</v>
      </c>
      <c r="W1087" s="250" t="s">
        <v>56</v>
      </c>
      <c r="X1087" s="197" t="s">
        <v>57</v>
      </c>
      <c r="Y1087" s="197" t="s">
        <v>5726</v>
      </c>
      <c r="Z1087" s="246">
        <v>45272</v>
      </c>
      <c r="AA1087" s="289"/>
      <c r="AB1087" s="299"/>
      <c r="AC1087" s="223"/>
      <c r="AD1087" s="299"/>
      <c r="AE1087" s="494"/>
      <c r="AF1087" s="494"/>
      <c r="AG1087" s="299"/>
      <c r="AH1087" s="299"/>
      <c r="AI1087" s="296"/>
      <c r="AJ1087" s="348" t="s">
        <v>560</v>
      </c>
      <c r="AK1087" s="241">
        <v>4</v>
      </c>
      <c r="AL1087" s="123" t="s">
        <v>494</v>
      </c>
      <c r="AM1087" s="175" t="s">
        <v>492</v>
      </c>
      <c r="AN1087" s="110"/>
      <c r="AO1087" s="110"/>
      <c r="AP1087" s="115"/>
      <c r="AQ1087" s="115"/>
      <c r="AR1087" s="115"/>
      <c r="AS1087" s="115"/>
      <c r="AT1087" s="115"/>
    </row>
    <row r="1088" spans="1:46" ht="39" customHeight="1" x14ac:dyDescent="0.25">
      <c r="A1088" s="1468">
        <v>1087</v>
      </c>
      <c r="B1088" s="141">
        <v>1</v>
      </c>
      <c r="C1088" s="260" t="s">
        <v>325</v>
      </c>
      <c r="D1088" s="241"/>
      <c r="E1088" s="241"/>
      <c r="F1088" s="241"/>
      <c r="G1088" s="261" t="s">
        <v>324</v>
      </c>
      <c r="H1088" s="262" t="s">
        <v>87</v>
      </c>
      <c r="I1088" s="357"/>
      <c r="J1088" s="245" t="s">
        <v>561</v>
      </c>
      <c r="K1088" s="197"/>
      <c r="L1088" s="299" t="s">
        <v>1508</v>
      </c>
      <c r="M1088" s="299" t="s">
        <v>1708</v>
      </c>
      <c r="N1088" s="245"/>
      <c r="O1088" s="392" t="s">
        <v>3161</v>
      </c>
      <c r="P1088" s="627"/>
      <c r="Q1088" s="594" t="s">
        <v>293</v>
      </c>
      <c r="R1088" s="381" t="s">
        <v>1675</v>
      </c>
      <c r="S1088" s="279">
        <v>38446</v>
      </c>
      <c r="T1088" s="289"/>
      <c r="U1088" s="251" t="s">
        <v>54</v>
      </c>
      <c r="V1088" s="197" t="s">
        <v>1987</v>
      </c>
      <c r="W1088" s="197" t="s">
        <v>2039</v>
      </c>
      <c r="X1088" s="197" t="s">
        <v>57</v>
      </c>
      <c r="Y1088" s="147" t="s">
        <v>2040</v>
      </c>
      <c r="Z1088" s="246">
        <v>45147</v>
      </c>
      <c r="AA1088" s="281"/>
      <c r="AB1088" s="1239" t="s">
        <v>4491</v>
      </c>
      <c r="AC1088" s="223" t="s">
        <v>946</v>
      </c>
      <c r="AD1088" s="245"/>
      <c r="AE1088" s="494">
        <v>45114</v>
      </c>
      <c r="AF1088" s="494">
        <v>45479</v>
      </c>
      <c r="AG1088" s="241"/>
      <c r="AH1088" s="253"/>
      <c r="AI1088" s="284" t="s">
        <v>1351</v>
      </c>
      <c r="AJ1088" s="303" t="s">
        <v>136</v>
      </c>
      <c r="AK1088" s="241">
        <v>4</v>
      </c>
      <c r="AL1088" s="123" t="s">
        <v>494</v>
      </c>
      <c r="AM1088" s="175" t="s">
        <v>492</v>
      </c>
      <c r="AN1088" s="110"/>
      <c r="AO1088" s="110"/>
      <c r="AP1088" s="115"/>
      <c r="AQ1088" s="115"/>
      <c r="AR1088" s="115"/>
      <c r="AS1088" s="115"/>
      <c r="AT1088" s="115"/>
    </row>
    <row r="1089" spans="1:46" ht="39" customHeight="1" x14ac:dyDescent="0.25">
      <c r="A1089" s="1468">
        <v>1088</v>
      </c>
      <c r="B1089" s="117"/>
      <c r="C1089" s="324"/>
      <c r="D1089" s="664"/>
      <c r="E1089" s="664"/>
      <c r="F1089" s="664"/>
      <c r="G1089" s="227"/>
      <c r="H1089" s="228"/>
      <c r="I1089" s="228"/>
      <c r="J1089" s="229"/>
      <c r="K1089" s="227"/>
      <c r="L1089" s="329"/>
      <c r="M1089" s="329"/>
      <c r="N1089" s="329"/>
      <c r="O1089" s="330"/>
      <c r="P1089" s="273" t="s">
        <v>326</v>
      </c>
      <c r="Q1089" s="786"/>
      <c r="R1089" s="232"/>
      <c r="S1089" s="232"/>
      <c r="T1089" s="232"/>
      <c r="U1089" s="232"/>
      <c r="V1089" s="232"/>
      <c r="W1089" s="232"/>
      <c r="X1089" s="232"/>
      <c r="Y1089" s="232"/>
      <c r="Z1089" s="233"/>
      <c r="AA1089" s="234"/>
      <c r="AB1089" s="235"/>
      <c r="AC1089" s="236"/>
      <c r="AD1089" s="235"/>
      <c r="AE1089" s="494"/>
      <c r="AF1089" s="494"/>
      <c r="AG1089" s="664"/>
      <c r="AH1089" s="238"/>
      <c r="AI1089" s="239"/>
      <c r="AJ1089" s="303"/>
      <c r="AK1089" s="241"/>
      <c r="AL1089" s="122"/>
      <c r="AM1089" s="122"/>
      <c r="AN1089" s="1"/>
      <c r="AO1089" s="114"/>
      <c r="AP1089" s="115"/>
      <c r="AQ1089" s="115"/>
      <c r="AR1089" s="115"/>
      <c r="AS1089" s="115"/>
      <c r="AT1089" s="116"/>
    </row>
    <row r="1090" spans="1:46" ht="39" customHeight="1" x14ac:dyDescent="0.25">
      <c r="A1090" s="1468">
        <v>1089</v>
      </c>
      <c r="B1090" s="141">
        <v>5</v>
      </c>
      <c r="C1090" s="260" t="s">
        <v>288</v>
      </c>
      <c r="D1090" s="241"/>
      <c r="E1090" s="241" t="s">
        <v>47</v>
      </c>
      <c r="F1090" s="241"/>
      <c r="G1090" s="261" t="s">
        <v>289</v>
      </c>
      <c r="H1090" s="293" t="s">
        <v>132</v>
      </c>
      <c r="I1090" s="357">
        <v>144</v>
      </c>
      <c r="J1090" s="245">
        <v>403</v>
      </c>
      <c r="K1090" s="197"/>
      <c r="L1090" s="299"/>
      <c r="M1090" s="299"/>
      <c r="N1090" s="245"/>
      <c r="O1090" s="1478"/>
      <c r="P1090" s="627"/>
      <c r="Q1090" s="344"/>
      <c r="R1090" s="982" t="s">
        <v>66</v>
      </c>
      <c r="S1090" s="279"/>
      <c r="T1090" s="289"/>
      <c r="U1090" s="197"/>
      <c r="V1090" s="197"/>
      <c r="W1090" s="197"/>
      <c r="X1090" s="197"/>
      <c r="Y1090" s="981"/>
      <c r="Z1090" s="246"/>
      <c r="AA1090" s="281"/>
      <c r="AB1090" s="1239"/>
      <c r="AC1090" s="223"/>
      <c r="AD1090" s="245"/>
      <c r="AE1090" s="494"/>
      <c r="AF1090" s="494"/>
      <c r="AG1090" s="241"/>
      <c r="AH1090" s="253"/>
      <c r="AI1090" s="284"/>
      <c r="AJ1090" s="491"/>
      <c r="AK1090" s="344">
        <v>3</v>
      </c>
      <c r="AL1090" s="123" t="s">
        <v>494</v>
      </c>
      <c r="AM1090" s="175" t="s">
        <v>492</v>
      </c>
      <c r="AN1090" s="110"/>
      <c r="AO1090" s="110"/>
      <c r="AP1090" s="115"/>
      <c r="AQ1090" s="115"/>
      <c r="AR1090" s="115"/>
      <c r="AS1090" s="115"/>
      <c r="AT1090" s="115"/>
    </row>
    <row r="1091" spans="1:46" ht="39" customHeight="1" x14ac:dyDescent="0.25">
      <c r="A1091" s="1468">
        <v>1090</v>
      </c>
      <c r="B1091" s="141">
        <v>3</v>
      </c>
      <c r="C1091" s="260" t="s">
        <v>290</v>
      </c>
      <c r="D1091" s="241" t="s">
        <v>134</v>
      </c>
      <c r="E1091" s="241"/>
      <c r="F1091" s="241"/>
      <c r="G1091" s="261" t="s">
        <v>291</v>
      </c>
      <c r="H1091" s="262" t="s">
        <v>85</v>
      </c>
      <c r="I1091" s="357"/>
      <c r="J1091" s="245" t="s">
        <v>556</v>
      </c>
      <c r="K1091" s="197"/>
      <c r="L1091" s="299" t="s">
        <v>1508</v>
      </c>
      <c r="M1091" s="299" t="s">
        <v>1708</v>
      </c>
      <c r="N1091" s="245"/>
      <c r="O1091" s="1478" t="s">
        <v>2966</v>
      </c>
      <c r="P1091" s="627"/>
      <c r="Q1091" s="594" t="s">
        <v>293</v>
      </c>
      <c r="R1091" s="381" t="s">
        <v>1665</v>
      </c>
      <c r="S1091" s="279">
        <v>38001</v>
      </c>
      <c r="T1091" s="289"/>
      <c r="U1091" s="251" t="s">
        <v>54</v>
      </c>
      <c r="V1091" s="197" t="s">
        <v>1987</v>
      </c>
      <c r="W1091" s="197" t="s">
        <v>2039</v>
      </c>
      <c r="X1091" s="197" t="s">
        <v>57</v>
      </c>
      <c r="Y1091" s="147" t="s">
        <v>2040</v>
      </c>
      <c r="Z1091" s="246">
        <v>45147</v>
      </c>
      <c r="AA1091" s="281"/>
      <c r="AB1091" s="1239" t="s">
        <v>4492</v>
      </c>
      <c r="AC1091" s="223" t="s">
        <v>946</v>
      </c>
      <c r="AD1091" s="245"/>
      <c r="AE1091" s="494">
        <v>45114</v>
      </c>
      <c r="AF1091" s="494">
        <v>45479</v>
      </c>
      <c r="AG1091" s="241"/>
      <c r="AH1091" s="253"/>
      <c r="AI1091" s="284" t="s">
        <v>1351</v>
      </c>
      <c r="AJ1091" s="303" t="s">
        <v>136</v>
      </c>
      <c r="AK1091" s="241">
        <v>4</v>
      </c>
      <c r="AL1091" s="123" t="s">
        <v>494</v>
      </c>
      <c r="AM1091" s="175" t="s">
        <v>492</v>
      </c>
      <c r="AN1091" s="110" t="s">
        <v>4184</v>
      </c>
      <c r="AO1091" s="110"/>
      <c r="AP1091" s="115"/>
      <c r="AQ1091" s="115"/>
      <c r="AR1091" s="115"/>
      <c r="AS1091" s="115"/>
      <c r="AT1091" s="115"/>
    </row>
    <row r="1092" spans="1:46" ht="39" customHeight="1" x14ac:dyDescent="0.25">
      <c r="A1092" s="1468">
        <v>1091</v>
      </c>
      <c r="B1092" s="141">
        <v>3</v>
      </c>
      <c r="C1092" s="358" t="s">
        <v>297</v>
      </c>
      <c r="D1092" s="241" t="s">
        <v>134</v>
      </c>
      <c r="E1092" s="241"/>
      <c r="F1092" s="241"/>
      <c r="G1092" s="261" t="s">
        <v>298</v>
      </c>
      <c r="H1092" s="262" t="s">
        <v>85</v>
      </c>
      <c r="I1092" s="371"/>
      <c r="J1092" s="245" t="s">
        <v>556</v>
      </c>
      <c r="K1092" s="250"/>
      <c r="L1092" s="299" t="s">
        <v>1508</v>
      </c>
      <c r="M1092" s="299" t="s">
        <v>1708</v>
      </c>
      <c r="N1092" s="245"/>
      <c r="O1092" s="392" t="s">
        <v>3117</v>
      </c>
      <c r="P1092" s="627"/>
      <c r="Q1092" s="594" t="s">
        <v>293</v>
      </c>
      <c r="R1092" s="381" t="s">
        <v>1674</v>
      </c>
      <c r="S1092" s="279">
        <v>37722</v>
      </c>
      <c r="T1092" s="289"/>
      <c r="U1092" s="251" t="s">
        <v>54</v>
      </c>
      <c r="V1092" s="197" t="s">
        <v>1987</v>
      </c>
      <c r="W1092" s="197" t="s">
        <v>2039</v>
      </c>
      <c r="X1092" s="197" t="s">
        <v>57</v>
      </c>
      <c r="Y1092" s="204" t="s">
        <v>2040</v>
      </c>
      <c r="Z1092" s="246">
        <v>45147</v>
      </c>
      <c r="AA1092" s="281"/>
      <c r="AB1092" s="1239" t="s">
        <v>4493</v>
      </c>
      <c r="AC1092" s="223" t="s">
        <v>946</v>
      </c>
      <c r="AD1092" s="245"/>
      <c r="AE1092" s="494">
        <v>45115</v>
      </c>
      <c r="AF1092" s="494">
        <v>45480</v>
      </c>
      <c r="AG1092" s="241"/>
      <c r="AH1092" s="253"/>
      <c r="AI1092" s="284" t="s">
        <v>1351</v>
      </c>
      <c r="AJ1092" s="303" t="s">
        <v>136</v>
      </c>
      <c r="AK1092" s="241">
        <v>4</v>
      </c>
      <c r="AL1092" s="123" t="s">
        <v>494</v>
      </c>
      <c r="AM1092" s="175" t="s">
        <v>492</v>
      </c>
      <c r="AN1092" s="130"/>
      <c r="AO1092" s="130"/>
      <c r="AP1092" s="115"/>
      <c r="AQ1092" s="115"/>
      <c r="AR1092" s="115"/>
      <c r="AS1092" s="115"/>
      <c r="AT1092" s="116"/>
    </row>
    <row r="1093" spans="1:46" ht="39" customHeight="1" x14ac:dyDescent="0.25">
      <c r="A1093" s="1468">
        <v>1092</v>
      </c>
      <c r="B1093" s="141">
        <v>2</v>
      </c>
      <c r="C1093" s="260" t="s">
        <v>311</v>
      </c>
      <c r="D1093" s="241"/>
      <c r="E1093" s="241"/>
      <c r="F1093" s="241"/>
      <c r="G1093" s="261" t="s">
        <v>312</v>
      </c>
      <c r="H1093" s="262" t="s">
        <v>85</v>
      </c>
      <c r="I1093" s="371"/>
      <c r="J1093" s="245" t="s">
        <v>556</v>
      </c>
      <c r="K1093" s="305"/>
      <c r="L1093" s="299"/>
      <c r="M1093" s="299"/>
      <c r="N1093" s="245"/>
      <c r="O1093" s="392"/>
      <c r="P1093" s="706"/>
      <c r="Q1093" s="485"/>
      <c r="R1093" s="998" t="s">
        <v>66</v>
      </c>
      <c r="S1093" s="279"/>
      <c r="T1093" s="289"/>
      <c r="U1093" s="197"/>
      <c r="V1093" s="197"/>
      <c r="W1093" s="250"/>
      <c r="X1093" s="197"/>
      <c r="Y1093" s="197"/>
      <c r="Z1093" s="246"/>
      <c r="AA1093" s="281"/>
      <c r="AB1093" s="245"/>
      <c r="AC1093" s="223"/>
      <c r="AD1093" s="245"/>
      <c r="AE1093" s="494"/>
      <c r="AF1093" s="494"/>
      <c r="AG1093" s="241"/>
      <c r="AH1093" s="253"/>
      <c r="AI1093" s="284"/>
      <c r="AJ1093" s="491"/>
      <c r="AK1093" s="241">
        <v>4</v>
      </c>
      <c r="AL1093" s="123" t="s">
        <v>494</v>
      </c>
      <c r="AM1093" s="175" t="s">
        <v>492</v>
      </c>
      <c r="AN1093" s="130"/>
      <c r="AO1093" s="130"/>
      <c r="AP1093" s="115"/>
      <c r="AQ1093" s="115"/>
      <c r="AR1093" s="115"/>
      <c r="AS1093" s="115"/>
      <c r="AT1093" s="116"/>
    </row>
    <row r="1094" spans="1:46" ht="39" customHeight="1" x14ac:dyDescent="0.25">
      <c r="A1094" s="1468">
        <v>1093</v>
      </c>
      <c r="B1094" s="141">
        <v>2</v>
      </c>
      <c r="C1094" s="260" t="s">
        <v>317</v>
      </c>
      <c r="D1094" s="241"/>
      <c r="E1094" s="241"/>
      <c r="F1094" s="241"/>
      <c r="G1094" s="261" t="s">
        <v>318</v>
      </c>
      <c r="H1094" s="262" t="s">
        <v>87</v>
      </c>
      <c r="I1094" s="371"/>
      <c r="J1094" s="245" t="s">
        <v>561</v>
      </c>
      <c r="K1094" s="277"/>
      <c r="L1094" s="412" t="s">
        <v>1508</v>
      </c>
      <c r="M1094" s="412" t="s">
        <v>1708</v>
      </c>
      <c r="N1094" s="276"/>
      <c r="O1094" s="392" t="s">
        <v>3062</v>
      </c>
      <c r="P1094" s="772"/>
      <c r="Q1094" s="1110" t="s">
        <v>293</v>
      </c>
      <c r="R1094" s="999" t="s">
        <v>1642</v>
      </c>
      <c r="S1094" s="279">
        <v>38207</v>
      </c>
      <c r="T1094" s="399"/>
      <c r="U1094" s="251" t="s">
        <v>54</v>
      </c>
      <c r="V1094" s="280" t="s">
        <v>1987</v>
      </c>
      <c r="W1094" s="280" t="s">
        <v>2039</v>
      </c>
      <c r="X1094" s="280" t="s">
        <v>57</v>
      </c>
      <c r="Y1094" s="147" t="s">
        <v>2040</v>
      </c>
      <c r="Z1094" s="486">
        <v>45147</v>
      </c>
      <c r="AA1094" s="441"/>
      <c r="AB1094" s="288" t="s">
        <v>4494</v>
      </c>
      <c r="AC1094" s="223" t="s">
        <v>946</v>
      </c>
      <c r="AD1094" s="276"/>
      <c r="AE1094" s="494">
        <v>45113</v>
      </c>
      <c r="AF1094" s="494">
        <v>45478</v>
      </c>
      <c r="AG1094" s="476"/>
      <c r="AH1094" s="871"/>
      <c r="AI1094" s="760" t="s">
        <v>1351</v>
      </c>
      <c r="AJ1094" s="507" t="s">
        <v>136</v>
      </c>
      <c r="AK1094" s="241">
        <v>4</v>
      </c>
      <c r="AL1094" s="123" t="s">
        <v>494</v>
      </c>
      <c r="AM1094" s="175" t="s">
        <v>492</v>
      </c>
      <c r="AN1094" s="130"/>
      <c r="AO1094" s="130"/>
      <c r="AP1094" s="115"/>
      <c r="AQ1094" s="115"/>
      <c r="AR1094" s="115"/>
      <c r="AS1094" s="115"/>
      <c r="AT1094" s="116"/>
    </row>
    <row r="1095" spans="1:46" ht="39" customHeight="1" x14ac:dyDescent="0.25">
      <c r="A1095" s="1468">
        <v>1094</v>
      </c>
      <c r="B1095" s="146">
        <v>2</v>
      </c>
      <c r="C1095" s="260" t="s">
        <v>319</v>
      </c>
      <c r="D1095" s="241"/>
      <c r="E1095" s="241"/>
      <c r="F1095" s="241"/>
      <c r="G1095" s="261" t="s">
        <v>320</v>
      </c>
      <c r="H1095" s="262" t="s">
        <v>87</v>
      </c>
      <c r="I1095" s="357"/>
      <c r="J1095" s="245" t="s">
        <v>561</v>
      </c>
      <c r="K1095" s="197"/>
      <c r="L1095" s="281"/>
      <c r="M1095" s="281"/>
      <c r="N1095" s="366"/>
      <c r="O1095" s="392"/>
      <c r="P1095" s="706"/>
      <c r="Q1095" s="485"/>
      <c r="R1095" s="998" t="s">
        <v>66</v>
      </c>
      <c r="S1095" s="279"/>
      <c r="T1095" s="197"/>
      <c r="U1095" s="197"/>
      <c r="V1095" s="197"/>
      <c r="W1095" s="250"/>
      <c r="X1095" s="197"/>
      <c r="Y1095" s="197"/>
      <c r="Z1095" s="246"/>
      <c r="AA1095" s="246"/>
      <c r="AB1095" s="361"/>
      <c r="AC1095" s="223"/>
      <c r="AD1095" s="376"/>
      <c r="AE1095" s="494"/>
      <c r="AF1095" s="494"/>
      <c r="AG1095" s="241"/>
      <c r="AH1095" s="283"/>
      <c r="AI1095" s="254"/>
      <c r="AJ1095" s="491"/>
      <c r="AK1095" s="241">
        <v>4</v>
      </c>
      <c r="AL1095" s="123" t="s">
        <v>494</v>
      </c>
      <c r="AM1095" s="175" t="s">
        <v>492</v>
      </c>
      <c r="AN1095" s="110"/>
      <c r="AO1095" s="110"/>
      <c r="AP1095" s="115"/>
      <c r="AQ1095" s="115"/>
      <c r="AR1095" s="115"/>
      <c r="AS1095" s="115"/>
      <c r="AT1095" s="115"/>
    </row>
    <row r="1096" spans="1:46" ht="39" customHeight="1" x14ac:dyDescent="0.25">
      <c r="A1096" s="1468">
        <v>1095</v>
      </c>
      <c r="B1096" s="141">
        <v>2</v>
      </c>
      <c r="C1096" s="378" t="s">
        <v>321</v>
      </c>
      <c r="D1096" s="303"/>
      <c r="E1096" s="241"/>
      <c r="F1096" s="241"/>
      <c r="G1096" s="261" t="s">
        <v>322</v>
      </c>
      <c r="H1096" s="262" t="s">
        <v>87</v>
      </c>
      <c r="I1096" s="364"/>
      <c r="J1096" s="245" t="s">
        <v>561</v>
      </c>
      <c r="K1096" s="640"/>
      <c r="L1096" s="626" t="s">
        <v>3518</v>
      </c>
      <c r="M1096" s="626" t="s">
        <v>3518</v>
      </c>
      <c r="N1096" s="640"/>
      <c r="O1096" s="392" t="s">
        <v>3558</v>
      </c>
      <c r="P1096" s="640"/>
      <c r="Q1096" s="485" t="s">
        <v>293</v>
      </c>
      <c r="R1096" s="710" t="s">
        <v>3528</v>
      </c>
      <c r="S1096" s="279">
        <v>31389</v>
      </c>
      <c r="T1096" s="640"/>
      <c r="U1096" s="251" t="s">
        <v>54</v>
      </c>
      <c r="V1096" s="197" t="s">
        <v>5512</v>
      </c>
      <c r="W1096" s="250" t="s">
        <v>56</v>
      </c>
      <c r="X1096" s="197" t="s">
        <v>57</v>
      </c>
      <c r="Y1096" s="197" t="s">
        <v>5726</v>
      </c>
      <c r="Z1096" s="246">
        <v>45272</v>
      </c>
      <c r="AA1096" s="640"/>
      <c r="AB1096" s="1291"/>
      <c r="AC1096" s="640"/>
      <c r="AD1096" s="660"/>
      <c r="AE1096" s="494"/>
      <c r="AF1096" s="494"/>
      <c r="AG1096" s="640"/>
      <c r="AH1096" s="640"/>
      <c r="AI1096" s="719"/>
      <c r="AJ1096" s="348" t="s">
        <v>560</v>
      </c>
      <c r="AK1096" s="241">
        <v>4</v>
      </c>
      <c r="AL1096" s="123" t="s">
        <v>494</v>
      </c>
      <c r="AM1096" s="175" t="s">
        <v>492</v>
      </c>
      <c r="AN1096" s="110"/>
      <c r="AO1096" s="110"/>
      <c r="AP1096" s="115"/>
      <c r="AQ1096" s="115"/>
      <c r="AR1096" s="115"/>
      <c r="AS1096" s="115"/>
      <c r="AT1096" s="115"/>
    </row>
    <row r="1097" spans="1:46" ht="39" customHeight="1" x14ac:dyDescent="0.25">
      <c r="A1097" s="1468">
        <v>1096</v>
      </c>
      <c r="B1097" s="141">
        <v>1</v>
      </c>
      <c r="C1097" s="378" t="s">
        <v>323</v>
      </c>
      <c r="D1097" s="303"/>
      <c r="E1097" s="241"/>
      <c r="F1097" s="241"/>
      <c r="G1097" s="261" t="s">
        <v>324</v>
      </c>
      <c r="H1097" s="262" t="s">
        <v>87</v>
      </c>
      <c r="I1097" s="357"/>
      <c r="J1097" s="245" t="s">
        <v>561</v>
      </c>
      <c r="K1097" s="307"/>
      <c r="L1097" s="301" t="s">
        <v>3518</v>
      </c>
      <c r="M1097" s="281" t="s">
        <v>3518</v>
      </c>
      <c r="N1097" s="366"/>
      <c r="O1097" s="392" t="s">
        <v>3541</v>
      </c>
      <c r="P1097" s="706" t="s">
        <v>1828</v>
      </c>
      <c r="Q1097" s="373" t="s">
        <v>87</v>
      </c>
      <c r="R1097" s="982" t="s">
        <v>3540</v>
      </c>
      <c r="S1097" s="279">
        <v>31946</v>
      </c>
      <c r="T1097" s="250"/>
      <c r="U1097" s="251" t="s">
        <v>54</v>
      </c>
      <c r="V1097" s="197" t="s">
        <v>5512</v>
      </c>
      <c r="W1097" s="250" t="s">
        <v>56</v>
      </c>
      <c r="X1097" s="197" t="s">
        <v>57</v>
      </c>
      <c r="Y1097" s="197" t="s">
        <v>5726</v>
      </c>
      <c r="Z1097" s="246">
        <v>45272</v>
      </c>
      <c r="AA1097" s="289"/>
      <c r="AB1097" s="299"/>
      <c r="AC1097" s="223"/>
      <c r="AD1097" s="299"/>
      <c r="AE1097" s="494"/>
      <c r="AF1097" s="494"/>
      <c r="AG1097" s="299"/>
      <c r="AH1097" s="299"/>
      <c r="AI1097" s="296"/>
      <c r="AJ1097" s="348" t="s">
        <v>560</v>
      </c>
      <c r="AK1097" s="241">
        <v>4</v>
      </c>
      <c r="AL1097" s="123" t="s">
        <v>494</v>
      </c>
      <c r="AM1097" s="175" t="s">
        <v>492</v>
      </c>
      <c r="AN1097" s="110"/>
      <c r="AO1097" s="110"/>
      <c r="AP1097" s="115"/>
      <c r="AQ1097" s="115"/>
      <c r="AR1097" s="115"/>
      <c r="AS1097" s="115"/>
      <c r="AT1097" s="115"/>
    </row>
    <row r="1098" spans="1:46" ht="39" customHeight="1" x14ac:dyDescent="0.25">
      <c r="A1098" s="1468">
        <v>1097</v>
      </c>
      <c r="B1098" s="141">
        <v>1</v>
      </c>
      <c r="C1098" s="260" t="s">
        <v>325</v>
      </c>
      <c r="D1098" s="241"/>
      <c r="E1098" s="241"/>
      <c r="F1098" s="241"/>
      <c r="G1098" s="261" t="s">
        <v>324</v>
      </c>
      <c r="H1098" s="262" t="s">
        <v>87</v>
      </c>
      <c r="I1098" s="357"/>
      <c r="J1098" s="245" t="s">
        <v>561</v>
      </c>
      <c r="K1098" s="595"/>
      <c r="L1098" s="281" t="s">
        <v>1685</v>
      </c>
      <c r="M1098" s="281" t="s">
        <v>2783</v>
      </c>
      <c r="N1098" s="366"/>
      <c r="O1098" s="392" t="s">
        <v>3024</v>
      </c>
      <c r="P1098" s="402"/>
      <c r="Q1098" s="407" t="s">
        <v>87</v>
      </c>
      <c r="R1098" s="682" t="s">
        <v>1702</v>
      </c>
      <c r="S1098" s="279">
        <v>37709</v>
      </c>
      <c r="T1098" s="197"/>
      <c r="U1098" s="251" t="s">
        <v>54</v>
      </c>
      <c r="V1098" s="280" t="s">
        <v>3508</v>
      </c>
      <c r="W1098" s="197" t="s">
        <v>2039</v>
      </c>
      <c r="X1098" s="197" t="s">
        <v>475</v>
      </c>
      <c r="Y1098" s="949" t="s">
        <v>3510</v>
      </c>
      <c r="Z1098" s="612">
        <v>45205</v>
      </c>
      <c r="AA1098" s="246"/>
      <c r="AB1098" s="288" t="s">
        <v>4495</v>
      </c>
      <c r="AC1098" s="223" t="s">
        <v>946</v>
      </c>
      <c r="AD1098" s="376"/>
      <c r="AE1098" s="494">
        <v>45111</v>
      </c>
      <c r="AF1098" s="494">
        <v>45476</v>
      </c>
      <c r="AG1098" s="241"/>
      <c r="AH1098" s="283"/>
      <c r="AI1098" s="254" t="s">
        <v>1351</v>
      </c>
      <c r="AJ1098" s="303" t="s">
        <v>136</v>
      </c>
      <c r="AK1098" s="241">
        <v>4</v>
      </c>
      <c r="AL1098" s="123" t="s">
        <v>494</v>
      </c>
      <c r="AM1098" s="175" t="s">
        <v>492</v>
      </c>
      <c r="AN1098" s="110"/>
      <c r="AO1098" s="110"/>
      <c r="AP1098" s="115"/>
      <c r="AQ1098" s="115"/>
      <c r="AR1098" s="115"/>
      <c r="AS1098" s="115"/>
      <c r="AT1098" s="115"/>
    </row>
    <row r="1099" spans="1:46" ht="39" customHeight="1" x14ac:dyDescent="0.25">
      <c r="A1099" s="1468">
        <v>1098</v>
      </c>
      <c r="B1099" s="117"/>
      <c r="C1099" s="324"/>
      <c r="D1099" s="664"/>
      <c r="E1099" s="664"/>
      <c r="F1099" s="664"/>
      <c r="G1099" s="227"/>
      <c r="H1099" s="228"/>
      <c r="I1099" s="228"/>
      <c r="J1099" s="229"/>
      <c r="K1099" s="227"/>
      <c r="L1099" s="229"/>
      <c r="M1099" s="229"/>
      <c r="N1099" s="229"/>
      <c r="O1099" s="229"/>
      <c r="P1099" s="230" t="s">
        <v>327</v>
      </c>
      <c r="Q1099" s="373"/>
      <c r="R1099" s="232"/>
      <c r="S1099" s="232"/>
      <c r="T1099" s="232"/>
      <c r="U1099" s="232"/>
      <c r="V1099" s="232"/>
      <c r="W1099" s="232"/>
      <c r="X1099" s="232"/>
      <c r="Y1099" s="232"/>
      <c r="Z1099" s="233"/>
      <c r="AA1099" s="234"/>
      <c r="AB1099" s="235"/>
      <c r="AC1099" s="236"/>
      <c r="AD1099" s="235"/>
      <c r="AE1099" s="494"/>
      <c r="AF1099" s="494"/>
      <c r="AG1099" s="664"/>
      <c r="AH1099" s="238"/>
      <c r="AI1099" s="239"/>
      <c r="AJ1099" s="303"/>
      <c r="AK1099" s="241"/>
      <c r="AL1099" s="122"/>
      <c r="AM1099" s="122"/>
      <c r="AN1099" s="113"/>
      <c r="AO1099" s="114"/>
      <c r="AP1099" s="115"/>
      <c r="AQ1099" s="115"/>
      <c r="AR1099" s="115"/>
      <c r="AS1099" s="115"/>
      <c r="AT1099" s="116"/>
    </row>
    <row r="1100" spans="1:46" ht="39" customHeight="1" x14ac:dyDescent="0.25">
      <c r="A1100" s="1468">
        <v>1099</v>
      </c>
      <c r="B1100" s="141">
        <v>5</v>
      </c>
      <c r="C1100" s="290" t="s">
        <v>288</v>
      </c>
      <c r="D1100" s="291"/>
      <c r="E1100" s="291" t="s">
        <v>47</v>
      </c>
      <c r="F1100" s="291"/>
      <c r="G1100" s="292" t="s">
        <v>289</v>
      </c>
      <c r="H1100" s="370" t="s">
        <v>132</v>
      </c>
      <c r="I1100" s="344">
        <v>144</v>
      </c>
      <c r="J1100" s="256">
        <v>403</v>
      </c>
      <c r="K1100" s="216" t="s">
        <v>313</v>
      </c>
      <c r="L1100" s="216"/>
      <c r="M1100" s="216"/>
      <c r="N1100" s="245"/>
      <c r="O1100" s="216" t="s">
        <v>1426</v>
      </c>
      <c r="P1100" s="294"/>
      <c r="Q1100" s="373" t="s">
        <v>132</v>
      </c>
      <c r="R1100" s="982" t="s">
        <v>2367</v>
      </c>
      <c r="S1100" s="279">
        <v>35936</v>
      </c>
      <c r="T1100" s="197"/>
      <c r="U1100" s="197"/>
      <c r="V1100" s="197"/>
      <c r="W1100" s="197"/>
      <c r="X1100" s="197"/>
      <c r="Y1100" s="1127"/>
      <c r="Z1100" s="246"/>
      <c r="AA1100" s="289"/>
      <c r="AB1100" s="282"/>
      <c r="AC1100" s="223"/>
      <c r="AD1100" s="281"/>
      <c r="AE1100" s="494"/>
      <c r="AF1100" s="494"/>
      <c r="AG1100" s="241"/>
      <c r="AH1100" s="283"/>
      <c r="AI1100" s="254"/>
      <c r="AJ1100" s="348" t="s">
        <v>560</v>
      </c>
      <c r="AK1100" s="348">
        <v>3</v>
      </c>
      <c r="AL1100" s="123" t="s">
        <v>494</v>
      </c>
      <c r="AM1100" s="175" t="s">
        <v>492</v>
      </c>
      <c r="AN1100" s="130"/>
      <c r="AO1100" s="130"/>
      <c r="AP1100" s="115"/>
      <c r="AQ1100" s="115"/>
      <c r="AR1100" s="115"/>
      <c r="AS1100" s="115"/>
      <c r="AT1100" s="115"/>
    </row>
    <row r="1101" spans="1:46" ht="39" customHeight="1" x14ac:dyDescent="0.25">
      <c r="A1101" s="1468">
        <v>1100</v>
      </c>
      <c r="B1101" s="141">
        <v>3</v>
      </c>
      <c r="C1101" s="356" t="s">
        <v>290</v>
      </c>
      <c r="D1101" s="241" t="s">
        <v>134</v>
      </c>
      <c r="E1101" s="241"/>
      <c r="F1101" s="241"/>
      <c r="G1101" s="261" t="s">
        <v>291</v>
      </c>
      <c r="H1101" s="262" t="s">
        <v>85</v>
      </c>
      <c r="I1101" s="371"/>
      <c r="J1101" s="245" t="s">
        <v>556</v>
      </c>
      <c r="K1101" s="216"/>
      <c r="L1101" s="281" t="s">
        <v>1685</v>
      </c>
      <c r="M1101" s="281" t="s">
        <v>1527</v>
      </c>
      <c r="N1101" s="366"/>
      <c r="O1101" s="392" t="s">
        <v>2912</v>
      </c>
      <c r="P1101" s="402"/>
      <c r="Q1101" s="301" t="s">
        <v>87</v>
      </c>
      <c r="R1101" s="381" t="s">
        <v>1688</v>
      </c>
      <c r="S1101" s="279">
        <v>38067</v>
      </c>
      <c r="T1101" s="197"/>
      <c r="U1101" s="251" t="s">
        <v>54</v>
      </c>
      <c r="V1101" s="280" t="s">
        <v>3508</v>
      </c>
      <c r="W1101" s="197" t="s">
        <v>2039</v>
      </c>
      <c r="X1101" s="197" t="s">
        <v>475</v>
      </c>
      <c r="Y1101" s="949" t="s">
        <v>3510</v>
      </c>
      <c r="Z1101" s="612">
        <v>45205</v>
      </c>
      <c r="AA1101" s="246"/>
      <c r="AB1101" s="288" t="s">
        <v>4496</v>
      </c>
      <c r="AC1101" s="223" t="s">
        <v>946</v>
      </c>
      <c r="AD1101" s="376"/>
      <c r="AE1101" s="494">
        <v>45112</v>
      </c>
      <c r="AF1101" s="494">
        <v>45477</v>
      </c>
      <c r="AG1101" s="241"/>
      <c r="AH1101" s="283"/>
      <c r="AI1101" s="254" t="s">
        <v>1351</v>
      </c>
      <c r="AJ1101" s="303" t="s">
        <v>136</v>
      </c>
      <c r="AK1101" s="241">
        <v>4</v>
      </c>
      <c r="AL1101" s="123" t="s">
        <v>494</v>
      </c>
      <c r="AM1101" s="175" t="s">
        <v>492</v>
      </c>
      <c r="AN1101" s="110" t="s">
        <v>4184</v>
      </c>
      <c r="AO1101" s="130"/>
      <c r="AP1101" s="115"/>
      <c r="AQ1101" s="115"/>
      <c r="AR1101" s="115"/>
      <c r="AS1101" s="115"/>
      <c r="AT1101" s="115"/>
    </row>
    <row r="1102" spans="1:46" ht="39" customHeight="1" x14ac:dyDescent="0.25">
      <c r="A1102" s="1468">
        <v>1101</v>
      </c>
      <c r="B1102" s="141">
        <v>3</v>
      </c>
      <c r="C1102" s="358" t="s">
        <v>297</v>
      </c>
      <c r="D1102" s="241" t="s">
        <v>134</v>
      </c>
      <c r="E1102" s="241"/>
      <c r="F1102" s="241"/>
      <c r="G1102" s="261" t="s">
        <v>298</v>
      </c>
      <c r="H1102" s="262" t="s">
        <v>85</v>
      </c>
      <c r="I1102" s="371"/>
      <c r="J1102" s="245" t="s">
        <v>556</v>
      </c>
      <c r="K1102" s="216"/>
      <c r="L1102" s="301" t="s">
        <v>1432</v>
      </c>
      <c r="M1102" s="301" t="s">
        <v>1680</v>
      </c>
      <c r="N1102" s="245"/>
      <c r="O1102" s="392" t="s">
        <v>3057</v>
      </c>
      <c r="P1102" s="372"/>
      <c r="Q1102" s="281" t="s">
        <v>293</v>
      </c>
      <c r="R1102" s="682" t="s">
        <v>1433</v>
      </c>
      <c r="S1102" s="279">
        <v>37691</v>
      </c>
      <c r="T1102" s="250"/>
      <c r="U1102" s="251" t="s">
        <v>54</v>
      </c>
      <c r="V1102" s="280" t="s">
        <v>3508</v>
      </c>
      <c r="W1102" s="197" t="s">
        <v>2039</v>
      </c>
      <c r="X1102" s="197" t="s">
        <v>475</v>
      </c>
      <c r="Y1102" s="949" t="s">
        <v>3510</v>
      </c>
      <c r="Z1102" s="612">
        <v>45205</v>
      </c>
      <c r="AA1102" s="252"/>
      <c r="AB1102" s="288" t="s">
        <v>4497</v>
      </c>
      <c r="AC1102" s="223" t="s">
        <v>946</v>
      </c>
      <c r="AD1102" s="281"/>
      <c r="AE1102" s="494">
        <v>45091</v>
      </c>
      <c r="AF1102" s="494">
        <v>45456</v>
      </c>
      <c r="AG1102" s="241"/>
      <c r="AH1102" s="283"/>
      <c r="AI1102" s="296" t="s">
        <v>1351</v>
      </c>
      <c r="AJ1102" s="303" t="s">
        <v>136</v>
      </c>
      <c r="AK1102" s="241">
        <v>4</v>
      </c>
      <c r="AL1102" s="123" t="s">
        <v>494</v>
      </c>
      <c r="AM1102" s="175" t="s">
        <v>492</v>
      </c>
      <c r="AN1102" s="130"/>
      <c r="AO1102" s="130"/>
      <c r="AP1102" s="115"/>
      <c r="AQ1102" s="115"/>
      <c r="AR1102" s="115"/>
      <c r="AS1102" s="115"/>
      <c r="AT1102" s="116"/>
    </row>
    <row r="1103" spans="1:46" ht="39" customHeight="1" x14ac:dyDescent="0.25">
      <c r="A1103" s="1468">
        <v>1102</v>
      </c>
      <c r="B1103" s="141">
        <v>2</v>
      </c>
      <c r="C1103" s="260" t="s">
        <v>311</v>
      </c>
      <c r="D1103" s="241"/>
      <c r="E1103" s="241"/>
      <c r="F1103" s="241"/>
      <c r="G1103" s="261" t="s">
        <v>312</v>
      </c>
      <c r="H1103" s="262" t="s">
        <v>85</v>
      </c>
      <c r="I1103" s="371"/>
      <c r="J1103" s="245" t="s">
        <v>556</v>
      </c>
      <c r="K1103" s="277"/>
      <c r="L1103" s="626" t="s">
        <v>3518</v>
      </c>
      <c r="M1103" s="626" t="s">
        <v>3518</v>
      </c>
      <c r="N1103" s="451"/>
      <c r="O1103" s="392" t="s">
        <v>3530</v>
      </c>
      <c r="P1103" s="706" t="s">
        <v>1828</v>
      </c>
      <c r="Q1103" s="344" t="s">
        <v>567</v>
      </c>
      <c r="R1103" s="982" t="s">
        <v>3529</v>
      </c>
      <c r="S1103" s="279">
        <v>35514</v>
      </c>
      <c r="T1103" s="412"/>
      <c r="U1103" s="251" t="s">
        <v>54</v>
      </c>
      <c r="V1103" s="197" t="s">
        <v>5512</v>
      </c>
      <c r="W1103" s="250" t="s">
        <v>56</v>
      </c>
      <c r="X1103" s="197" t="s">
        <v>57</v>
      </c>
      <c r="Y1103" s="197" t="s">
        <v>5726</v>
      </c>
      <c r="Z1103" s="246">
        <v>45272</v>
      </c>
      <c r="AA1103" s="398"/>
      <c r="AB1103" s="412"/>
      <c r="AC1103" s="488"/>
      <c r="AD1103" s="412"/>
      <c r="AE1103" s="494"/>
      <c r="AF1103" s="494"/>
      <c r="AG1103" s="476"/>
      <c r="AH1103" s="489"/>
      <c r="AI1103" s="721"/>
      <c r="AJ1103" s="348" t="s">
        <v>560</v>
      </c>
      <c r="AK1103" s="241">
        <v>4</v>
      </c>
      <c r="AL1103" s="123" t="s">
        <v>494</v>
      </c>
      <c r="AM1103" s="175" t="s">
        <v>492</v>
      </c>
      <c r="AN1103" s="130"/>
      <c r="AO1103" s="130"/>
      <c r="AP1103" s="115"/>
      <c r="AQ1103" s="115"/>
      <c r="AR1103" s="115"/>
      <c r="AS1103" s="115"/>
      <c r="AT1103" s="115"/>
    </row>
    <row r="1104" spans="1:46" ht="39" customHeight="1" x14ac:dyDescent="0.25">
      <c r="A1104" s="1468">
        <v>1103</v>
      </c>
      <c r="B1104" s="141">
        <v>2</v>
      </c>
      <c r="C1104" s="260" t="s">
        <v>317</v>
      </c>
      <c r="D1104" s="241"/>
      <c r="E1104" s="241"/>
      <c r="F1104" s="241"/>
      <c r="G1104" s="261" t="s">
        <v>318</v>
      </c>
      <c r="H1104" s="262" t="s">
        <v>87</v>
      </c>
      <c r="I1104" s="371"/>
      <c r="J1104" s="245" t="s">
        <v>561</v>
      </c>
      <c r="K1104" s="216"/>
      <c r="L1104" s="299" t="s">
        <v>1508</v>
      </c>
      <c r="M1104" s="299" t="s">
        <v>1708</v>
      </c>
      <c r="N1104" s="245"/>
      <c r="O1104" s="392" t="s">
        <v>3108</v>
      </c>
      <c r="P1104" s="627"/>
      <c r="Q1104" s="594" t="s">
        <v>293</v>
      </c>
      <c r="R1104" s="381" t="s">
        <v>1673</v>
      </c>
      <c r="S1104" s="279">
        <v>37960</v>
      </c>
      <c r="T1104" s="289"/>
      <c r="U1104" s="251" t="s">
        <v>54</v>
      </c>
      <c r="V1104" s="197" t="s">
        <v>1987</v>
      </c>
      <c r="W1104" s="197" t="s">
        <v>2039</v>
      </c>
      <c r="X1104" s="197" t="s">
        <v>57</v>
      </c>
      <c r="Y1104" s="147" t="s">
        <v>2040</v>
      </c>
      <c r="Z1104" s="246">
        <v>45147</v>
      </c>
      <c r="AA1104" s="281"/>
      <c r="AB1104" s="301" t="s">
        <v>4366</v>
      </c>
      <c r="AC1104" s="223" t="s">
        <v>946</v>
      </c>
      <c r="AD1104" s="245"/>
      <c r="AE1104" s="494">
        <v>45115</v>
      </c>
      <c r="AF1104" s="494">
        <v>45480</v>
      </c>
      <c r="AG1104" s="241"/>
      <c r="AH1104" s="253"/>
      <c r="AI1104" s="284" t="s">
        <v>1351</v>
      </c>
      <c r="AJ1104" s="303" t="s">
        <v>136</v>
      </c>
      <c r="AK1104" s="241">
        <v>4</v>
      </c>
      <c r="AL1104" s="123" t="s">
        <v>494</v>
      </c>
      <c r="AM1104" s="175" t="s">
        <v>492</v>
      </c>
      <c r="AN1104" s="130"/>
      <c r="AO1104" s="130"/>
      <c r="AP1104" s="115"/>
      <c r="AQ1104" s="115"/>
      <c r="AR1104" s="115"/>
      <c r="AS1104" s="115"/>
      <c r="AT1104" s="115"/>
    </row>
    <row r="1105" spans="1:46" ht="39" customHeight="1" x14ac:dyDescent="0.25">
      <c r="A1105" s="1468">
        <v>1104</v>
      </c>
      <c r="B1105" s="146">
        <v>2</v>
      </c>
      <c r="C1105" s="260" t="s">
        <v>319</v>
      </c>
      <c r="D1105" s="241"/>
      <c r="E1105" s="241"/>
      <c r="F1105" s="241"/>
      <c r="G1105" s="261" t="s">
        <v>320</v>
      </c>
      <c r="H1105" s="262" t="s">
        <v>87</v>
      </c>
      <c r="I1105" s="357"/>
      <c r="J1105" s="245" t="s">
        <v>561</v>
      </c>
      <c r="K1105" s="366"/>
      <c r="L1105" s="392"/>
      <c r="M1105" s="392"/>
      <c r="N1105" s="366"/>
      <c r="O1105" s="392" t="s">
        <v>3186</v>
      </c>
      <c r="P1105" s="609" t="s">
        <v>1411</v>
      </c>
      <c r="Q1105" s="373" t="s">
        <v>293</v>
      </c>
      <c r="R1105" s="982" t="s">
        <v>568</v>
      </c>
      <c r="S1105" s="279">
        <v>32162</v>
      </c>
      <c r="T1105" s="366"/>
      <c r="U1105" s="251" t="s">
        <v>54</v>
      </c>
      <c r="V1105" s="306"/>
      <c r="W1105" s="197" t="s">
        <v>70</v>
      </c>
      <c r="X1105" s="197" t="s">
        <v>71</v>
      </c>
      <c r="Y1105" s="366"/>
      <c r="Z1105" s="366"/>
      <c r="AA1105" s="366"/>
      <c r="AB1105" s="1289"/>
      <c r="AC1105" s="366"/>
      <c r="AD1105" s="658"/>
      <c r="AE1105" s="494"/>
      <c r="AF1105" s="494"/>
      <c r="AG1105" s="366"/>
      <c r="AH1105" s="366"/>
      <c r="AI1105" s="392"/>
      <c r="AJ1105" s="348" t="s">
        <v>560</v>
      </c>
      <c r="AK1105" s="241">
        <v>4</v>
      </c>
      <c r="AL1105" s="123" t="s">
        <v>494</v>
      </c>
      <c r="AM1105" s="175" t="s">
        <v>492</v>
      </c>
      <c r="AN1105" s="110"/>
      <c r="AO1105" s="110"/>
      <c r="AP1105" s="115"/>
      <c r="AQ1105" s="115"/>
      <c r="AR1105" s="115"/>
      <c r="AS1105" s="115"/>
      <c r="AT1105" s="115"/>
    </row>
    <row r="1106" spans="1:46" ht="39" customHeight="1" x14ac:dyDescent="0.25">
      <c r="A1106" s="1468">
        <v>1105</v>
      </c>
      <c r="B1106" s="141">
        <v>2</v>
      </c>
      <c r="C1106" s="378" t="s">
        <v>321</v>
      </c>
      <c r="D1106" s="303"/>
      <c r="E1106" s="241"/>
      <c r="F1106" s="241"/>
      <c r="G1106" s="261" t="s">
        <v>322</v>
      </c>
      <c r="H1106" s="262" t="s">
        <v>87</v>
      </c>
      <c r="I1106" s="364"/>
      <c r="J1106" s="245" t="s">
        <v>561</v>
      </c>
      <c r="K1106" s="257"/>
      <c r="L1106" s="301" t="s">
        <v>1430</v>
      </c>
      <c r="M1106" s="281" t="s">
        <v>2869</v>
      </c>
      <c r="N1106" s="299"/>
      <c r="O1106" s="392" t="s">
        <v>3098</v>
      </c>
      <c r="P1106" s="300"/>
      <c r="Q1106" s="301" t="s">
        <v>87</v>
      </c>
      <c r="R1106" s="381" t="s">
        <v>1458</v>
      </c>
      <c r="S1106" s="279">
        <v>37664</v>
      </c>
      <c r="T1106" s="289"/>
      <c r="U1106" s="251" t="s">
        <v>54</v>
      </c>
      <c r="V1106" s="280" t="s">
        <v>3508</v>
      </c>
      <c r="W1106" s="197" t="s">
        <v>2039</v>
      </c>
      <c r="X1106" s="197" t="s">
        <v>475</v>
      </c>
      <c r="Y1106" s="1137" t="s">
        <v>3510</v>
      </c>
      <c r="Z1106" s="612">
        <v>45205</v>
      </c>
      <c r="AA1106" s="289"/>
      <c r="AB1106" s="288" t="s">
        <v>4498</v>
      </c>
      <c r="AC1106" s="223" t="s">
        <v>946</v>
      </c>
      <c r="AD1106" s="299"/>
      <c r="AE1106" s="494">
        <v>45097</v>
      </c>
      <c r="AF1106" s="494">
        <v>45462</v>
      </c>
      <c r="AG1106" s="299"/>
      <c r="AH1106" s="299"/>
      <c r="AI1106" s="296" t="s">
        <v>1351</v>
      </c>
      <c r="AJ1106" s="303" t="s">
        <v>136</v>
      </c>
      <c r="AK1106" s="241">
        <v>4</v>
      </c>
      <c r="AL1106" s="123" t="s">
        <v>494</v>
      </c>
      <c r="AM1106" s="175" t="s">
        <v>492</v>
      </c>
      <c r="AN1106" s="110"/>
      <c r="AO1106" s="110"/>
      <c r="AP1106" s="115"/>
      <c r="AQ1106" s="115"/>
      <c r="AR1106" s="115"/>
      <c r="AS1106" s="115"/>
      <c r="AT1106" s="116"/>
    </row>
    <row r="1107" spans="1:46" ht="39" customHeight="1" x14ac:dyDescent="0.25">
      <c r="A1107" s="1468">
        <v>1106</v>
      </c>
      <c r="B1107" s="141">
        <v>1</v>
      </c>
      <c r="C1107" s="378" t="s">
        <v>323</v>
      </c>
      <c r="D1107" s="303"/>
      <c r="E1107" s="241"/>
      <c r="F1107" s="241"/>
      <c r="G1107" s="261" t="s">
        <v>324</v>
      </c>
      <c r="H1107" s="262" t="s">
        <v>87</v>
      </c>
      <c r="I1107" s="357"/>
      <c r="J1107" s="245" t="s">
        <v>561</v>
      </c>
      <c r="K1107" s="257"/>
      <c r="L1107" s="299" t="s">
        <v>1508</v>
      </c>
      <c r="M1107" s="299" t="s">
        <v>1708</v>
      </c>
      <c r="N1107" s="245"/>
      <c r="O1107" s="392" t="s">
        <v>2918</v>
      </c>
      <c r="P1107" s="627"/>
      <c r="Q1107" s="594" t="s">
        <v>293</v>
      </c>
      <c r="R1107" s="381" t="s">
        <v>1602</v>
      </c>
      <c r="S1107" s="279">
        <v>38179</v>
      </c>
      <c r="T1107" s="289"/>
      <c r="U1107" s="251" t="s">
        <v>54</v>
      </c>
      <c r="V1107" s="197" t="s">
        <v>1987</v>
      </c>
      <c r="W1107" s="197" t="s">
        <v>2039</v>
      </c>
      <c r="X1107" s="197" t="s">
        <v>57</v>
      </c>
      <c r="Y1107" s="392" t="s">
        <v>2040</v>
      </c>
      <c r="Z1107" s="246">
        <v>45147</v>
      </c>
      <c r="AA1107" s="281"/>
      <c r="AB1107" s="288" t="s">
        <v>4499</v>
      </c>
      <c r="AC1107" s="223" t="s">
        <v>946</v>
      </c>
      <c r="AD1107" s="245"/>
      <c r="AE1107" s="494">
        <v>45113</v>
      </c>
      <c r="AF1107" s="494">
        <v>45478</v>
      </c>
      <c r="AG1107" s="241"/>
      <c r="AH1107" s="253"/>
      <c r="AI1107" s="284" t="s">
        <v>1351</v>
      </c>
      <c r="AJ1107" s="303" t="s">
        <v>136</v>
      </c>
      <c r="AK1107" s="241">
        <v>4</v>
      </c>
      <c r="AL1107" s="123" t="s">
        <v>494</v>
      </c>
      <c r="AM1107" s="175" t="s">
        <v>492</v>
      </c>
      <c r="AN1107" s="110"/>
      <c r="AO1107" s="110"/>
      <c r="AP1107" s="115"/>
      <c r="AQ1107" s="115"/>
      <c r="AR1107" s="115"/>
      <c r="AS1107" s="115"/>
      <c r="AT1107" s="115"/>
    </row>
    <row r="1108" spans="1:46" ht="39" customHeight="1" x14ac:dyDescent="0.25">
      <c r="A1108" s="1468">
        <v>1107</v>
      </c>
      <c r="B1108" s="141">
        <v>2</v>
      </c>
      <c r="C1108" s="503" t="s">
        <v>325</v>
      </c>
      <c r="D1108" s="471"/>
      <c r="E1108" s="471"/>
      <c r="F1108" s="471"/>
      <c r="G1108" s="472" t="s">
        <v>324</v>
      </c>
      <c r="H1108" s="262" t="s">
        <v>87</v>
      </c>
      <c r="I1108" s="473"/>
      <c r="J1108" s="245" t="s">
        <v>561</v>
      </c>
      <c r="K1108" s="257"/>
      <c r="L1108" s="299" t="s">
        <v>1508</v>
      </c>
      <c r="M1108" s="299" t="s">
        <v>1708</v>
      </c>
      <c r="N1108" s="245"/>
      <c r="O1108" s="392" t="s">
        <v>2923</v>
      </c>
      <c r="P1108" s="627"/>
      <c r="Q1108" s="594" t="s">
        <v>293</v>
      </c>
      <c r="R1108" s="381" t="s">
        <v>1603</v>
      </c>
      <c r="S1108" s="279">
        <v>37958</v>
      </c>
      <c r="T1108" s="289"/>
      <c r="U1108" s="251" t="s">
        <v>54</v>
      </c>
      <c r="V1108" s="197" t="s">
        <v>1987</v>
      </c>
      <c r="W1108" s="197" t="s">
        <v>2039</v>
      </c>
      <c r="X1108" s="197" t="s">
        <v>57</v>
      </c>
      <c r="Y1108" s="392" t="s">
        <v>2040</v>
      </c>
      <c r="Z1108" s="246">
        <v>45147</v>
      </c>
      <c r="AA1108" s="683"/>
      <c r="AB1108" s="288" t="s">
        <v>4500</v>
      </c>
      <c r="AC1108" s="223" t="s">
        <v>946</v>
      </c>
      <c r="AD1108" s="245"/>
      <c r="AE1108" s="494">
        <v>45112</v>
      </c>
      <c r="AF1108" s="494">
        <v>45477</v>
      </c>
      <c r="AG1108" s="241"/>
      <c r="AH1108" s="253"/>
      <c r="AI1108" s="284" t="s">
        <v>1351</v>
      </c>
      <c r="AJ1108" s="303" t="s">
        <v>136</v>
      </c>
      <c r="AK1108" s="471">
        <v>4</v>
      </c>
      <c r="AL1108" s="176" t="s">
        <v>494</v>
      </c>
      <c r="AM1108" s="175" t="s">
        <v>492</v>
      </c>
      <c r="AN1108" s="110"/>
      <c r="AO1108" s="110"/>
      <c r="AP1108" s="115"/>
      <c r="AQ1108" s="115"/>
      <c r="AR1108" s="115"/>
      <c r="AS1108" s="115"/>
      <c r="AT1108" s="115"/>
    </row>
    <row r="1109" spans="1:46" ht="39" customHeight="1" x14ac:dyDescent="0.25">
      <c r="A1109" s="1468">
        <v>1108</v>
      </c>
      <c r="B1109" s="987"/>
      <c r="C1109" s="989"/>
      <c r="D1109" s="664"/>
      <c r="E1109" s="664"/>
      <c r="F1109" s="664"/>
      <c r="G1109" s="227"/>
      <c r="H1109" s="228"/>
      <c r="I1109" s="228"/>
      <c r="J1109" s="229"/>
      <c r="K1109" s="227"/>
      <c r="L1109" s="229"/>
      <c r="M1109" s="229"/>
      <c r="N1109" s="229"/>
      <c r="O1109" s="309"/>
      <c r="P1109" s="230" t="s">
        <v>328</v>
      </c>
      <c r="Q1109" s="726"/>
      <c r="R1109" s="334"/>
      <c r="S1109" s="334"/>
      <c r="T1109" s="334"/>
      <c r="U1109" s="334"/>
      <c r="V1109" s="334"/>
      <c r="W1109" s="232"/>
      <c r="X1109" s="232"/>
      <c r="Y1109" s="232"/>
      <c r="Z1109" s="233"/>
      <c r="AA1109" s="234"/>
      <c r="AB1109" s="235"/>
      <c r="AC1109" s="236"/>
      <c r="AD1109" s="235"/>
      <c r="AE1109" s="494"/>
      <c r="AF1109" s="494"/>
      <c r="AG1109" s="664"/>
      <c r="AH1109" s="238"/>
      <c r="AI1109" s="239"/>
      <c r="AJ1109" s="576"/>
      <c r="AK1109" s="664"/>
      <c r="AL1109" s="113"/>
      <c r="AM1109" s="114"/>
      <c r="AN1109" s="113"/>
      <c r="AO1109" s="114"/>
      <c r="AP1109" s="115"/>
      <c r="AQ1109" s="115"/>
      <c r="AR1109" s="115"/>
      <c r="AS1109" s="115"/>
      <c r="AT1109" s="116"/>
    </row>
    <row r="1110" spans="1:46" ht="39" customHeight="1" x14ac:dyDescent="0.25">
      <c r="A1110" s="1468">
        <v>1109</v>
      </c>
      <c r="B1110" s="146">
        <v>10</v>
      </c>
      <c r="C1110" s="804" t="s">
        <v>305</v>
      </c>
      <c r="D1110" s="806"/>
      <c r="E1110" s="806" t="s">
        <v>47</v>
      </c>
      <c r="F1110" s="806"/>
      <c r="G1110" s="807" t="s">
        <v>91</v>
      </c>
      <c r="H1110" s="244" t="s">
        <v>83</v>
      </c>
      <c r="I1110" s="1103"/>
      <c r="J1110" s="245">
        <v>302</v>
      </c>
      <c r="K1110" s="216"/>
      <c r="L1110" s="216" t="s">
        <v>4639</v>
      </c>
      <c r="M1110" s="216" t="s">
        <v>4639</v>
      </c>
      <c r="N1110" s="366"/>
      <c r="O1110" s="216" t="s">
        <v>3406</v>
      </c>
      <c r="P1110" s="287"/>
      <c r="Q1110" s="326" t="s">
        <v>2053</v>
      </c>
      <c r="R1110" s="990" t="s">
        <v>3405</v>
      </c>
      <c r="S1110" s="252">
        <v>31590</v>
      </c>
      <c r="T1110" s="216"/>
      <c r="U1110" s="197"/>
      <c r="V1110" s="197"/>
      <c r="W1110" s="197"/>
      <c r="X1110" s="197"/>
      <c r="Y1110" s="197"/>
      <c r="Z1110" s="246"/>
      <c r="AA1110" s="252"/>
      <c r="AB1110" s="301"/>
      <c r="AC1110" s="223"/>
      <c r="AD1110" s="301"/>
      <c r="AE1110" s="494"/>
      <c r="AF1110" s="494"/>
      <c r="AG1110" s="241"/>
      <c r="AH1110" s="301"/>
      <c r="AI1110" s="401"/>
      <c r="AJ1110" s="255" t="s">
        <v>62</v>
      </c>
      <c r="AK1110" s="806">
        <v>1</v>
      </c>
      <c r="AL1110" s="810" t="s">
        <v>494</v>
      </c>
      <c r="AM1110" s="175" t="s">
        <v>492</v>
      </c>
      <c r="AN1110" s="124"/>
      <c r="AO1110" s="124"/>
      <c r="AP1110" s="115"/>
      <c r="AQ1110" s="115"/>
      <c r="AR1110" s="115"/>
      <c r="AS1110" s="115"/>
      <c r="AT1110" s="115"/>
    </row>
    <row r="1111" spans="1:46" ht="39" customHeight="1" x14ac:dyDescent="0.25">
      <c r="A1111" s="1468">
        <v>1110</v>
      </c>
      <c r="B1111" s="987"/>
      <c r="C1111" s="989"/>
      <c r="D1111" s="664"/>
      <c r="E1111" s="664"/>
      <c r="F1111" s="664"/>
      <c r="G1111" s="227"/>
      <c r="H1111" s="228"/>
      <c r="I1111" s="228"/>
      <c r="J1111" s="229"/>
      <c r="K1111" s="227"/>
      <c r="L1111" s="229"/>
      <c r="M1111" s="229"/>
      <c r="N1111" s="229"/>
      <c r="O1111" s="309"/>
      <c r="P1111" s="230" t="s">
        <v>306</v>
      </c>
      <c r="Q1111" s="726"/>
      <c r="R1111" s="1004"/>
      <c r="S1111" s="334"/>
      <c r="T1111" s="334"/>
      <c r="U1111" s="334"/>
      <c r="V1111" s="334"/>
      <c r="W1111" s="232"/>
      <c r="X1111" s="232"/>
      <c r="Y1111" s="232"/>
      <c r="Z1111" s="233"/>
      <c r="AA1111" s="234"/>
      <c r="AB1111" s="235"/>
      <c r="AC1111" s="236"/>
      <c r="AD1111" s="235"/>
      <c r="AE1111" s="494"/>
      <c r="AF1111" s="494"/>
      <c r="AG1111" s="664"/>
      <c r="AH1111" s="238"/>
      <c r="AI1111" s="239"/>
      <c r="AJ1111" s="576"/>
      <c r="AK1111" s="664"/>
      <c r="AL1111" s="113"/>
      <c r="AM1111" s="114"/>
      <c r="AN1111" s="113"/>
      <c r="AO1111" s="114"/>
      <c r="AP1111" s="115"/>
      <c r="AQ1111" s="115"/>
      <c r="AR1111" s="115"/>
      <c r="AS1111" s="115"/>
      <c r="AT1111" s="116"/>
    </row>
    <row r="1112" spans="1:46" ht="39" customHeight="1" x14ac:dyDescent="0.25">
      <c r="A1112" s="1468">
        <v>1111</v>
      </c>
      <c r="B1112" s="141">
        <v>7</v>
      </c>
      <c r="C1112" s="497" t="s">
        <v>307</v>
      </c>
      <c r="D1112" s="498"/>
      <c r="E1112" s="498" t="s">
        <v>47</v>
      </c>
      <c r="F1112" s="498"/>
      <c r="G1112" s="499" t="s">
        <v>308</v>
      </c>
      <c r="H1112" s="896" t="s">
        <v>132</v>
      </c>
      <c r="I1112" s="371" t="s">
        <v>309</v>
      </c>
      <c r="J1112" s="256">
        <v>403</v>
      </c>
      <c r="K1112" s="216"/>
      <c r="L1112" s="281"/>
      <c r="M1112" s="281"/>
      <c r="N1112" s="281"/>
      <c r="O1112" s="1407"/>
      <c r="P1112" s="706"/>
      <c r="Q1112" s="344"/>
      <c r="R1112" s="982" t="s">
        <v>66</v>
      </c>
      <c r="S1112" s="252"/>
      <c r="T1112" s="250"/>
      <c r="U1112" s="250"/>
      <c r="V1112" s="197"/>
      <c r="W1112" s="426"/>
      <c r="X1112" s="197"/>
      <c r="Y1112" s="197"/>
      <c r="Z1112" s="252"/>
      <c r="AA1112" s="252"/>
      <c r="AB1112" s="282"/>
      <c r="AC1112" s="223"/>
      <c r="AD1112" s="282"/>
      <c r="AE1112" s="494"/>
      <c r="AF1112" s="494"/>
      <c r="AG1112" s="241"/>
      <c r="AH1112" s="283"/>
      <c r="AI1112" s="254"/>
      <c r="AJ1112" s="348"/>
      <c r="AK1112" s="491">
        <v>3</v>
      </c>
      <c r="AL1112" s="175" t="s">
        <v>494</v>
      </c>
      <c r="AM1112" s="175" t="s">
        <v>492</v>
      </c>
      <c r="AN1112" s="130"/>
      <c r="AO1112" s="130"/>
      <c r="AP1112" s="115"/>
      <c r="AQ1112" s="115"/>
      <c r="AR1112" s="115"/>
      <c r="AS1112" s="115"/>
      <c r="AT1112" s="115"/>
    </row>
    <row r="1113" spans="1:46" ht="39" customHeight="1" x14ac:dyDescent="0.25">
      <c r="A1113" s="1468">
        <v>1112</v>
      </c>
      <c r="B1113" s="141">
        <v>3</v>
      </c>
      <c r="C1113" s="356" t="s">
        <v>290</v>
      </c>
      <c r="D1113" s="241" t="s">
        <v>134</v>
      </c>
      <c r="E1113" s="241"/>
      <c r="F1113" s="241"/>
      <c r="G1113" s="261" t="s">
        <v>291</v>
      </c>
      <c r="H1113" s="262" t="s">
        <v>85</v>
      </c>
      <c r="I1113" s="371"/>
      <c r="J1113" s="245" t="s">
        <v>556</v>
      </c>
      <c r="K1113" s="257"/>
      <c r="L1113" s="250"/>
      <c r="M1113" s="250"/>
      <c r="N1113" s="299"/>
      <c r="O1113" s="392"/>
      <c r="P1113" s="706"/>
      <c r="Q1113" s="344"/>
      <c r="R1113" s="982" t="s">
        <v>66</v>
      </c>
      <c r="S1113" s="279"/>
      <c r="T1113" s="289"/>
      <c r="U1113" s="197"/>
      <c r="V1113" s="197"/>
      <c r="W1113" s="250"/>
      <c r="X1113" s="197"/>
      <c r="Y1113" s="197"/>
      <c r="Z1113" s="246"/>
      <c r="AA1113" s="289"/>
      <c r="AB1113" s="299"/>
      <c r="AC1113" s="223"/>
      <c r="AD1113" s="299"/>
      <c r="AE1113" s="494"/>
      <c r="AF1113" s="494"/>
      <c r="AG1113" s="299"/>
      <c r="AH1113" s="299"/>
      <c r="AI1113" s="223"/>
      <c r="AJ1113" s="348"/>
      <c r="AK1113" s="241">
        <v>4</v>
      </c>
      <c r="AL1113" s="123" t="s">
        <v>494</v>
      </c>
      <c r="AM1113" s="175" t="s">
        <v>492</v>
      </c>
      <c r="AN1113" s="110" t="s">
        <v>4184</v>
      </c>
      <c r="AO1113" s="130"/>
      <c r="AP1113" s="115"/>
      <c r="AQ1113" s="149"/>
      <c r="AR1113" s="115"/>
      <c r="AS1113" s="115"/>
      <c r="AT1113" s="115"/>
    </row>
    <row r="1114" spans="1:46" ht="39" customHeight="1" x14ac:dyDescent="0.25">
      <c r="A1114" s="1468">
        <v>1113</v>
      </c>
      <c r="B1114" s="141">
        <v>3</v>
      </c>
      <c r="C1114" s="358" t="s">
        <v>297</v>
      </c>
      <c r="D1114" s="241" t="s">
        <v>134</v>
      </c>
      <c r="E1114" s="241"/>
      <c r="F1114" s="241"/>
      <c r="G1114" s="261" t="s">
        <v>298</v>
      </c>
      <c r="H1114" s="262" t="s">
        <v>85</v>
      </c>
      <c r="I1114" s="371"/>
      <c r="J1114" s="245" t="s">
        <v>556</v>
      </c>
      <c r="K1114" s="216"/>
      <c r="L1114" s="301" t="s">
        <v>3968</v>
      </c>
      <c r="M1114" s="301" t="s">
        <v>3968</v>
      </c>
      <c r="N1114" s="366"/>
      <c r="O1114" s="392" t="s">
        <v>3617</v>
      </c>
      <c r="P1114" s="300"/>
      <c r="Q1114" s="344" t="s">
        <v>87</v>
      </c>
      <c r="R1114" s="982" t="s">
        <v>3616</v>
      </c>
      <c r="S1114" s="279">
        <v>37654</v>
      </c>
      <c r="T1114" s="250"/>
      <c r="U1114" s="250"/>
      <c r="V1114" s="250"/>
      <c r="W1114" s="197"/>
      <c r="X1114" s="197"/>
      <c r="Y1114" s="1137"/>
      <c r="Z1114" s="612"/>
      <c r="AA1114" s="289"/>
      <c r="AB1114" s="299"/>
      <c r="AC1114" s="223"/>
      <c r="AD1114" s="299"/>
      <c r="AE1114" s="494"/>
      <c r="AF1114" s="494"/>
      <c r="AG1114" s="299"/>
      <c r="AH1114" s="299"/>
      <c r="AI1114" s="296"/>
      <c r="AJ1114" s="348" t="s">
        <v>560</v>
      </c>
      <c r="AK1114" s="241">
        <v>4</v>
      </c>
      <c r="AL1114" s="123" t="s">
        <v>494</v>
      </c>
      <c r="AM1114" s="175" t="s">
        <v>492</v>
      </c>
      <c r="AN1114" s="130"/>
      <c r="AO1114" s="130"/>
      <c r="AP1114" s="115"/>
      <c r="AQ1114" s="149"/>
      <c r="AR1114" s="115"/>
      <c r="AS1114" s="115"/>
      <c r="AT1114" s="116"/>
    </row>
    <row r="1115" spans="1:46" ht="39" customHeight="1" x14ac:dyDescent="0.25">
      <c r="A1115" s="1468">
        <v>1114</v>
      </c>
      <c r="B1115" s="141">
        <v>2</v>
      </c>
      <c r="C1115" s="260" t="s">
        <v>311</v>
      </c>
      <c r="D1115" s="241"/>
      <c r="E1115" s="241"/>
      <c r="F1115" s="241"/>
      <c r="G1115" s="261" t="s">
        <v>312</v>
      </c>
      <c r="H1115" s="262" t="s">
        <v>85</v>
      </c>
      <c r="I1115" s="371"/>
      <c r="J1115" s="245" t="s">
        <v>556</v>
      </c>
      <c r="K1115" s="257"/>
      <c r="L1115" s="299" t="s">
        <v>3518</v>
      </c>
      <c r="M1115" s="299" t="s">
        <v>3518</v>
      </c>
      <c r="N1115" s="245"/>
      <c r="O1115" s="392" t="s">
        <v>3532</v>
      </c>
      <c r="P1115" s="706" t="s">
        <v>1828</v>
      </c>
      <c r="Q1115" s="344" t="s">
        <v>87</v>
      </c>
      <c r="R1115" s="982" t="s">
        <v>3531</v>
      </c>
      <c r="S1115" s="279">
        <v>34006</v>
      </c>
      <c r="T1115" s="289"/>
      <c r="U1115" s="251" t="s">
        <v>54</v>
      </c>
      <c r="V1115" s="197" t="s">
        <v>5512</v>
      </c>
      <c r="W1115" s="250" t="s">
        <v>56</v>
      </c>
      <c r="X1115" s="197" t="s">
        <v>57</v>
      </c>
      <c r="Y1115" s="197" t="s">
        <v>5726</v>
      </c>
      <c r="Z1115" s="246">
        <v>45272</v>
      </c>
      <c r="AA1115" s="281"/>
      <c r="AB1115" s="245"/>
      <c r="AC1115" s="223"/>
      <c r="AD1115" s="245"/>
      <c r="AE1115" s="494"/>
      <c r="AF1115" s="494"/>
      <c r="AG1115" s="241"/>
      <c r="AH1115" s="253"/>
      <c r="AI1115" s="284"/>
      <c r="AJ1115" s="348" t="s">
        <v>560</v>
      </c>
      <c r="AK1115" s="241">
        <v>4</v>
      </c>
      <c r="AL1115" s="123" t="s">
        <v>494</v>
      </c>
      <c r="AM1115" s="175" t="s">
        <v>492</v>
      </c>
      <c r="AN1115" s="130"/>
      <c r="AO1115" s="130"/>
      <c r="AP1115" s="115"/>
      <c r="AQ1115" s="149"/>
      <c r="AR1115" s="115"/>
      <c r="AS1115" s="115"/>
      <c r="AT1115" s="115"/>
    </row>
    <row r="1116" spans="1:46" ht="39" customHeight="1" x14ac:dyDescent="0.25">
      <c r="A1116" s="1468">
        <v>1115</v>
      </c>
      <c r="B1116" s="141">
        <v>2</v>
      </c>
      <c r="C1116" s="260" t="s">
        <v>317</v>
      </c>
      <c r="D1116" s="241"/>
      <c r="E1116" s="241"/>
      <c r="F1116" s="241"/>
      <c r="G1116" s="261" t="s">
        <v>318</v>
      </c>
      <c r="H1116" s="262" t="s">
        <v>87</v>
      </c>
      <c r="I1116" s="371"/>
      <c r="J1116" s="245" t="s">
        <v>561</v>
      </c>
      <c r="K1116" s="216"/>
      <c r="L1116" s="301" t="s">
        <v>1430</v>
      </c>
      <c r="M1116" s="281" t="s">
        <v>1684</v>
      </c>
      <c r="N1116" s="366"/>
      <c r="O1116" s="392" t="s">
        <v>2983</v>
      </c>
      <c r="P1116" s="304"/>
      <c r="Q1116" s="197" t="s">
        <v>85</v>
      </c>
      <c r="R1116" s="427" t="s">
        <v>1442</v>
      </c>
      <c r="S1116" s="279">
        <v>37602</v>
      </c>
      <c r="T1116" s="250"/>
      <c r="U1116" s="251" t="s">
        <v>54</v>
      </c>
      <c r="V1116" s="280" t="s">
        <v>3508</v>
      </c>
      <c r="W1116" s="197" t="s">
        <v>2039</v>
      </c>
      <c r="X1116" s="197" t="s">
        <v>475</v>
      </c>
      <c r="Y1116" s="949" t="s">
        <v>3510</v>
      </c>
      <c r="Z1116" s="612">
        <v>45205</v>
      </c>
      <c r="AA1116" s="289"/>
      <c r="AB1116" s="288" t="s">
        <v>4501</v>
      </c>
      <c r="AC1116" s="223" t="s">
        <v>946</v>
      </c>
      <c r="AD1116" s="299"/>
      <c r="AE1116" s="494">
        <v>45098</v>
      </c>
      <c r="AF1116" s="494">
        <v>45463</v>
      </c>
      <c r="AG1116" s="299"/>
      <c r="AH1116" s="299"/>
      <c r="AI1116" s="296" t="s">
        <v>1351</v>
      </c>
      <c r="AJ1116" s="303" t="s">
        <v>136</v>
      </c>
      <c r="AK1116" s="241">
        <v>4</v>
      </c>
      <c r="AL1116" s="123" t="s">
        <v>494</v>
      </c>
      <c r="AM1116" s="175" t="s">
        <v>492</v>
      </c>
      <c r="AN1116" s="130"/>
      <c r="AO1116" s="130"/>
      <c r="AP1116" s="115"/>
      <c r="AQ1116" s="149"/>
      <c r="AR1116" s="115"/>
      <c r="AS1116" s="115"/>
      <c r="AT1116" s="115"/>
    </row>
    <row r="1117" spans="1:46" ht="39" customHeight="1" x14ac:dyDescent="0.25">
      <c r="A1117" s="1468">
        <v>1116</v>
      </c>
      <c r="B1117" s="146">
        <v>2</v>
      </c>
      <c r="C1117" s="260" t="s">
        <v>319</v>
      </c>
      <c r="D1117" s="241"/>
      <c r="E1117" s="241"/>
      <c r="F1117" s="241"/>
      <c r="G1117" s="261" t="s">
        <v>320</v>
      </c>
      <c r="H1117" s="262" t="s">
        <v>87</v>
      </c>
      <c r="I1117" s="357"/>
      <c r="J1117" s="245" t="s">
        <v>561</v>
      </c>
      <c r="K1117" s="257"/>
      <c r="L1117" s="301" t="s">
        <v>1430</v>
      </c>
      <c r="M1117" s="281" t="s">
        <v>1684</v>
      </c>
      <c r="N1117" s="299"/>
      <c r="O1117" s="392" t="s">
        <v>3018</v>
      </c>
      <c r="P1117" s="300"/>
      <c r="Q1117" s="197" t="s">
        <v>87</v>
      </c>
      <c r="R1117" s="682" t="s">
        <v>4503</v>
      </c>
      <c r="S1117" s="279">
        <v>37807</v>
      </c>
      <c r="T1117" s="289"/>
      <c r="U1117" s="251" t="s">
        <v>54</v>
      </c>
      <c r="V1117" s="280" t="s">
        <v>3508</v>
      </c>
      <c r="W1117" s="197" t="s">
        <v>2039</v>
      </c>
      <c r="X1117" s="197" t="s">
        <v>475</v>
      </c>
      <c r="Y1117" s="949" t="s">
        <v>3510</v>
      </c>
      <c r="Z1117" s="612">
        <v>45205</v>
      </c>
      <c r="AA1117" s="289"/>
      <c r="AB1117" s="288" t="s">
        <v>4502</v>
      </c>
      <c r="AC1117" s="223" t="s">
        <v>946</v>
      </c>
      <c r="AD1117" s="299"/>
      <c r="AE1117" s="494">
        <v>45098</v>
      </c>
      <c r="AF1117" s="494">
        <v>45463</v>
      </c>
      <c r="AG1117" s="299"/>
      <c r="AH1117" s="299"/>
      <c r="AI1117" s="296" t="s">
        <v>1351</v>
      </c>
      <c r="AJ1117" s="303" t="s">
        <v>136</v>
      </c>
      <c r="AK1117" s="241">
        <v>4</v>
      </c>
      <c r="AL1117" s="123" t="s">
        <v>494</v>
      </c>
      <c r="AM1117" s="175" t="s">
        <v>492</v>
      </c>
      <c r="AN1117" s="110"/>
      <c r="AO1117" s="110"/>
      <c r="AP1117" s="115"/>
      <c r="AQ1117" s="149"/>
      <c r="AR1117" s="115"/>
      <c r="AS1117" s="115"/>
      <c r="AT1117" s="115"/>
    </row>
    <row r="1118" spans="1:46" ht="39" customHeight="1" x14ac:dyDescent="0.25">
      <c r="A1118" s="1468">
        <v>1117</v>
      </c>
      <c r="B1118" s="141">
        <v>2</v>
      </c>
      <c r="C1118" s="378" t="s">
        <v>321</v>
      </c>
      <c r="D1118" s="303"/>
      <c r="E1118" s="241"/>
      <c r="F1118" s="241"/>
      <c r="G1118" s="261" t="s">
        <v>322</v>
      </c>
      <c r="H1118" s="262" t="s">
        <v>87</v>
      </c>
      <c r="I1118" s="364"/>
      <c r="J1118" s="245" t="s">
        <v>561</v>
      </c>
      <c r="K1118" s="684"/>
      <c r="L1118" s="685"/>
      <c r="M1118" s="685"/>
      <c r="N1118" s="684"/>
      <c r="O1118" s="385" t="s">
        <v>3382</v>
      </c>
      <c r="P1118" s="374"/>
      <c r="Q1118" s="344" t="s">
        <v>293</v>
      </c>
      <c r="R1118" s="982" t="s">
        <v>3381</v>
      </c>
      <c r="S1118" s="279">
        <v>37048</v>
      </c>
      <c r="T1118" s="684"/>
      <c r="U1118" s="250" t="s">
        <v>886</v>
      </c>
      <c r="V1118" s="197" t="s">
        <v>6219</v>
      </c>
      <c r="W1118" s="819" t="s">
        <v>886</v>
      </c>
      <c r="X1118" s="197" t="s">
        <v>886</v>
      </c>
      <c r="Y1118" s="392"/>
      <c r="Z1118" s="246">
        <v>45324</v>
      </c>
      <c r="AA1118" s="684"/>
      <c r="AB1118" s="1290"/>
      <c r="AC1118" s="684"/>
      <c r="AD1118" s="686"/>
      <c r="AE1118" s="494"/>
      <c r="AF1118" s="494"/>
      <c r="AG1118" s="684"/>
      <c r="AH1118" s="684"/>
      <c r="AI1118" s="685"/>
      <c r="AJ1118" s="348" t="s">
        <v>560</v>
      </c>
      <c r="AK1118" s="241">
        <v>4</v>
      </c>
      <c r="AL1118" s="123" t="s">
        <v>494</v>
      </c>
      <c r="AM1118" s="175" t="s">
        <v>492</v>
      </c>
      <c r="AN1118" s="110"/>
      <c r="AO1118" s="110"/>
      <c r="AP1118" s="115"/>
      <c r="AQ1118" s="149"/>
      <c r="AR1118" s="115"/>
      <c r="AS1118" s="115"/>
      <c r="AT1118" s="115"/>
    </row>
    <row r="1119" spans="1:46" ht="39" customHeight="1" x14ac:dyDescent="0.25">
      <c r="A1119" s="1468">
        <v>1118</v>
      </c>
      <c r="B1119" s="141">
        <v>1</v>
      </c>
      <c r="C1119" s="378" t="s">
        <v>323</v>
      </c>
      <c r="D1119" s="303"/>
      <c r="E1119" s="241"/>
      <c r="F1119" s="241"/>
      <c r="G1119" s="261" t="s">
        <v>324</v>
      </c>
      <c r="H1119" s="262" t="s">
        <v>87</v>
      </c>
      <c r="I1119" s="357"/>
      <c r="J1119" s="245" t="s">
        <v>561</v>
      </c>
      <c r="K1119" s="434"/>
      <c r="L1119" s="394" t="s">
        <v>1678</v>
      </c>
      <c r="M1119" s="281" t="s">
        <v>2783</v>
      </c>
      <c r="N1119" s="496"/>
      <c r="O1119" s="1525" t="s">
        <v>3090</v>
      </c>
      <c r="P1119" s="505"/>
      <c r="Q1119" s="394" t="s">
        <v>87</v>
      </c>
      <c r="R1119" s="572" t="s">
        <v>1360</v>
      </c>
      <c r="S1119" s="279">
        <v>38464</v>
      </c>
      <c r="T1119" s="440"/>
      <c r="U1119" s="251" t="s">
        <v>54</v>
      </c>
      <c r="V1119" s="280" t="s">
        <v>3508</v>
      </c>
      <c r="W1119" s="197" t="s">
        <v>2039</v>
      </c>
      <c r="X1119" s="197" t="s">
        <v>475</v>
      </c>
      <c r="Y1119" s="1137" t="s">
        <v>3510</v>
      </c>
      <c r="Z1119" s="612">
        <v>45205</v>
      </c>
      <c r="AA1119" s="698"/>
      <c r="AB1119" s="197" t="s">
        <v>4485</v>
      </c>
      <c r="AC1119" s="223" t="s">
        <v>946</v>
      </c>
      <c r="AD1119" s="299"/>
      <c r="AE1119" s="494">
        <v>45070</v>
      </c>
      <c r="AF1119" s="494">
        <v>45435</v>
      </c>
      <c r="AG1119" s="299"/>
      <c r="AH1119" s="299"/>
      <c r="AI1119" s="254" t="s">
        <v>1351</v>
      </c>
      <c r="AJ1119" s="303" t="s">
        <v>136</v>
      </c>
      <c r="AK1119" s="241">
        <v>4</v>
      </c>
      <c r="AL1119" s="123" t="s">
        <v>494</v>
      </c>
      <c r="AM1119" s="175" t="s">
        <v>492</v>
      </c>
      <c r="AN1119" s="110"/>
      <c r="AO1119" s="110"/>
      <c r="AP1119" s="115"/>
      <c r="AQ1119" s="149"/>
      <c r="AR1119" s="115"/>
      <c r="AS1119" s="115"/>
      <c r="AT1119" s="116"/>
    </row>
    <row r="1120" spans="1:46" ht="39" customHeight="1" x14ac:dyDescent="0.25">
      <c r="A1120" s="1468">
        <v>1119</v>
      </c>
      <c r="B1120" s="141">
        <v>2</v>
      </c>
      <c r="C1120" s="260" t="s">
        <v>325</v>
      </c>
      <c r="D1120" s="241"/>
      <c r="E1120" s="241"/>
      <c r="F1120" s="241"/>
      <c r="G1120" s="261" t="s">
        <v>324</v>
      </c>
      <c r="H1120" s="262" t="s">
        <v>87</v>
      </c>
      <c r="I1120" s="357"/>
      <c r="J1120" s="245" t="s">
        <v>561</v>
      </c>
      <c r="K1120" s="216"/>
      <c r="L1120" s="299" t="s">
        <v>1508</v>
      </c>
      <c r="M1120" s="299" t="s">
        <v>1708</v>
      </c>
      <c r="N1120" s="245"/>
      <c r="O1120" s="392" t="s">
        <v>2973</v>
      </c>
      <c r="P1120" s="627"/>
      <c r="Q1120" s="594" t="s">
        <v>293</v>
      </c>
      <c r="R1120" s="381" t="s">
        <v>1613</v>
      </c>
      <c r="S1120" s="279">
        <v>38440</v>
      </c>
      <c r="T1120" s="289"/>
      <c r="U1120" s="251" t="s">
        <v>54</v>
      </c>
      <c r="V1120" s="197" t="s">
        <v>1987</v>
      </c>
      <c r="W1120" s="197" t="s">
        <v>2039</v>
      </c>
      <c r="X1120" s="197" t="s">
        <v>57</v>
      </c>
      <c r="Y1120" s="392" t="s">
        <v>2040</v>
      </c>
      <c r="Z1120" s="246">
        <v>45147</v>
      </c>
      <c r="AA1120" s="281"/>
      <c r="AB1120" s="299" t="s">
        <v>4504</v>
      </c>
      <c r="AC1120" s="223" t="s">
        <v>946</v>
      </c>
      <c r="AD1120" s="245"/>
      <c r="AE1120" s="494">
        <v>45112</v>
      </c>
      <c r="AF1120" s="494">
        <v>45477</v>
      </c>
      <c r="AG1120" s="241"/>
      <c r="AH1120" s="253"/>
      <c r="AI1120" s="284" t="s">
        <v>1351</v>
      </c>
      <c r="AJ1120" s="303" t="s">
        <v>136</v>
      </c>
      <c r="AK1120" s="241">
        <v>4</v>
      </c>
      <c r="AL1120" s="123" t="s">
        <v>494</v>
      </c>
      <c r="AM1120" s="175" t="s">
        <v>492</v>
      </c>
      <c r="AN1120" s="110"/>
      <c r="AO1120" s="110"/>
      <c r="AP1120" s="115"/>
      <c r="AQ1120" s="149"/>
      <c r="AR1120" s="115"/>
      <c r="AS1120" s="115"/>
      <c r="AT1120" s="115"/>
    </row>
    <row r="1121" spans="1:46" ht="39" customHeight="1" x14ac:dyDescent="0.25">
      <c r="A1121" s="1468">
        <v>1120</v>
      </c>
      <c r="B1121" s="117"/>
      <c r="C1121" s="324"/>
      <c r="D1121" s="664"/>
      <c r="E1121" s="664"/>
      <c r="F1121" s="664"/>
      <c r="G1121" s="227"/>
      <c r="H1121" s="228"/>
      <c r="I1121" s="228"/>
      <c r="J1121" s="229"/>
      <c r="K1121" s="433"/>
      <c r="L1121" s="329"/>
      <c r="M1121" s="329"/>
      <c r="N1121" s="329"/>
      <c r="O1121" s="330"/>
      <c r="P1121" s="273" t="s">
        <v>326</v>
      </c>
      <c r="Q1121" s="485"/>
      <c r="R1121" s="334"/>
      <c r="S1121" s="334"/>
      <c r="T1121" s="334"/>
      <c r="U1121" s="334"/>
      <c r="V1121" s="334"/>
      <c r="W1121" s="690"/>
      <c r="X1121" s="690"/>
      <c r="Y1121" s="690"/>
      <c r="Z1121" s="691"/>
      <c r="AA1121" s="692"/>
      <c r="AB1121" s="693"/>
      <c r="AC1121" s="694"/>
      <c r="AD1121" s="693"/>
      <c r="AE1121" s="494"/>
      <c r="AF1121" s="494"/>
      <c r="AG1121" s="646"/>
      <c r="AH1121" s="696"/>
      <c r="AI1121" s="697"/>
      <c r="AJ1121" s="507"/>
      <c r="AK1121" s="241"/>
      <c r="AL1121" s="122"/>
      <c r="AM1121" s="122"/>
      <c r="AN1121" s="113"/>
      <c r="AO1121" s="114"/>
      <c r="AP1121" s="115"/>
      <c r="AQ1121" s="115"/>
      <c r="AR1121" s="115"/>
      <c r="AS1121" s="115"/>
      <c r="AT1121" s="116"/>
    </row>
    <row r="1122" spans="1:46" ht="39" customHeight="1" x14ac:dyDescent="0.25">
      <c r="A1122" s="1468">
        <v>1121</v>
      </c>
      <c r="B1122" s="141">
        <v>5</v>
      </c>
      <c r="C1122" s="290" t="s">
        <v>288</v>
      </c>
      <c r="D1122" s="291"/>
      <c r="E1122" s="291" t="s">
        <v>47</v>
      </c>
      <c r="F1122" s="291"/>
      <c r="G1122" s="292" t="s">
        <v>289</v>
      </c>
      <c r="H1122" s="293" t="s">
        <v>132</v>
      </c>
      <c r="I1122" s="344">
        <v>144</v>
      </c>
      <c r="J1122" s="256">
        <v>403</v>
      </c>
      <c r="K1122" s="216"/>
      <c r="L1122" s="282"/>
      <c r="M1122" s="282"/>
      <c r="N1122" s="245"/>
      <c r="O1122" s="392" t="s">
        <v>3193</v>
      </c>
      <c r="P1122" s="372"/>
      <c r="Q1122" s="344" t="s">
        <v>567</v>
      </c>
      <c r="R1122" s="982" t="s">
        <v>1399</v>
      </c>
      <c r="S1122" s="279">
        <v>37819</v>
      </c>
      <c r="T1122" s="250"/>
      <c r="U1122" s="251" t="s">
        <v>54</v>
      </c>
      <c r="V1122" s="197" t="s">
        <v>5822</v>
      </c>
      <c r="W1122" s="197" t="s">
        <v>70</v>
      </c>
      <c r="X1122" s="197" t="s">
        <v>71</v>
      </c>
      <c r="Y1122" s="949" t="s">
        <v>1004</v>
      </c>
      <c r="Z1122" s="246"/>
      <c r="AA1122" s="258"/>
      <c r="AB1122" s="281"/>
      <c r="AC1122" s="223"/>
      <c r="AD1122" s="281"/>
      <c r="AE1122" s="494"/>
      <c r="AF1122" s="494"/>
      <c r="AG1122" s="241"/>
      <c r="AH1122" s="283"/>
      <c r="AI1122" s="296"/>
      <c r="AJ1122" s="348" t="s">
        <v>560</v>
      </c>
      <c r="AK1122" s="348">
        <v>3</v>
      </c>
      <c r="AL1122" s="123" t="s">
        <v>494</v>
      </c>
      <c r="AM1122" s="175" t="s">
        <v>492</v>
      </c>
      <c r="AN1122" s="130"/>
      <c r="AO1122" s="130"/>
      <c r="AP1122" s="115"/>
      <c r="AQ1122" s="115"/>
      <c r="AR1122" s="115"/>
      <c r="AS1122" s="115"/>
      <c r="AT1122" s="115"/>
    </row>
    <row r="1123" spans="1:46" ht="39" customHeight="1" x14ac:dyDescent="0.25">
      <c r="A1123" s="1468">
        <v>1122</v>
      </c>
      <c r="B1123" s="141">
        <v>3</v>
      </c>
      <c r="C1123" s="356" t="s">
        <v>290</v>
      </c>
      <c r="D1123" s="241" t="s">
        <v>134</v>
      </c>
      <c r="E1123" s="241"/>
      <c r="F1123" s="241"/>
      <c r="G1123" s="261" t="s">
        <v>291</v>
      </c>
      <c r="H1123" s="262" t="s">
        <v>85</v>
      </c>
      <c r="I1123" s="371"/>
      <c r="J1123" s="245" t="s">
        <v>556</v>
      </c>
      <c r="K1123" s="595"/>
      <c r="L1123" s="392" t="s">
        <v>1830</v>
      </c>
      <c r="M1123" s="392" t="s">
        <v>1830</v>
      </c>
      <c r="N1123" s="595"/>
      <c r="O1123" s="392" t="s">
        <v>3054</v>
      </c>
      <c r="P1123" s="595"/>
      <c r="Q1123" s="301" t="s">
        <v>87</v>
      </c>
      <c r="R1123" s="427" t="s">
        <v>1829</v>
      </c>
      <c r="S1123" s="279">
        <v>38204</v>
      </c>
      <c r="T1123" s="1482" t="s">
        <v>5919</v>
      </c>
      <c r="U1123" s="251" t="s">
        <v>54</v>
      </c>
      <c r="V1123" s="280" t="s">
        <v>3508</v>
      </c>
      <c r="W1123" s="197" t="s">
        <v>2039</v>
      </c>
      <c r="X1123" s="197" t="s">
        <v>475</v>
      </c>
      <c r="Y1123" s="949" t="s">
        <v>3510</v>
      </c>
      <c r="Z1123" s="612">
        <v>45205</v>
      </c>
      <c r="AA1123" s="595"/>
      <c r="AB1123" s="288" t="s">
        <v>4505</v>
      </c>
      <c r="AC1123" s="223" t="s">
        <v>1475</v>
      </c>
      <c r="AD1123" s="658"/>
      <c r="AE1123" s="494">
        <v>45098</v>
      </c>
      <c r="AF1123" s="494">
        <v>45463</v>
      </c>
      <c r="AG1123" s="595"/>
      <c r="AH1123" s="595"/>
      <c r="AI1123" s="719" t="s">
        <v>1351</v>
      </c>
      <c r="AJ1123" s="470" t="s">
        <v>136</v>
      </c>
      <c r="AK1123" s="241">
        <v>4</v>
      </c>
      <c r="AL1123" s="123" t="s">
        <v>494</v>
      </c>
      <c r="AM1123" s="175" t="s">
        <v>492</v>
      </c>
      <c r="AN1123" s="110" t="s">
        <v>4184</v>
      </c>
      <c r="AO1123" s="130"/>
      <c r="AP1123" s="115"/>
      <c r="AQ1123" s="115"/>
      <c r="AR1123" s="115"/>
      <c r="AS1123" s="115"/>
      <c r="AT1123" s="115"/>
    </row>
    <row r="1124" spans="1:46" ht="39" customHeight="1" x14ac:dyDescent="0.25">
      <c r="A1124" s="1468">
        <v>1123</v>
      </c>
      <c r="B1124" s="141">
        <v>3</v>
      </c>
      <c r="C1124" s="358" t="s">
        <v>297</v>
      </c>
      <c r="D1124" s="241" t="s">
        <v>134</v>
      </c>
      <c r="E1124" s="241"/>
      <c r="F1124" s="241"/>
      <c r="G1124" s="261" t="s">
        <v>298</v>
      </c>
      <c r="H1124" s="262" t="s">
        <v>85</v>
      </c>
      <c r="I1124" s="371"/>
      <c r="J1124" s="245" t="s">
        <v>556</v>
      </c>
      <c r="K1124" s="216"/>
      <c r="L1124" s="301" t="s">
        <v>1432</v>
      </c>
      <c r="M1124" s="301" t="s">
        <v>1680</v>
      </c>
      <c r="N1124" s="366"/>
      <c r="O1124" s="392" t="s">
        <v>2986</v>
      </c>
      <c r="P1124" s="374"/>
      <c r="Q1124" s="281" t="s">
        <v>293</v>
      </c>
      <c r="R1124" s="682" t="s">
        <v>1435</v>
      </c>
      <c r="S1124" s="279">
        <v>38437</v>
      </c>
      <c r="T1124" s="299"/>
      <c r="U1124" s="251" t="s">
        <v>54</v>
      </c>
      <c r="V1124" s="280" t="s">
        <v>3508</v>
      </c>
      <c r="W1124" s="197" t="s">
        <v>2039</v>
      </c>
      <c r="X1124" s="197" t="s">
        <v>475</v>
      </c>
      <c r="Y1124" s="949" t="s">
        <v>3510</v>
      </c>
      <c r="Z1124" s="612">
        <v>45205</v>
      </c>
      <c r="AA1124" s="398"/>
      <c r="AB1124" s="288" t="s">
        <v>4495</v>
      </c>
      <c r="AC1124" s="223" t="s">
        <v>946</v>
      </c>
      <c r="AD1124" s="412"/>
      <c r="AE1124" s="494">
        <v>45091</v>
      </c>
      <c r="AF1124" s="494">
        <v>45456</v>
      </c>
      <c r="AG1124" s="476"/>
      <c r="AH1124" s="489"/>
      <c r="AI1124" s="721" t="s">
        <v>1351</v>
      </c>
      <c r="AJ1124" s="303" t="s">
        <v>136</v>
      </c>
      <c r="AK1124" s="241">
        <v>4</v>
      </c>
      <c r="AL1124" s="123" t="s">
        <v>494</v>
      </c>
      <c r="AM1124" s="175" t="s">
        <v>492</v>
      </c>
      <c r="AN1124" s="130"/>
      <c r="AO1124" s="130"/>
      <c r="AP1124" s="115"/>
      <c r="AQ1124" s="115"/>
      <c r="AR1124" s="115"/>
      <c r="AS1124" s="115"/>
      <c r="AT1124" s="116"/>
    </row>
    <row r="1125" spans="1:46" ht="39" customHeight="1" x14ac:dyDescent="0.25">
      <c r="A1125" s="1468">
        <v>1124</v>
      </c>
      <c r="B1125" s="141">
        <v>2</v>
      </c>
      <c r="C1125" s="260" t="s">
        <v>311</v>
      </c>
      <c r="D1125" s="241"/>
      <c r="E1125" s="241"/>
      <c r="F1125" s="241"/>
      <c r="G1125" s="261" t="s">
        <v>312</v>
      </c>
      <c r="H1125" s="262" t="s">
        <v>85</v>
      </c>
      <c r="I1125" s="371"/>
      <c r="J1125" s="245" t="s">
        <v>556</v>
      </c>
      <c r="K1125" s="307"/>
      <c r="L1125" s="301" t="s">
        <v>3518</v>
      </c>
      <c r="M1125" s="281" t="s">
        <v>3518</v>
      </c>
      <c r="N1125" s="366"/>
      <c r="O1125" s="392" t="s">
        <v>3537</v>
      </c>
      <c r="P1125" s="304" t="s">
        <v>1828</v>
      </c>
      <c r="Q1125" s="344" t="s">
        <v>567</v>
      </c>
      <c r="R1125" s="982" t="s">
        <v>3536</v>
      </c>
      <c r="S1125" s="279">
        <v>25084</v>
      </c>
      <c r="T1125" s="250"/>
      <c r="U1125" s="251" t="s">
        <v>54</v>
      </c>
      <c r="V1125" s="197" t="s">
        <v>5512</v>
      </c>
      <c r="W1125" s="250" t="s">
        <v>56</v>
      </c>
      <c r="X1125" s="197" t="s">
        <v>57</v>
      </c>
      <c r="Y1125" s="197" t="s">
        <v>5726</v>
      </c>
      <c r="Z1125" s="246">
        <v>45272</v>
      </c>
      <c r="AA1125" s="289"/>
      <c r="AB1125" s="299"/>
      <c r="AC1125" s="223"/>
      <c r="AD1125" s="299"/>
      <c r="AE1125" s="494"/>
      <c r="AF1125" s="494"/>
      <c r="AG1125" s="299"/>
      <c r="AH1125" s="299"/>
      <c r="AI1125" s="296"/>
      <c r="AJ1125" s="348" t="s">
        <v>560</v>
      </c>
      <c r="AK1125" s="241">
        <v>4</v>
      </c>
      <c r="AL1125" s="123" t="s">
        <v>494</v>
      </c>
      <c r="AM1125" s="175" t="s">
        <v>492</v>
      </c>
      <c r="AN1125" s="130"/>
      <c r="AO1125" s="130"/>
      <c r="AP1125" s="115"/>
      <c r="AQ1125" s="115"/>
      <c r="AR1125" s="115"/>
      <c r="AS1125" s="115"/>
      <c r="AT1125" s="115"/>
    </row>
    <row r="1126" spans="1:46" ht="39" customHeight="1" x14ac:dyDescent="0.25">
      <c r="A1126" s="1468">
        <v>1125</v>
      </c>
      <c r="B1126" s="141">
        <v>2</v>
      </c>
      <c r="C1126" s="260" t="s">
        <v>317</v>
      </c>
      <c r="D1126" s="241"/>
      <c r="E1126" s="241"/>
      <c r="F1126" s="241"/>
      <c r="G1126" s="261" t="s">
        <v>318</v>
      </c>
      <c r="H1126" s="262" t="s">
        <v>87</v>
      </c>
      <c r="I1126" s="371"/>
      <c r="J1126" s="245" t="s">
        <v>561</v>
      </c>
      <c r="K1126" s="216"/>
      <c r="L1126" s="299" t="s">
        <v>1508</v>
      </c>
      <c r="M1126" s="299" t="s">
        <v>1708</v>
      </c>
      <c r="N1126" s="245"/>
      <c r="O1126" s="392" t="s">
        <v>3128</v>
      </c>
      <c r="P1126" s="627"/>
      <c r="Q1126" s="594" t="s">
        <v>293</v>
      </c>
      <c r="R1126" s="381" t="s">
        <v>1634</v>
      </c>
      <c r="S1126" s="279">
        <v>38284</v>
      </c>
      <c r="T1126" s="289"/>
      <c r="U1126" s="251" t="s">
        <v>54</v>
      </c>
      <c r="V1126" s="197" t="s">
        <v>1987</v>
      </c>
      <c r="W1126" s="197" t="s">
        <v>2039</v>
      </c>
      <c r="X1126" s="197" t="s">
        <v>57</v>
      </c>
      <c r="Y1126" s="147" t="s">
        <v>2040</v>
      </c>
      <c r="Z1126" s="246">
        <v>45147</v>
      </c>
      <c r="AA1126" s="281"/>
      <c r="AB1126" s="1183" t="s">
        <v>4506</v>
      </c>
      <c r="AC1126" s="223" t="s">
        <v>946</v>
      </c>
      <c r="AD1126" s="245"/>
      <c r="AE1126" s="494">
        <v>45112</v>
      </c>
      <c r="AF1126" s="494">
        <v>45477</v>
      </c>
      <c r="AG1126" s="241"/>
      <c r="AH1126" s="253"/>
      <c r="AI1126" s="284" t="s">
        <v>1351</v>
      </c>
      <c r="AJ1126" s="303" t="s">
        <v>136</v>
      </c>
      <c r="AK1126" s="241">
        <v>4</v>
      </c>
      <c r="AL1126" s="123" t="s">
        <v>494</v>
      </c>
      <c r="AM1126" s="175" t="s">
        <v>492</v>
      </c>
      <c r="AN1126" s="130"/>
      <c r="AO1126" s="130"/>
      <c r="AP1126" s="115"/>
      <c r="AQ1126" s="115"/>
      <c r="AR1126" s="115"/>
      <c r="AS1126" s="115"/>
      <c r="AT1126" s="115"/>
    </row>
    <row r="1127" spans="1:46" ht="39" customHeight="1" x14ac:dyDescent="0.25">
      <c r="A1127" s="1468">
        <v>1126</v>
      </c>
      <c r="B1127" s="146">
        <v>2</v>
      </c>
      <c r="C1127" s="260" t="s">
        <v>319</v>
      </c>
      <c r="D1127" s="241"/>
      <c r="E1127" s="241"/>
      <c r="F1127" s="241"/>
      <c r="G1127" s="261" t="s">
        <v>320</v>
      </c>
      <c r="H1127" s="262" t="s">
        <v>87</v>
      </c>
      <c r="I1127" s="357"/>
      <c r="J1127" s="245" t="s">
        <v>561</v>
      </c>
      <c r="K1127" s="216"/>
      <c r="L1127" s="301" t="s">
        <v>1679</v>
      </c>
      <c r="M1127" s="301" t="s">
        <v>1347</v>
      </c>
      <c r="N1127" s="281"/>
      <c r="O1127" s="392" t="s">
        <v>3067</v>
      </c>
      <c r="P1127" s="247"/>
      <c r="Q1127" s="301" t="s">
        <v>293</v>
      </c>
      <c r="R1127" s="427" t="s">
        <v>1894</v>
      </c>
      <c r="S1127" s="279">
        <v>38226</v>
      </c>
      <c r="T1127" s="250"/>
      <c r="U1127" s="251" t="s">
        <v>54</v>
      </c>
      <c r="V1127" s="280" t="s">
        <v>3508</v>
      </c>
      <c r="W1127" s="197" t="s">
        <v>2039</v>
      </c>
      <c r="X1127" s="197" t="s">
        <v>475</v>
      </c>
      <c r="Y1127" s="949" t="s">
        <v>3510</v>
      </c>
      <c r="Z1127" s="612">
        <v>45205</v>
      </c>
      <c r="AA1127" s="252"/>
      <c r="AB1127" s="281"/>
      <c r="AC1127" s="223" t="s">
        <v>946</v>
      </c>
      <c r="AD1127" s="281"/>
      <c r="AE1127" s="494">
        <v>45083</v>
      </c>
      <c r="AF1127" s="494">
        <v>45448</v>
      </c>
      <c r="AG1127" s="282"/>
      <c r="AH1127" s="281"/>
      <c r="AI1127" s="254" t="s">
        <v>1351</v>
      </c>
      <c r="AJ1127" s="303" t="s">
        <v>136</v>
      </c>
      <c r="AK1127" s="241">
        <v>4</v>
      </c>
      <c r="AL1127" s="123" t="s">
        <v>494</v>
      </c>
      <c r="AM1127" s="175" t="s">
        <v>492</v>
      </c>
      <c r="AN1127" s="110"/>
      <c r="AO1127" s="110"/>
      <c r="AP1127" s="115"/>
      <c r="AQ1127" s="115"/>
      <c r="AR1127" s="115"/>
      <c r="AS1127" s="115"/>
      <c r="AT1127" s="115"/>
    </row>
    <row r="1128" spans="1:46" ht="39" customHeight="1" x14ac:dyDescent="0.25">
      <c r="A1128" s="1468">
        <v>1127</v>
      </c>
      <c r="B1128" s="141">
        <v>2</v>
      </c>
      <c r="C1128" s="378" t="s">
        <v>321</v>
      </c>
      <c r="D1128" s="303"/>
      <c r="E1128" s="241"/>
      <c r="F1128" s="241"/>
      <c r="G1128" s="261" t="s">
        <v>322</v>
      </c>
      <c r="H1128" s="262" t="s">
        <v>87</v>
      </c>
      <c r="I1128" s="364"/>
      <c r="J1128" s="245" t="s">
        <v>561</v>
      </c>
      <c r="K1128" s="250"/>
      <c r="L1128" s="301" t="s">
        <v>1679</v>
      </c>
      <c r="M1128" s="281" t="s">
        <v>2783</v>
      </c>
      <c r="N1128" s="366"/>
      <c r="O1128" s="392" t="s">
        <v>2967</v>
      </c>
      <c r="P1128" s="467"/>
      <c r="Q1128" s="301" t="s">
        <v>293</v>
      </c>
      <c r="R1128" s="1002" t="s">
        <v>1380</v>
      </c>
      <c r="S1128" s="279">
        <v>38166</v>
      </c>
      <c r="T1128" s="268"/>
      <c r="U1128" s="251" t="s">
        <v>54</v>
      </c>
      <c r="V1128" s="280" t="s">
        <v>3508</v>
      </c>
      <c r="W1128" s="197" t="s">
        <v>2039</v>
      </c>
      <c r="X1128" s="197" t="s">
        <v>475</v>
      </c>
      <c r="Y1128" s="949" t="s">
        <v>3510</v>
      </c>
      <c r="Z1128" s="612">
        <v>45205</v>
      </c>
      <c r="AA1128" s="252"/>
      <c r="AB1128" s="288" t="s">
        <v>4347</v>
      </c>
      <c r="AC1128" s="223" t="s">
        <v>946</v>
      </c>
      <c r="AD1128" s="305"/>
      <c r="AE1128" s="494">
        <v>45076</v>
      </c>
      <c r="AF1128" s="494">
        <v>45441</v>
      </c>
      <c r="AG1128" s="570"/>
      <c r="AH1128" s="281"/>
      <c r="AI1128" s="254" t="s">
        <v>1351</v>
      </c>
      <c r="AJ1128" s="303" t="s">
        <v>136</v>
      </c>
      <c r="AK1128" s="241">
        <v>4</v>
      </c>
      <c r="AL1128" s="123" t="s">
        <v>494</v>
      </c>
      <c r="AM1128" s="175" t="s">
        <v>492</v>
      </c>
      <c r="AN1128" s="110"/>
      <c r="AO1128" s="110"/>
      <c r="AP1128" s="115"/>
      <c r="AQ1128" s="115"/>
      <c r="AR1128" s="115"/>
      <c r="AS1128" s="115"/>
      <c r="AT1128" s="116"/>
    </row>
    <row r="1129" spans="1:46" ht="39" customHeight="1" x14ac:dyDescent="0.25">
      <c r="A1129" s="1468">
        <v>1128</v>
      </c>
      <c r="B1129" s="141">
        <v>1</v>
      </c>
      <c r="C1129" s="378" t="s">
        <v>323</v>
      </c>
      <c r="D1129" s="303"/>
      <c r="E1129" s="241"/>
      <c r="F1129" s="241"/>
      <c r="G1129" s="261" t="s">
        <v>324</v>
      </c>
      <c r="H1129" s="262" t="s">
        <v>87</v>
      </c>
      <c r="I1129" s="357"/>
      <c r="J1129" s="245" t="s">
        <v>561</v>
      </c>
      <c r="K1129" s="197"/>
      <c r="L1129" s="281" t="s">
        <v>1681</v>
      </c>
      <c r="M1129" s="281" t="s">
        <v>1430</v>
      </c>
      <c r="N1129" s="366"/>
      <c r="O1129" s="392" t="s">
        <v>3003</v>
      </c>
      <c r="P1129" s="247"/>
      <c r="Q1129" s="281" t="s">
        <v>87</v>
      </c>
      <c r="R1129" s="1274" t="s">
        <v>1454</v>
      </c>
      <c r="S1129" s="279"/>
      <c r="T1129" s="250"/>
      <c r="U1129" s="251" t="s">
        <v>54</v>
      </c>
      <c r="V1129" s="280" t="s">
        <v>3508</v>
      </c>
      <c r="W1129" s="197" t="s">
        <v>2039</v>
      </c>
      <c r="X1129" s="197" t="s">
        <v>475</v>
      </c>
      <c r="Y1129" s="949" t="s">
        <v>3510</v>
      </c>
      <c r="Z1129" s="612">
        <v>45205</v>
      </c>
      <c r="AA1129" s="289"/>
      <c r="AB1129" s="288" t="s">
        <v>4507</v>
      </c>
      <c r="AC1129" s="223" t="s">
        <v>946</v>
      </c>
      <c r="AD1129" s="299"/>
      <c r="AE1129" s="494">
        <v>45098</v>
      </c>
      <c r="AF1129" s="494">
        <v>45463</v>
      </c>
      <c r="AG1129" s="299"/>
      <c r="AH1129" s="299"/>
      <c r="AI1129" s="296" t="s">
        <v>1351</v>
      </c>
      <c r="AJ1129" s="303" t="s">
        <v>136</v>
      </c>
      <c r="AK1129" s="241">
        <v>4</v>
      </c>
      <c r="AL1129" s="123" t="s">
        <v>494</v>
      </c>
      <c r="AM1129" s="175" t="s">
        <v>492</v>
      </c>
      <c r="AN1129" s="110"/>
      <c r="AO1129" s="110"/>
      <c r="AP1129" s="115"/>
      <c r="AQ1129" s="115"/>
      <c r="AR1129" s="115"/>
      <c r="AS1129" s="115"/>
      <c r="AT1129" s="115"/>
    </row>
    <row r="1130" spans="1:46" ht="39" customHeight="1" x14ac:dyDescent="0.25">
      <c r="A1130" s="1468">
        <v>1129</v>
      </c>
      <c r="B1130" s="141">
        <v>2</v>
      </c>
      <c r="C1130" s="260" t="s">
        <v>325</v>
      </c>
      <c r="D1130" s="241"/>
      <c r="E1130" s="241"/>
      <c r="F1130" s="241"/>
      <c r="G1130" s="261" t="s">
        <v>324</v>
      </c>
      <c r="H1130" s="262" t="s">
        <v>87</v>
      </c>
      <c r="I1130" s="357"/>
      <c r="J1130" s="245" t="s">
        <v>561</v>
      </c>
      <c r="K1130" s="216"/>
      <c r="L1130" s="281" t="s">
        <v>1681</v>
      </c>
      <c r="M1130" s="281" t="s">
        <v>1430</v>
      </c>
      <c r="N1130" s="366"/>
      <c r="O1130" s="392" t="s">
        <v>2974</v>
      </c>
      <c r="P1130" s="247"/>
      <c r="Q1130" s="281" t="s">
        <v>87</v>
      </c>
      <c r="R1130" s="1274" t="s">
        <v>1453</v>
      </c>
      <c r="S1130" s="279"/>
      <c r="T1130" s="306"/>
      <c r="U1130" s="251" t="s">
        <v>54</v>
      </c>
      <c r="V1130" s="280" t="s">
        <v>3508</v>
      </c>
      <c r="W1130" s="197" t="s">
        <v>2039</v>
      </c>
      <c r="X1130" s="197" t="s">
        <v>475</v>
      </c>
      <c r="Y1130" s="949" t="s">
        <v>3510</v>
      </c>
      <c r="Z1130" s="612">
        <v>45205</v>
      </c>
      <c r="AA1130" s="289"/>
      <c r="AB1130" s="288" t="s">
        <v>4508</v>
      </c>
      <c r="AC1130" s="223" t="s">
        <v>946</v>
      </c>
      <c r="AD1130" s="299"/>
      <c r="AE1130" s="494">
        <v>45097</v>
      </c>
      <c r="AF1130" s="494">
        <v>45462</v>
      </c>
      <c r="AG1130" s="299"/>
      <c r="AH1130" s="299"/>
      <c r="AI1130" s="296" t="s">
        <v>1351</v>
      </c>
      <c r="AJ1130" s="303" t="s">
        <v>136</v>
      </c>
      <c r="AK1130" s="241">
        <v>4</v>
      </c>
      <c r="AL1130" s="123" t="s">
        <v>494</v>
      </c>
      <c r="AM1130" s="175" t="s">
        <v>492</v>
      </c>
      <c r="AN1130" s="110"/>
      <c r="AO1130" s="110"/>
      <c r="AP1130" s="115"/>
      <c r="AQ1130" s="149"/>
      <c r="AR1130" s="115"/>
      <c r="AS1130" s="115"/>
      <c r="AT1130" s="115"/>
    </row>
    <row r="1131" spans="1:46" ht="39" customHeight="1" x14ac:dyDescent="0.25">
      <c r="A1131" s="1468">
        <v>1130</v>
      </c>
      <c r="B1131" s="117"/>
      <c r="C1131" s="324"/>
      <c r="D1131" s="664"/>
      <c r="E1131" s="664"/>
      <c r="F1131" s="664"/>
      <c r="G1131" s="227"/>
      <c r="H1131" s="228"/>
      <c r="I1131" s="228"/>
      <c r="J1131" s="229"/>
      <c r="K1131" s="227"/>
      <c r="L1131" s="329"/>
      <c r="M1131" s="329"/>
      <c r="N1131" s="329"/>
      <c r="O1131" s="330"/>
      <c r="P1131" s="273" t="s">
        <v>327</v>
      </c>
      <c r="Q1131" s="373"/>
      <c r="R1131" s="232"/>
      <c r="S1131" s="232"/>
      <c r="T1131" s="232"/>
      <c r="U1131" s="232"/>
      <c r="V1131" s="232"/>
      <c r="W1131" s="232"/>
      <c r="X1131" s="232"/>
      <c r="Y1131" s="232"/>
      <c r="Z1131" s="233"/>
      <c r="AA1131" s="234"/>
      <c r="AB1131" s="235"/>
      <c r="AC1131" s="236"/>
      <c r="AD1131" s="235"/>
      <c r="AE1131" s="494"/>
      <c r="AF1131" s="494"/>
      <c r="AG1131" s="664"/>
      <c r="AH1131" s="238"/>
      <c r="AI1131" s="239"/>
      <c r="AJ1131" s="303"/>
      <c r="AK1131" s="241"/>
      <c r="AL1131" s="122"/>
      <c r="AM1131" s="122"/>
      <c r="AN1131" s="113"/>
      <c r="AO1131" s="114"/>
      <c r="AP1131" s="115"/>
      <c r="AQ1131" s="115"/>
      <c r="AR1131" s="115"/>
      <c r="AS1131" s="115"/>
      <c r="AT1131" s="116"/>
    </row>
    <row r="1132" spans="1:46" ht="39" customHeight="1" x14ac:dyDescent="0.25">
      <c r="A1132" s="1468">
        <v>1131</v>
      </c>
      <c r="B1132" s="146">
        <v>5</v>
      </c>
      <c r="C1132" s="290" t="s">
        <v>288</v>
      </c>
      <c r="D1132" s="291"/>
      <c r="E1132" s="291" t="s">
        <v>47</v>
      </c>
      <c r="F1132" s="291"/>
      <c r="G1132" s="292" t="s">
        <v>289</v>
      </c>
      <c r="H1132" s="370" t="s">
        <v>132</v>
      </c>
      <c r="I1132" s="344">
        <v>144</v>
      </c>
      <c r="J1132" s="256">
        <v>403</v>
      </c>
      <c r="K1132" s="216" t="s">
        <v>144</v>
      </c>
      <c r="L1132" s="216" t="s">
        <v>1021</v>
      </c>
      <c r="M1132" s="216" t="s">
        <v>1021</v>
      </c>
      <c r="N1132" s="245"/>
      <c r="O1132" s="216" t="s">
        <v>1022</v>
      </c>
      <c r="P1132" s="421"/>
      <c r="Q1132" s="373" t="s">
        <v>132</v>
      </c>
      <c r="R1132" s="982" t="s">
        <v>1023</v>
      </c>
      <c r="S1132" s="279">
        <v>37140</v>
      </c>
      <c r="T1132" s="250" t="s">
        <v>471</v>
      </c>
      <c r="U1132" s="251" t="s">
        <v>54</v>
      </c>
      <c r="V1132" s="197" t="s">
        <v>5955</v>
      </c>
      <c r="W1132" s="197" t="s">
        <v>70</v>
      </c>
      <c r="X1132" s="197" t="s">
        <v>71</v>
      </c>
      <c r="Y1132" s="949" t="s">
        <v>5964</v>
      </c>
      <c r="Z1132" s="612">
        <v>45312</v>
      </c>
      <c r="AA1132" s="246"/>
      <c r="AB1132" s="281"/>
      <c r="AC1132" s="223" t="s">
        <v>946</v>
      </c>
      <c r="AD1132" s="376"/>
      <c r="AE1132" s="494">
        <v>44335</v>
      </c>
      <c r="AF1132" s="494">
        <v>45270</v>
      </c>
      <c r="AG1132" s="241" t="s">
        <v>61</v>
      </c>
      <c r="AH1132" s="283"/>
      <c r="AI1132" s="254"/>
      <c r="AJ1132" s="348" t="s">
        <v>560</v>
      </c>
      <c r="AK1132" s="348">
        <v>3</v>
      </c>
      <c r="AL1132" s="123" t="s">
        <v>494</v>
      </c>
      <c r="AM1132" s="175" t="s">
        <v>492</v>
      </c>
      <c r="AN1132" s="130"/>
      <c r="AO1132" s="130"/>
      <c r="AP1132" s="115"/>
      <c r="AQ1132" s="115"/>
      <c r="AR1132" s="115"/>
      <c r="AS1132" s="115"/>
      <c r="AT1132" s="115"/>
    </row>
    <row r="1133" spans="1:46" ht="39" customHeight="1" x14ac:dyDescent="0.25">
      <c r="A1133" s="1468">
        <v>1132</v>
      </c>
      <c r="B1133" s="141">
        <v>3</v>
      </c>
      <c r="C1133" s="356" t="s">
        <v>290</v>
      </c>
      <c r="D1133" s="241" t="s">
        <v>134</v>
      </c>
      <c r="E1133" s="241"/>
      <c r="F1133" s="241"/>
      <c r="G1133" s="261" t="s">
        <v>291</v>
      </c>
      <c r="H1133" s="262" t="s">
        <v>85</v>
      </c>
      <c r="I1133" s="371"/>
      <c r="J1133" s="245" t="s">
        <v>556</v>
      </c>
      <c r="K1133" s="257"/>
      <c r="L1133" s="299" t="s">
        <v>1508</v>
      </c>
      <c r="M1133" s="299" t="s">
        <v>1708</v>
      </c>
      <c r="N1133" s="245"/>
      <c r="O1133" s="392" t="s">
        <v>2926</v>
      </c>
      <c r="P1133" s="627"/>
      <c r="Q1133" s="594" t="s">
        <v>293</v>
      </c>
      <c r="R1133" s="381" t="s">
        <v>4798</v>
      </c>
      <c r="S1133" s="279">
        <v>38122</v>
      </c>
      <c r="T1133" s="289"/>
      <c r="U1133" s="251" t="s">
        <v>54</v>
      </c>
      <c r="V1133" s="197" t="s">
        <v>1987</v>
      </c>
      <c r="W1133" s="197" t="s">
        <v>2039</v>
      </c>
      <c r="X1133" s="197" t="s">
        <v>57</v>
      </c>
      <c r="Y1133" s="147" t="s">
        <v>2040</v>
      </c>
      <c r="Z1133" s="246">
        <v>45147</v>
      </c>
      <c r="AA1133" s="281"/>
      <c r="AB1133" s="1239" t="s">
        <v>4509</v>
      </c>
      <c r="AC1133" s="223" t="s">
        <v>946</v>
      </c>
      <c r="AD1133" s="245"/>
      <c r="AE1133" s="494">
        <v>45114</v>
      </c>
      <c r="AF1133" s="494">
        <v>45479</v>
      </c>
      <c r="AG1133" s="241"/>
      <c r="AH1133" s="253"/>
      <c r="AI1133" s="284" t="s">
        <v>1351</v>
      </c>
      <c r="AJ1133" s="303" t="s">
        <v>136</v>
      </c>
      <c r="AK1133" s="241">
        <v>4</v>
      </c>
      <c r="AL1133" s="123" t="s">
        <v>494</v>
      </c>
      <c r="AM1133" s="175" t="s">
        <v>492</v>
      </c>
      <c r="AN1133" s="110" t="s">
        <v>4184</v>
      </c>
      <c r="AO1133" s="130"/>
      <c r="AP1133" s="115"/>
      <c r="AQ1133" s="115"/>
      <c r="AR1133" s="115"/>
      <c r="AS1133" s="115"/>
      <c r="AT1133" s="115"/>
    </row>
    <row r="1134" spans="1:46" ht="39" customHeight="1" x14ac:dyDescent="0.25">
      <c r="A1134" s="1468">
        <v>1133</v>
      </c>
      <c r="B1134" s="141">
        <v>3</v>
      </c>
      <c r="C1134" s="358" t="s">
        <v>297</v>
      </c>
      <c r="D1134" s="241" t="s">
        <v>134</v>
      </c>
      <c r="E1134" s="241"/>
      <c r="F1134" s="241"/>
      <c r="G1134" s="261" t="s">
        <v>298</v>
      </c>
      <c r="H1134" s="262" t="s">
        <v>85</v>
      </c>
      <c r="I1134" s="371"/>
      <c r="J1134" s="245" t="s">
        <v>556</v>
      </c>
      <c r="K1134" s="257"/>
      <c r="L1134" s="299" t="s">
        <v>1508</v>
      </c>
      <c r="M1134" s="299" t="s">
        <v>1708</v>
      </c>
      <c r="N1134" s="245"/>
      <c r="O1134" s="392" t="s">
        <v>2892</v>
      </c>
      <c r="P1134" s="706"/>
      <c r="Q1134" s="594" t="s">
        <v>293</v>
      </c>
      <c r="R1134" s="381" t="s">
        <v>1599</v>
      </c>
      <c r="S1134" s="279">
        <v>38157</v>
      </c>
      <c r="T1134" s="289"/>
      <c r="U1134" s="251" t="s">
        <v>54</v>
      </c>
      <c r="V1134" s="197" t="s">
        <v>1987</v>
      </c>
      <c r="W1134" s="197" t="s">
        <v>2039</v>
      </c>
      <c r="X1134" s="197" t="s">
        <v>57</v>
      </c>
      <c r="Y1134" s="392" t="s">
        <v>2040</v>
      </c>
      <c r="Z1134" s="246">
        <v>45147</v>
      </c>
      <c r="AA1134" s="281"/>
      <c r="AB1134" s="332" t="s">
        <v>4510</v>
      </c>
      <c r="AC1134" s="223" t="s">
        <v>946</v>
      </c>
      <c r="AD1134" s="245"/>
      <c r="AE1134" s="494">
        <v>45112</v>
      </c>
      <c r="AF1134" s="494">
        <v>45477</v>
      </c>
      <c r="AG1134" s="241"/>
      <c r="AH1134" s="253"/>
      <c r="AI1134" s="284" t="s">
        <v>1351</v>
      </c>
      <c r="AJ1134" s="303" t="s">
        <v>136</v>
      </c>
      <c r="AK1134" s="241">
        <v>4</v>
      </c>
      <c r="AL1134" s="123" t="s">
        <v>494</v>
      </c>
      <c r="AM1134" s="175" t="s">
        <v>492</v>
      </c>
      <c r="AN1134" s="130"/>
      <c r="AO1134" s="130"/>
      <c r="AP1134" s="115"/>
      <c r="AQ1134" s="115"/>
      <c r="AR1134" s="115"/>
      <c r="AS1134" s="115"/>
      <c r="AT1134" s="116"/>
    </row>
    <row r="1135" spans="1:46" ht="39" customHeight="1" x14ac:dyDescent="0.25">
      <c r="A1135" s="1468">
        <v>1134</v>
      </c>
      <c r="B1135" s="141">
        <v>2</v>
      </c>
      <c r="C1135" s="260" t="s">
        <v>311</v>
      </c>
      <c r="D1135" s="241"/>
      <c r="E1135" s="241"/>
      <c r="F1135" s="241"/>
      <c r="G1135" s="261" t="s">
        <v>312</v>
      </c>
      <c r="H1135" s="262" t="s">
        <v>85</v>
      </c>
      <c r="I1135" s="371"/>
      <c r="J1135" s="245" t="s">
        <v>556</v>
      </c>
      <c r="K1135" s="288"/>
      <c r="L1135" s="281" t="s">
        <v>5916</v>
      </c>
      <c r="M1135" s="281" t="s">
        <v>5916</v>
      </c>
      <c r="N1135" s="256"/>
      <c r="O1135" s="1459" t="s">
        <v>5925</v>
      </c>
      <c r="P1135" s="372"/>
      <c r="Q1135" s="298" t="s">
        <v>87</v>
      </c>
      <c r="R1135" s="982" t="s">
        <v>5924</v>
      </c>
      <c r="S1135" s="279">
        <v>37006</v>
      </c>
      <c r="T1135" s="197"/>
      <c r="U1135" s="251" t="s">
        <v>54</v>
      </c>
      <c r="V1135" s="280" t="s">
        <v>5955</v>
      </c>
      <c r="W1135" s="443" t="s">
        <v>70</v>
      </c>
      <c r="X1135" s="280" t="s">
        <v>71</v>
      </c>
      <c r="Y1135" s="949" t="s">
        <v>5993</v>
      </c>
      <c r="Z1135" s="612">
        <v>45312</v>
      </c>
      <c r="AA1135" s="1107"/>
      <c r="AB1135" s="288"/>
      <c r="AC1135" s="223"/>
      <c r="AD1135" s="299"/>
      <c r="AE1135" s="494"/>
      <c r="AF1135" s="494"/>
      <c r="AG1135" s="299"/>
      <c r="AH1135" s="299"/>
      <c r="AI1135" s="296"/>
      <c r="AJ1135" s="379" t="s">
        <v>560</v>
      </c>
      <c r="AK1135" s="241">
        <v>4</v>
      </c>
      <c r="AL1135" s="123" t="s">
        <v>494</v>
      </c>
      <c r="AM1135" s="175" t="s">
        <v>492</v>
      </c>
      <c r="AN1135" s="130"/>
      <c r="AO1135" s="130"/>
      <c r="AP1135" s="115"/>
      <c r="AQ1135" s="115"/>
      <c r="AR1135" s="115"/>
      <c r="AS1135" s="115"/>
      <c r="AT1135" s="115"/>
    </row>
    <row r="1136" spans="1:46" ht="39" customHeight="1" x14ac:dyDescent="0.25">
      <c r="A1136" s="1468">
        <v>1135</v>
      </c>
      <c r="B1136" s="141">
        <v>2</v>
      </c>
      <c r="C1136" s="260" t="s">
        <v>317</v>
      </c>
      <c r="D1136" s="241"/>
      <c r="E1136" s="241"/>
      <c r="F1136" s="241"/>
      <c r="G1136" s="261" t="s">
        <v>318</v>
      </c>
      <c r="H1136" s="262" t="s">
        <v>87</v>
      </c>
      <c r="I1136" s="371"/>
      <c r="J1136" s="245" t="s">
        <v>561</v>
      </c>
      <c r="K1136" s="216"/>
      <c r="L1136" s="301" t="s">
        <v>1430</v>
      </c>
      <c r="M1136" s="281" t="s">
        <v>1684</v>
      </c>
      <c r="N1136" s="245"/>
      <c r="O1136" s="392" t="s">
        <v>3133</v>
      </c>
      <c r="P1136" s="325"/>
      <c r="Q1136" s="197" t="s">
        <v>87</v>
      </c>
      <c r="R1136" s="427" t="s">
        <v>1441</v>
      </c>
      <c r="S1136" s="279">
        <v>38256</v>
      </c>
      <c r="T1136" s="246"/>
      <c r="U1136" s="251" t="s">
        <v>54</v>
      </c>
      <c r="V1136" s="280" t="s">
        <v>3508</v>
      </c>
      <c r="W1136" s="197" t="s">
        <v>2039</v>
      </c>
      <c r="X1136" s="197" t="s">
        <v>475</v>
      </c>
      <c r="Y1136" s="949" t="s">
        <v>3510</v>
      </c>
      <c r="Z1136" s="612">
        <v>45205</v>
      </c>
      <c r="AA1136" s="289"/>
      <c r="AB1136" s="288" t="s">
        <v>4511</v>
      </c>
      <c r="AC1136" s="223" t="s">
        <v>946</v>
      </c>
      <c r="AD1136" s="299"/>
      <c r="AE1136" s="494">
        <v>45091</v>
      </c>
      <c r="AF1136" s="494">
        <v>45456</v>
      </c>
      <c r="AG1136" s="299"/>
      <c r="AH1136" s="299"/>
      <c r="AI1136" s="296" t="s">
        <v>1351</v>
      </c>
      <c r="AJ1136" s="303" t="s">
        <v>136</v>
      </c>
      <c r="AK1136" s="241">
        <v>4</v>
      </c>
      <c r="AL1136" s="123" t="s">
        <v>494</v>
      </c>
      <c r="AM1136" s="175" t="s">
        <v>492</v>
      </c>
      <c r="AN1136" s="130"/>
      <c r="AO1136" s="130"/>
      <c r="AP1136" s="115"/>
      <c r="AQ1136" s="115"/>
      <c r="AR1136" s="115"/>
      <c r="AS1136" s="115"/>
      <c r="AT1136" s="115"/>
    </row>
    <row r="1137" spans="1:46" ht="39" customHeight="1" x14ac:dyDescent="0.25">
      <c r="A1137" s="1468">
        <v>1136</v>
      </c>
      <c r="B1137" s="146">
        <v>2</v>
      </c>
      <c r="C1137" s="260" t="s">
        <v>319</v>
      </c>
      <c r="D1137" s="241"/>
      <c r="E1137" s="241"/>
      <c r="F1137" s="241"/>
      <c r="G1137" s="261" t="s">
        <v>320</v>
      </c>
      <c r="H1137" s="262" t="s">
        <v>87</v>
      </c>
      <c r="I1137" s="357"/>
      <c r="J1137" s="245" t="s">
        <v>561</v>
      </c>
      <c r="K1137" s="197"/>
      <c r="L1137" s="299"/>
      <c r="M1137" s="299"/>
      <c r="N1137" s="245"/>
      <c r="O1137" s="216" t="s">
        <v>3945</v>
      </c>
      <c r="P1137" s="555" t="s">
        <v>1828</v>
      </c>
      <c r="Q1137" s="298" t="s">
        <v>87</v>
      </c>
      <c r="R1137" s="982" t="s">
        <v>3944</v>
      </c>
      <c r="S1137" s="279">
        <v>28134</v>
      </c>
      <c r="T1137" s="250"/>
      <c r="U1137" s="251" t="s">
        <v>54</v>
      </c>
      <c r="V1137" s="197" t="s">
        <v>5512</v>
      </c>
      <c r="W1137" s="250" t="s">
        <v>56</v>
      </c>
      <c r="X1137" s="197" t="s">
        <v>57</v>
      </c>
      <c r="Y1137" s="197" t="s">
        <v>5726</v>
      </c>
      <c r="Z1137" s="246">
        <v>45272</v>
      </c>
      <c r="AA1137" s="246"/>
      <c r="AB1137" s="241"/>
      <c r="AC1137" s="223"/>
      <c r="AD1137" s="241"/>
      <c r="AE1137" s="494"/>
      <c r="AF1137" s="494"/>
      <c r="AG1137" s="241"/>
      <c r="AH1137" s="253"/>
      <c r="AI1137" s="254"/>
      <c r="AJ1137" s="379" t="s">
        <v>560</v>
      </c>
      <c r="AK1137" s="241">
        <v>4</v>
      </c>
      <c r="AL1137" s="123" t="s">
        <v>494</v>
      </c>
      <c r="AM1137" s="175" t="s">
        <v>492</v>
      </c>
      <c r="AN1137" s="110"/>
      <c r="AO1137" s="110"/>
      <c r="AP1137" s="115"/>
      <c r="AQ1137" s="115"/>
      <c r="AR1137" s="115"/>
      <c r="AS1137" s="115"/>
      <c r="AT1137" s="115"/>
    </row>
    <row r="1138" spans="1:46" ht="39" customHeight="1" x14ac:dyDescent="0.25">
      <c r="A1138" s="1468">
        <v>1137</v>
      </c>
      <c r="B1138" s="141">
        <v>2</v>
      </c>
      <c r="C1138" s="378" t="s">
        <v>321</v>
      </c>
      <c r="D1138" s="303"/>
      <c r="E1138" s="241"/>
      <c r="F1138" s="241"/>
      <c r="G1138" s="261" t="s">
        <v>322</v>
      </c>
      <c r="H1138" s="262" t="s">
        <v>87</v>
      </c>
      <c r="I1138" s="364"/>
      <c r="J1138" s="245" t="s">
        <v>561</v>
      </c>
      <c r="K1138" s="257"/>
      <c r="L1138" s="299"/>
      <c r="M1138" s="299"/>
      <c r="N1138" s="299"/>
      <c r="O1138" s="216" t="s">
        <v>2767</v>
      </c>
      <c r="P1138" s="247"/>
      <c r="Q1138" s="344" t="s">
        <v>87</v>
      </c>
      <c r="R1138" s="982" t="s">
        <v>2766</v>
      </c>
      <c r="S1138" s="279">
        <v>30191</v>
      </c>
      <c r="T1138" s="289"/>
      <c r="U1138" s="251" t="s">
        <v>54</v>
      </c>
      <c r="V1138" s="250" t="s">
        <v>2793</v>
      </c>
      <c r="W1138" s="197" t="s">
        <v>56</v>
      </c>
      <c r="X1138" s="197" t="s">
        <v>57</v>
      </c>
      <c r="Y1138" s="197" t="s">
        <v>2609</v>
      </c>
      <c r="Z1138" s="246">
        <v>45141</v>
      </c>
      <c r="AA1138" s="252"/>
      <c r="AB1138" s="299"/>
      <c r="AC1138" s="223"/>
      <c r="AD1138" s="299"/>
      <c r="AE1138" s="494"/>
      <c r="AF1138" s="494"/>
      <c r="AG1138" s="299"/>
      <c r="AH1138" s="299"/>
      <c r="AI1138" s="223"/>
      <c r="AJ1138" s="348" t="s">
        <v>560</v>
      </c>
      <c r="AK1138" s="241">
        <v>4</v>
      </c>
      <c r="AL1138" s="123" t="s">
        <v>494</v>
      </c>
      <c r="AM1138" s="175" t="s">
        <v>492</v>
      </c>
      <c r="AN1138" s="110"/>
      <c r="AO1138" s="110"/>
      <c r="AP1138" s="115"/>
      <c r="AQ1138" s="115"/>
      <c r="AR1138" s="115"/>
      <c r="AS1138" s="115"/>
      <c r="AT1138" s="116"/>
    </row>
    <row r="1139" spans="1:46" ht="39" customHeight="1" x14ac:dyDescent="0.25">
      <c r="A1139" s="1468">
        <v>1138</v>
      </c>
      <c r="B1139" s="141">
        <v>1</v>
      </c>
      <c r="C1139" s="378" t="s">
        <v>323</v>
      </c>
      <c r="D1139" s="303"/>
      <c r="E1139" s="241"/>
      <c r="F1139" s="241"/>
      <c r="G1139" s="261" t="s">
        <v>324</v>
      </c>
      <c r="H1139" s="262" t="s">
        <v>87</v>
      </c>
      <c r="I1139" s="357"/>
      <c r="J1139" s="245" t="s">
        <v>561</v>
      </c>
      <c r="K1139" s="305"/>
      <c r="L1139" s="301" t="s">
        <v>1430</v>
      </c>
      <c r="M1139" s="281" t="s">
        <v>1684</v>
      </c>
      <c r="N1139" s="305"/>
      <c r="O1139" s="392" t="s">
        <v>3078</v>
      </c>
      <c r="P1139" s="305"/>
      <c r="Q1139" s="197" t="s">
        <v>87</v>
      </c>
      <c r="R1139" s="427" t="s">
        <v>1450</v>
      </c>
      <c r="S1139" s="279">
        <v>37971</v>
      </c>
      <c r="T1139" s="306"/>
      <c r="U1139" s="251" t="s">
        <v>54</v>
      </c>
      <c r="V1139" s="280" t="s">
        <v>3508</v>
      </c>
      <c r="W1139" s="197" t="s">
        <v>2039</v>
      </c>
      <c r="X1139" s="197" t="s">
        <v>475</v>
      </c>
      <c r="Y1139" s="949" t="s">
        <v>3510</v>
      </c>
      <c r="Z1139" s="612">
        <v>45205</v>
      </c>
      <c r="AA1139" s="289"/>
      <c r="AB1139" s="288" t="s">
        <v>4498</v>
      </c>
      <c r="AC1139" s="223" t="s">
        <v>946</v>
      </c>
      <c r="AD1139" s="299"/>
      <c r="AE1139" s="494">
        <v>45099</v>
      </c>
      <c r="AF1139" s="494">
        <v>45464</v>
      </c>
      <c r="AG1139" s="299"/>
      <c r="AH1139" s="299"/>
      <c r="AI1139" s="296" t="s">
        <v>1351</v>
      </c>
      <c r="AJ1139" s="303" t="s">
        <v>136</v>
      </c>
      <c r="AK1139" s="241">
        <v>4</v>
      </c>
      <c r="AL1139" s="123" t="s">
        <v>494</v>
      </c>
      <c r="AM1139" s="175" t="s">
        <v>492</v>
      </c>
      <c r="AN1139" s="110"/>
      <c r="AO1139" s="110"/>
      <c r="AP1139" s="115"/>
      <c r="AQ1139" s="115"/>
      <c r="AR1139" s="115"/>
      <c r="AS1139" s="115"/>
      <c r="AT1139" s="115"/>
    </row>
    <row r="1140" spans="1:46" ht="39" customHeight="1" x14ac:dyDescent="0.25">
      <c r="A1140" s="1468">
        <v>1139</v>
      </c>
      <c r="B1140" s="1507">
        <v>2</v>
      </c>
      <c r="C1140" s="503" t="s">
        <v>325</v>
      </c>
      <c r="D1140" s="471"/>
      <c r="E1140" s="471"/>
      <c r="F1140" s="471"/>
      <c r="G1140" s="472" t="s">
        <v>324</v>
      </c>
      <c r="H1140" s="1302" t="s">
        <v>87</v>
      </c>
      <c r="I1140" s="473"/>
      <c r="J1140" s="264" t="s">
        <v>561</v>
      </c>
      <c r="K1140" s="434"/>
      <c r="L1140" s="438" t="s">
        <v>1681</v>
      </c>
      <c r="M1140" s="438" t="s">
        <v>1430</v>
      </c>
      <c r="N1140" s="496"/>
      <c r="O1140" s="626" t="s">
        <v>3069</v>
      </c>
      <c r="P1140" s="505"/>
      <c r="Q1140" s="438" t="s">
        <v>87</v>
      </c>
      <c r="R1140" s="897" t="s">
        <v>1452</v>
      </c>
      <c r="S1140" s="279">
        <v>38495</v>
      </c>
      <c r="T1140" s="440"/>
      <c r="U1140" s="1487" t="s">
        <v>54</v>
      </c>
      <c r="V1140" s="819" t="s">
        <v>3508</v>
      </c>
      <c r="W1140" s="268" t="s">
        <v>2039</v>
      </c>
      <c r="X1140" s="268" t="s">
        <v>475</v>
      </c>
      <c r="Y1140" s="1038" t="s">
        <v>3510</v>
      </c>
      <c r="Z1140" s="1244">
        <v>45205</v>
      </c>
      <c r="AA1140" s="440"/>
      <c r="AB1140" s="836" t="s">
        <v>4513</v>
      </c>
      <c r="AC1140" s="474" t="s">
        <v>946</v>
      </c>
      <c r="AD1140" s="496"/>
      <c r="AE1140" s="881">
        <v>45097</v>
      </c>
      <c r="AF1140" s="881">
        <v>45462</v>
      </c>
      <c r="AG1140" s="496"/>
      <c r="AH1140" s="496"/>
      <c r="AI1140" s="586" t="s">
        <v>1351</v>
      </c>
      <c r="AJ1140" s="470" t="s">
        <v>136</v>
      </c>
      <c r="AK1140" s="471">
        <v>4</v>
      </c>
      <c r="AL1140" s="176" t="s">
        <v>494</v>
      </c>
      <c r="AM1140" s="810" t="s">
        <v>492</v>
      </c>
      <c r="AN1140" s="179"/>
      <c r="AO1140" s="179"/>
      <c r="AP1140" s="115"/>
      <c r="AQ1140" s="115"/>
      <c r="AR1140" s="115"/>
      <c r="AS1140" s="115"/>
      <c r="AT1140" s="115"/>
    </row>
    <row r="1141" spans="1:46" ht="39" customHeight="1" x14ac:dyDescent="0.25">
      <c r="A1141" s="1468">
        <v>1140</v>
      </c>
      <c r="B1141" s="987"/>
      <c r="C1141" s="324"/>
      <c r="D1141" s="664"/>
      <c r="E1141" s="664"/>
      <c r="F1141" s="664"/>
      <c r="G1141" s="227"/>
      <c r="H1141" s="228"/>
      <c r="I1141" s="228"/>
      <c r="J1141" s="229"/>
      <c r="K1141" s="227"/>
      <c r="L1141" s="229"/>
      <c r="M1141" s="229"/>
      <c r="N1141" s="229"/>
      <c r="O1141" s="309"/>
      <c r="P1141" s="230" t="s">
        <v>330</v>
      </c>
      <c r="Q1141" s="726"/>
      <c r="R1141" s="1004"/>
      <c r="S1141" s="232"/>
      <c r="T1141" s="232"/>
      <c r="U1141" s="232"/>
      <c r="V1141" s="232"/>
      <c r="W1141" s="232"/>
      <c r="X1141" s="232"/>
      <c r="Y1141" s="1509"/>
      <c r="Z1141" s="233"/>
      <c r="AA1141" s="234"/>
      <c r="AB1141" s="235"/>
      <c r="AC1141" s="236"/>
      <c r="AD1141" s="235"/>
      <c r="AE1141" s="1412"/>
      <c r="AF1141" s="1412"/>
      <c r="AG1141" s="664"/>
      <c r="AH1141" s="238"/>
      <c r="AI1141" s="239"/>
      <c r="AJ1141" s="576"/>
      <c r="AK1141" s="664"/>
      <c r="AL1141" s="113"/>
      <c r="AM1141" s="113"/>
      <c r="AN1141" s="113"/>
      <c r="AO1141" s="114"/>
      <c r="AP1141" s="115"/>
      <c r="AQ1141" s="115"/>
      <c r="AR1141" s="115"/>
      <c r="AS1141" s="115"/>
      <c r="AT1141" s="116"/>
    </row>
    <row r="1142" spans="1:46" ht="39" customHeight="1" x14ac:dyDescent="0.25">
      <c r="A1142" s="1468">
        <v>1141</v>
      </c>
      <c r="B1142" s="1508">
        <v>10</v>
      </c>
      <c r="C1142" s="793" t="s">
        <v>305</v>
      </c>
      <c r="D1142" s="442"/>
      <c r="E1142" s="442" t="s">
        <v>47</v>
      </c>
      <c r="F1142" s="442"/>
      <c r="G1142" s="757" t="s">
        <v>91</v>
      </c>
      <c r="H1142" s="758" t="s">
        <v>83</v>
      </c>
      <c r="I1142" s="733"/>
      <c r="J1142" s="276">
        <v>302</v>
      </c>
      <c r="K1142" s="280" t="s">
        <v>50</v>
      </c>
      <c r="L1142" s="554" t="s">
        <v>4019</v>
      </c>
      <c r="M1142" s="554" t="s">
        <v>3906</v>
      </c>
      <c r="N1142" s="809"/>
      <c r="O1142" s="277" t="s">
        <v>4018</v>
      </c>
      <c r="P1142" s="720"/>
      <c r="Q1142" s="978" t="s">
        <v>83</v>
      </c>
      <c r="R1142" s="995" t="s">
        <v>4017</v>
      </c>
      <c r="S1142" s="279">
        <v>33437</v>
      </c>
      <c r="T1142" s="709"/>
      <c r="U1142" s="1504" t="s">
        <v>54</v>
      </c>
      <c r="V1142" s="398" t="s">
        <v>5830</v>
      </c>
      <c r="W1142" s="443" t="s">
        <v>70</v>
      </c>
      <c r="X1142" s="280" t="s">
        <v>71</v>
      </c>
      <c r="Y1142" s="1464" t="s">
        <v>5847</v>
      </c>
      <c r="Z1142" s="1505">
        <v>45298</v>
      </c>
      <c r="AA1142" s="398"/>
      <c r="AB1142" s="487"/>
      <c r="AC1142" s="488"/>
      <c r="AD1142" s="487"/>
      <c r="AE1142" s="494"/>
      <c r="AF1142" s="494"/>
      <c r="AG1142" s="476"/>
      <c r="AH1142" s="603"/>
      <c r="AI1142" s="1506"/>
      <c r="AJ1142" s="755" t="s">
        <v>62</v>
      </c>
      <c r="AK1142" s="442">
        <v>1</v>
      </c>
      <c r="AL1142" s="175" t="s">
        <v>494</v>
      </c>
      <c r="AM1142" s="175" t="s">
        <v>492</v>
      </c>
      <c r="AN1142" s="798"/>
      <c r="AO1142" s="798"/>
      <c r="AP1142" s="115"/>
      <c r="AQ1142" s="115"/>
      <c r="AR1142" s="115"/>
      <c r="AS1142" s="115"/>
      <c r="AT1142" s="115"/>
    </row>
    <row r="1143" spans="1:46" ht="39" customHeight="1" x14ac:dyDescent="0.25">
      <c r="A1143" s="1468">
        <v>1142</v>
      </c>
      <c r="B1143" s="117"/>
      <c r="C1143" s="324"/>
      <c r="D1143" s="664"/>
      <c r="E1143" s="664"/>
      <c r="F1143" s="664"/>
      <c r="G1143" s="227"/>
      <c r="H1143" s="228"/>
      <c r="I1143" s="228"/>
      <c r="J1143" s="229"/>
      <c r="K1143" s="227"/>
      <c r="L1143" s="229"/>
      <c r="M1143" s="229"/>
      <c r="N1143" s="229"/>
      <c r="O1143" s="216"/>
      <c r="P1143" s="230" t="s">
        <v>306</v>
      </c>
      <c r="Q1143" s="373"/>
      <c r="R1143" s="982"/>
      <c r="S1143" s="279"/>
      <c r="T1143" s="232"/>
      <c r="U1143" s="250"/>
      <c r="V1143" s="232"/>
      <c r="W1143" s="232"/>
      <c r="X1143" s="232"/>
      <c r="Y1143" s="232"/>
      <c r="Z1143" s="233"/>
      <c r="AA1143" s="234"/>
      <c r="AB1143" s="235"/>
      <c r="AC1143" s="236"/>
      <c r="AD1143" s="235"/>
      <c r="AE1143" s="494"/>
      <c r="AF1143" s="494"/>
      <c r="AG1143" s="664"/>
      <c r="AH1143" s="238"/>
      <c r="AI1143" s="239"/>
      <c r="AJ1143" s="303"/>
      <c r="AK1143" s="241"/>
      <c r="AL1143" s="122"/>
      <c r="AM1143" s="122"/>
      <c r="AN1143" s="113"/>
      <c r="AO1143" s="114"/>
      <c r="AP1143" s="115"/>
      <c r="AQ1143" s="115"/>
      <c r="AR1143" s="115"/>
      <c r="AS1143" s="115"/>
      <c r="AT1143" s="116"/>
    </row>
    <row r="1144" spans="1:46" ht="39" customHeight="1" x14ac:dyDescent="0.25">
      <c r="A1144" s="1468">
        <v>1143</v>
      </c>
      <c r="B1144" s="141">
        <v>7</v>
      </c>
      <c r="C1144" s="408" t="s">
        <v>307</v>
      </c>
      <c r="D1144" s="409"/>
      <c r="E1144" s="291" t="s">
        <v>47</v>
      </c>
      <c r="F1144" s="291"/>
      <c r="G1144" s="410" t="s">
        <v>308</v>
      </c>
      <c r="H1144" s="370" t="s">
        <v>132</v>
      </c>
      <c r="I1144" s="371" t="s">
        <v>309</v>
      </c>
      <c r="J1144" s="256">
        <v>403</v>
      </c>
      <c r="K1144" s="288"/>
      <c r="L1144" s="281"/>
      <c r="M1144" s="281"/>
      <c r="N1144" s="256"/>
      <c r="O1144" s="1483"/>
      <c r="P1144" s="372"/>
      <c r="Q1144" s="197"/>
      <c r="R1144" s="427" t="s">
        <v>66</v>
      </c>
      <c r="S1144" s="279"/>
      <c r="T1144" s="197"/>
      <c r="U1144" s="250"/>
      <c r="V1144" s="280"/>
      <c r="W1144" s="197"/>
      <c r="X1144" s="197"/>
      <c r="Y1144" s="949"/>
      <c r="Z1144" s="612"/>
      <c r="AA1144" s="1107"/>
      <c r="AB1144" s="288"/>
      <c r="AC1144" s="223"/>
      <c r="AD1144" s="299"/>
      <c r="AE1144" s="494"/>
      <c r="AF1144" s="494"/>
      <c r="AG1144" s="299"/>
      <c r="AH1144" s="299"/>
      <c r="AI1144" s="296"/>
      <c r="AJ1144" s="303"/>
      <c r="AK1144" s="348">
        <v>3</v>
      </c>
      <c r="AL1144" s="123" t="s">
        <v>494</v>
      </c>
      <c r="AM1144" s="175" t="s">
        <v>492</v>
      </c>
      <c r="AN1144" s="150"/>
      <c r="AO1144" s="150"/>
      <c r="AP1144" s="115"/>
      <c r="AQ1144" s="149"/>
      <c r="AR1144" s="115"/>
      <c r="AS1144" s="115"/>
      <c r="AT1144" s="115"/>
    </row>
    <row r="1145" spans="1:46" ht="39" customHeight="1" x14ac:dyDescent="0.25">
      <c r="A1145" s="1468">
        <v>1144</v>
      </c>
      <c r="B1145" s="141">
        <v>3</v>
      </c>
      <c r="C1145" s="356" t="s">
        <v>290</v>
      </c>
      <c r="D1145" s="241" t="s">
        <v>134</v>
      </c>
      <c r="E1145" s="241"/>
      <c r="F1145" s="241"/>
      <c r="G1145" s="261" t="s">
        <v>291</v>
      </c>
      <c r="H1145" s="262" t="s">
        <v>85</v>
      </c>
      <c r="I1145" s="371"/>
      <c r="J1145" s="245" t="s">
        <v>556</v>
      </c>
      <c r="K1145" s="257"/>
      <c r="L1145" s="299" t="s">
        <v>1508</v>
      </c>
      <c r="M1145" s="299" t="s">
        <v>1708</v>
      </c>
      <c r="N1145" s="245"/>
      <c r="O1145" s="392" t="s">
        <v>2947</v>
      </c>
      <c r="P1145" s="627"/>
      <c r="Q1145" s="594" t="s">
        <v>293</v>
      </c>
      <c r="R1145" s="381" t="s">
        <v>1607</v>
      </c>
      <c r="S1145" s="279">
        <v>38532</v>
      </c>
      <c r="T1145" s="289"/>
      <c r="U1145" s="251" t="s">
        <v>54</v>
      </c>
      <c r="V1145" s="197" t="s">
        <v>1987</v>
      </c>
      <c r="W1145" s="197" t="s">
        <v>2039</v>
      </c>
      <c r="X1145" s="197" t="s">
        <v>57</v>
      </c>
      <c r="Y1145" s="1536" t="s">
        <v>2040</v>
      </c>
      <c r="Z1145" s="246">
        <v>45147</v>
      </c>
      <c r="AA1145" s="281"/>
      <c r="AB1145" s="250" t="s">
        <v>4514</v>
      </c>
      <c r="AC1145" s="223" t="s">
        <v>946</v>
      </c>
      <c r="AD1145" s="245"/>
      <c r="AE1145" s="494" t="s">
        <v>4345</v>
      </c>
      <c r="AF1145" s="494">
        <v>45478</v>
      </c>
      <c r="AG1145" s="241"/>
      <c r="AH1145" s="253"/>
      <c r="AI1145" s="284" t="s">
        <v>1351</v>
      </c>
      <c r="AJ1145" s="303" t="s">
        <v>136</v>
      </c>
      <c r="AK1145" s="241">
        <v>4</v>
      </c>
      <c r="AL1145" s="123" t="s">
        <v>494</v>
      </c>
      <c r="AM1145" s="175" t="s">
        <v>492</v>
      </c>
      <c r="AN1145" s="110" t="s">
        <v>4184</v>
      </c>
      <c r="AO1145" s="150"/>
      <c r="AP1145" s="115"/>
      <c r="AQ1145" s="149"/>
      <c r="AR1145" s="115"/>
      <c r="AS1145" s="115"/>
      <c r="AT1145" s="115"/>
    </row>
    <row r="1146" spans="1:46" ht="39" customHeight="1" x14ac:dyDescent="0.25">
      <c r="A1146" s="1468">
        <v>1145</v>
      </c>
      <c r="B1146" s="141">
        <v>3</v>
      </c>
      <c r="C1146" s="358" t="s">
        <v>297</v>
      </c>
      <c r="D1146" s="241" t="s">
        <v>134</v>
      </c>
      <c r="E1146" s="241"/>
      <c r="F1146" s="241"/>
      <c r="G1146" s="261" t="s">
        <v>298</v>
      </c>
      <c r="H1146" s="262" t="s">
        <v>85</v>
      </c>
      <c r="I1146" s="371"/>
      <c r="J1146" s="245" t="s">
        <v>556</v>
      </c>
      <c r="K1146" s="595"/>
      <c r="L1146" s="281" t="s">
        <v>5916</v>
      </c>
      <c r="M1146" s="281" t="s">
        <v>5916</v>
      </c>
      <c r="N1146" s="366"/>
      <c r="O1146" s="1470" t="s">
        <v>6010</v>
      </c>
      <c r="P1146" s="402"/>
      <c r="Q1146" s="344" t="s">
        <v>132</v>
      </c>
      <c r="R1146" s="982" t="s">
        <v>6009</v>
      </c>
      <c r="S1146" s="279">
        <v>34558</v>
      </c>
      <c r="T1146" s="197"/>
      <c r="U1146" s="197"/>
      <c r="V1146" s="280"/>
      <c r="W1146" s="197"/>
      <c r="X1146" s="197"/>
      <c r="Y1146" s="949"/>
      <c r="Z1146" s="612"/>
      <c r="AA1146" s="246"/>
      <c r="AB1146" s="288"/>
      <c r="AC1146" s="223"/>
      <c r="AD1146" s="376"/>
      <c r="AE1146" s="494"/>
      <c r="AF1146" s="494"/>
      <c r="AG1146" s="241"/>
      <c r="AH1146" s="283"/>
      <c r="AI1146" s="254"/>
      <c r="AJ1146" s="348" t="s">
        <v>560</v>
      </c>
      <c r="AK1146" s="419">
        <v>4</v>
      </c>
      <c r="AL1146" s="123" t="s">
        <v>494</v>
      </c>
      <c r="AM1146" s="175" t="s">
        <v>492</v>
      </c>
      <c r="AN1146" s="150"/>
      <c r="AO1146" s="150"/>
      <c r="AP1146" s="115"/>
      <c r="AQ1146" s="149"/>
      <c r="AR1146" s="115"/>
      <c r="AS1146" s="115"/>
      <c r="AT1146" s="116"/>
    </row>
    <row r="1147" spans="1:46" ht="39" customHeight="1" x14ac:dyDescent="0.25">
      <c r="A1147" s="1468">
        <v>1146</v>
      </c>
      <c r="B1147" s="141">
        <v>2</v>
      </c>
      <c r="C1147" s="260" t="s">
        <v>311</v>
      </c>
      <c r="D1147" s="241"/>
      <c r="E1147" s="241"/>
      <c r="F1147" s="241"/>
      <c r="G1147" s="261" t="s">
        <v>312</v>
      </c>
      <c r="H1147" s="262" t="s">
        <v>85</v>
      </c>
      <c r="I1147" s="371"/>
      <c r="J1147" s="245" t="s">
        <v>556</v>
      </c>
      <c r="K1147" s="268"/>
      <c r="L1147" s="281" t="s">
        <v>1685</v>
      </c>
      <c r="M1147" s="281" t="s">
        <v>1527</v>
      </c>
      <c r="N1147" s="366"/>
      <c r="O1147" s="1519" t="s">
        <v>2971</v>
      </c>
      <c r="P1147" s="402"/>
      <c r="Q1147" s="301" t="s">
        <v>87</v>
      </c>
      <c r="R1147" s="427" t="s">
        <v>1696</v>
      </c>
      <c r="S1147" s="279">
        <v>37566</v>
      </c>
      <c r="T1147" s="197"/>
      <c r="U1147" s="251" t="s">
        <v>54</v>
      </c>
      <c r="V1147" s="280" t="s">
        <v>3508</v>
      </c>
      <c r="W1147" s="197" t="s">
        <v>2039</v>
      </c>
      <c r="X1147" s="197" t="s">
        <v>475</v>
      </c>
      <c r="Y1147" s="949" t="s">
        <v>3510</v>
      </c>
      <c r="Z1147" s="612">
        <v>45205</v>
      </c>
      <c r="AA1147" s="246"/>
      <c r="AB1147" s="288" t="s">
        <v>4515</v>
      </c>
      <c r="AC1147" s="223" t="s">
        <v>946</v>
      </c>
      <c r="AD1147" s="376"/>
      <c r="AE1147" s="494">
        <v>45111</v>
      </c>
      <c r="AF1147" s="494">
        <v>45476</v>
      </c>
      <c r="AG1147" s="241"/>
      <c r="AH1147" s="283"/>
      <c r="AI1147" s="254" t="s">
        <v>1351</v>
      </c>
      <c r="AJ1147" s="303" t="s">
        <v>136</v>
      </c>
      <c r="AK1147" s="241">
        <v>4</v>
      </c>
      <c r="AL1147" s="123" t="s">
        <v>494</v>
      </c>
      <c r="AM1147" s="175" t="s">
        <v>492</v>
      </c>
      <c r="AN1147" s="150"/>
      <c r="AO1147" s="150"/>
      <c r="AP1147" s="115"/>
      <c r="AQ1147" s="149"/>
      <c r="AR1147" s="115"/>
      <c r="AS1147" s="115"/>
      <c r="AT1147" s="115"/>
    </row>
    <row r="1148" spans="1:46" ht="39" customHeight="1" x14ac:dyDescent="0.25">
      <c r="A1148" s="1468">
        <v>1147</v>
      </c>
      <c r="B1148" s="141">
        <v>2</v>
      </c>
      <c r="C1148" s="260" t="s">
        <v>317</v>
      </c>
      <c r="D1148" s="241"/>
      <c r="E1148" s="241"/>
      <c r="F1148" s="241"/>
      <c r="G1148" s="261" t="s">
        <v>318</v>
      </c>
      <c r="H1148" s="262" t="s">
        <v>87</v>
      </c>
      <c r="I1148" s="371"/>
      <c r="J1148" s="245" t="s">
        <v>561</v>
      </c>
      <c r="K1148" s="268"/>
      <c r="L1148" s="438" t="s">
        <v>1685</v>
      </c>
      <c r="M1148" s="438" t="s">
        <v>1527</v>
      </c>
      <c r="N1148" s="404"/>
      <c r="O1148" s="392" t="s">
        <v>2963</v>
      </c>
      <c r="P1148" s="431"/>
      <c r="Q1148" s="453" t="s">
        <v>87</v>
      </c>
      <c r="R1148" s="1002" t="s">
        <v>1695</v>
      </c>
      <c r="S1148" s="279">
        <v>37532</v>
      </c>
      <c r="T1148" s="268"/>
      <c r="U1148" s="251" t="s">
        <v>54</v>
      </c>
      <c r="V1148" s="280" t="s">
        <v>3508</v>
      </c>
      <c r="W1148" s="197" t="s">
        <v>2039</v>
      </c>
      <c r="X1148" s="197" t="s">
        <v>475</v>
      </c>
      <c r="Y1148" s="949" t="s">
        <v>3510</v>
      </c>
      <c r="Z1148" s="612">
        <v>45205</v>
      </c>
      <c r="AA1148" s="405"/>
      <c r="AB1148" s="288" t="s">
        <v>4495</v>
      </c>
      <c r="AC1148" s="223" t="s">
        <v>946</v>
      </c>
      <c r="AD1148" s="718"/>
      <c r="AE1148" s="494">
        <v>45111</v>
      </c>
      <c r="AF1148" s="494">
        <v>45476</v>
      </c>
      <c r="AG1148" s="471"/>
      <c r="AH1148" s="585"/>
      <c r="AI1148" s="719" t="s">
        <v>1351</v>
      </c>
      <c r="AJ1148" s="470" t="s">
        <v>136</v>
      </c>
      <c r="AK1148" s="241">
        <v>4</v>
      </c>
      <c r="AL1148" s="123" t="s">
        <v>494</v>
      </c>
      <c r="AM1148" s="175" t="s">
        <v>492</v>
      </c>
      <c r="AN1148" s="150"/>
      <c r="AO1148" s="150"/>
      <c r="AP1148" s="115"/>
      <c r="AQ1148" s="149"/>
      <c r="AR1148" s="115"/>
      <c r="AS1148" s="115"/>
      <c r="AT1148" s="115"/>
    </row>
    <row r="1149" spans="1:46" ht="39" customHeight="1" x14ac:dyDescent="0.25">
      <c r="A1149" s="1468">
        <v>1148</v>
      </c>
      <c r="B1149" s="146">
        <v>2</v>
      </c>
      <c r="C1149" s="260" t="s">
        <v>319</v>
      </c>
      <c r="D1149" s="241"/>
      <c r="E1149" s="241"/>
      <c r="F1149" s="241"/>
      <c r="G1149" s="261" t="s">
        <v>320</v>
      </c>
      <c r="H1149" s="262" t="s">
        <v>87</v>
      </c>
      <c r="I1149" s="364"/>
      <c r="J1149" s="245" t="s">
        <v>561</v>
      </c>
      <c r="K1149" s="257"/>
      <c r="L1149" s="301"/>
      <c r="M1149" s="301"/>
      <c r="N1149" s="299"/>
      <c r="O1149" s="392" t="s">
        <v>3400</v>
      </c>
      <c r="P1149" s="706"/>
      <c r="Q1149" s="344" t="s">
        <v>293</v>
      </c>
      <c r="R1149" s="982" t="s">
        <v>3399</v>
      </c>
      <c r="S1149" s="279">
        <v>37100</v>
      </c>
      <c r="T1149" s="366"/>
      <c r="U1149" s="250" t="s">
        <v>886</v>
      </c>
      <c r="V1149" s="197" t="s">
        <v>6218</v>
      </c>
      <c r="W1149" s="197" t="s">
        <v>886</v>
      </c>
      <c r="X1149" s="197" t="s">
        <v>886</v>
      </c>
      <c r="Y1149" s="949"/>
      <c r="Z1149" s="612">
        <v>45324</v>
      </c>
      <c r="AA1149" s="612"/>
      <c r="AB1149" s="299"/>
      <c r="AC1149" s="223"/>
      <c r="AD1149" s="299"/>
      <c r="AE1149" s="494"/>
      <c r="AF1149" s="494"/>
      <c r="AG1149" s="299"/>
      <c r="AH1149" s="299"/>
      <c r="AI1149" s="254"/>
      <c r="AJ1149" s="348" t="s">
        <v>560</v>
      </c>
      <c r="AK1149" s="241">
        <v>4</v>
      </c>
      <c r="AL1149" s="123" t="s">
        <v>494</v>
      </c>
      <c r="AM1149" s="175" t="s">
        <v>492</v>
      </c>
      <c r="AN1149" s="110"/>
      <c r="AO1149" s="110"/>
      <c r="AP1149" s="115"/>
      <c r="AQ1149" s="115"/>
      <c r="AR1149" s="115"/>
      <c r="AS1149" s="115"/>
      <c r="AT1149" s="115"/>
    </row>
    <row r="1150" spans="1:46" ht="39" customHeight="1" x14ac:dyDescent="0.25">
      <c r="A1150" s="1468">
        <v>1149</v>
      </c>
      <c r="B1150" s="141">
        <v>2</v>
      </c>
      <c r="C1150" s="378" t="s">
        <v>321</v>
      </c>
      <c r="D1150" s="303"/>
      <c r="E1150" s="241"/>
      <c r="F1150" s="241"/>
      <c r="G1150" s="261" t="s">
        <v>322</v>
      </c>
      <c r="H1150" s="262" t="s">
        <v>87</v>
      </c>
      <c r="I1150" s="357"/>
      <c r="J1150" s="245" t="s">
        <v>561</v>
      </c>
      <c r="K1150" s="257"/>
      <c r="L1150" s="281" t="s">
        <v>1527</v>
      </c>
      <c r="M1150" s="281" t="s">
        <v>1676</v>
      </c>
      <c r="N1150" s="366"/>
      <c r="O1150" s="216"/>
      <c r="P1150" s="402"/>
      <c r="Q1150" s="380" t="s">
        <v>87</v>
      </c>
      <c r="R1150" s="1266" t="s">
        <v>1743</v>
      </c>
      <c r="S1150" s="279"/>
      <c r="T1150" s="197"/>
      <c r="U1150" s="251" t="s">
        <v>54</v>
      </c>
      <c r="V1150" s="280" t="s">
        <v>3508</v>
      </c>
      <c r="W1150" s="197" t="s">
        <v>2039</v>
      </c>
      <c r="X1150" s="197" t="s">
        <v>475</v>
      </c>
      <c r="Y1150" s="949" t="s">
        <v>3510</v>
      </c>
      <c r="Z1150" s="612">
        <v>45205</v>
      </c>
      <c r="AA1150" s="246"/>
      <c r="AB1150" s="288"/>
      <c r="AC1150" s="223" t="s">
        <v>946</v>
      </c>
      <c r="AD1150" s="376"/>
      <c r="AE1150" s="494"/>
      <c r="AF1150" s="494"/>
      <c r="AG1150" s="241"/>
      <c r="AH1150" s="283"/>
      <c r="AI1150" s="254" t="s">
        <v>1351</v>
      </c>
      <c r="AJ1150" s="303" t="s">
        <v>136</v>
      </c>
      <c r="AK1150" s="241">
        <v>4</v>
      </c>
      <c r="AL1150" s="123" t="s">
        <v>494</v>
      </c>
      <c r="AM1150" s="175" t="s">
        <v>492</v>
      </c>
      <c r="AN1150" s="110"/>
      <c r="AO1150" s="110"/>
      <c r="AP1150" s="115"/>
      <c r="AQ1150" s="115"/>
      <c r="AR1150" s="115"/>
      <c r="AS1150" s="115"/>
      <c r="AT1150" s="116"/>
    </row>
    <row r="1151" spans="1:46" ht="39" customHeight="1" x14ac:dyDescent="0.25">
      <c r="A1151" s="1468">
        <v>1150</v>
      </c>
      <c r="B1151" s="141">
        <v>1</v>
      </c>
      <c r="C1151" s="378" t="s">
        <v>323</v>
      </c>
      <c r="D1151" s="303"/>
      <c r="E1151" s="241"/>
      <c r="F1151" s="241"/>
      <c r="G1151" s="261" t="s">
        <v>324</v>
      </c>
      <c r="H1151" s="262" t="s">
        <v>87</v>
      </c>
      <c r="I1151" s="357"/>
      <c r="J1151" s="245" t="s">
        <v>561</v>
      </c>
      <c r="K1151" s="301"/>
      <c r="L1151" s="301" t="s">
        <v>1430</v>
      </c>
      <c r="M1151" s="281" t="s">
        <v>1684</v>
      </c>
      <c r="N1151" s="305"/>
      <c r="O1151" s="392" t="s">
        <v>3138</v>
      </c>
      <c r="P1151" s="301"/>
      <c r="Q1151" s="197" t="s">
        <v>87</v>
      </c>
      <c r="R1151" s="381" t="s">
        <v>1460</v>
      </c>
      <c r="S1151" s="279">
        <v>37992</v>
      </c>
      <c r="T1151" s="306"/>
      <c r="U1151" s="251" t="s">
        <v>54</v>
      </c>
      <c r="V1151" s="280" t="s">
        <v>3508</v>
      </c>
      <c r="W1151" s="197" t="s">
        <v>2039</v>
      </c>
      <c r="X1151" s="197" t="s">
        <v>475</v>
      </c>
      <c r="Y1151" s="949" t="s">
        <v>3510</v>
      </c>
      <c r="Z1151" s="612">
        <v>45205</v>
      </c>
      <c r="AA1151" s="289"/>
      <c r="AB1151" s="288" t="s">
        <v>4501</v>
      </c>
      <c r="AC1151" s="223" t="s">
        <v>946</v>
      </c>
      <c r="AD1151" s="299"/>
      <c r="AE1151" s="494">
        <v>45098</v>
      </c>
      <c r="AF1151" s="494">
        <v>45463</v>
      </c>
      <c r="AG1151" s="299"/>
      <c r="AH1151" s="299"/>
      <c r="AI1151" s="296" t="s">
        <v>1351</v>
      </c>
      <c r="AJ1151" s="303" t="s">
        <v>136</v>
      </c>
      <c r="AK1151" s="241">
        <v>4</v>
      </c>
      <c r="AL1151" s="123" t="s">
        <v>494</v>
      </c>
      <c r="AM1151" s="175" t="s">
        <v>492</v>
      </c>
      <c r="AN1151" s="110"/>
      <c r="AO1151" s="110"/>
      <c r="AP1151" s="115"/>
      <c r="AQ1151" s="115"/>
      <c r="AR1151" s="115"/>
      <c r="AS1151" s="115"/>
      <c r="AT1151" s="115"/>
    </row>
    <row r="1152" spans="1:46" ht="39" customHeight="1" x14ac:dyDescent="0.25">
      <c r="A1152" s="1468">
        <v>1151</v>
      </c>
      <c r="B1152" s="141">
        <v>2</v>
      </c>
      <c r="C1152" s="260" t="s">
        <v>325</v>
      </c>
      <c r="D1152" s="241"/>
      <c r="E1152" s="241"/>
      <c r="F1152" s="241"/>
      <c r="G1152" s="261" t="s">
        <v>324</v>
      </c>
      <c r="H1152" s="262" t="s">
        <v>87</v>
      </c>
      <c r="I1152" s="357"/>
      <c r="J1152" s="245" t="s">
        <v>561</v>
      </c>
      <c r="K1152" s="197"/>
      <c r="L1152" s="301" t="s">
        <v>1678</v>
      </c>
      <c r="M1152" s="301" t="s">
        <v>991</v>
      </c>
      <c r="N1152" s="245"/>
      <c r="O1152" s="392" t="s">
        <v>2945</v>
      </c>
      <c r="P1152" s="247"/>
      <c r="Q1152" s="301" t="s">
        <v>293</v>
      </c>
      <c r="R1152" s="381" t="s">
        <v>1356</v>
      </c>
      <c r="S1152" s="279">
        <v>38484</v>
      </c>
      <c r="T1152" s="250"/>
      <c r="U1152" s="251" t="s">
        <v>54</v>
      </c>
      <c r="V1152" s="280" t="s">
        <v>3508</v>
      </c>
      <c r="W1152" s="197" t="s">
        <v>2039</v>
      </c>
      <c r="X1152" s="197" t="s">
        <v>475</v>
      </c>
      <c r="Y1152" s="949" t="s">
        <v>3510</v>
      </c>
      <c r="Z1152" s="612">
        <v>45205</v>
      </c>
      <c r="AA1152" s="698"/>
      <c r="AB1152" s="250" t="s">
        <v>4516</v>
      </c>
      <c r="AC1152" s="223" t="s">
        <v>946</v>
      </c>
      <c r="AD1152" s="281"/>
      <c r="AE1152" s="494">
        <v>45070</v>
      </c>
      <c r="AF1152" s="494">
        <v>45435</v>
      </c>
      <c r="AG1152" s="282"/>
      <c r="AH1152" s="282"/>
      <c r="AI1152" s="254" t="s">
        <v>1351</v>
      </c>
      <c r="AJ1152" s="303" t="s">
        <v>136</v>
      </c>
      <c r="AK1152" s="241">
        <v>4</v>
      </c>
      <c r="AL1152" s="123" t="s">
        <v>494</v>
      </c>
      <c r="AM1152" s="175" t="s">
        <v>492</v>
      </c>
      <c r="AN1152" s="151"/>
      <c r="AO1152" s="151"/>
      <c r="AP1152" s="115"/>
      <c r="AQ1152" s="149"/>
      <c r="AR1152" s="115"/>
      <c r="AS1152" s="115"/>
      <c r="AT1152" s="115"/>
    </row>
    <row r="1153" spans="1:46" ht="39" customHeight="1" x14ac:dyDescent="0.25">
      <c r="A1153" s="1468">
        <v>1152</v>
      </c>
      <c r="B1153" s="117"/>
      <c r="C1153" s="324"/>
      <c r="D1153" s="664"/>
      <c r="E1153" s="664"/>
      <c r="F1153" s="664"/>
      <c r="G1153" s="227"/>
      <c r="H1153" s="228"/>
      <c r="I1153" s="228"/>
      <c r="J1153" s="229"/>
      <c r="K1153" s="227"/>
      <c r="L1153" s="229"/>
      <c r="M1153" s="229"/>
      <c r="N1153" s="229"/>
      <c r="O1153" s="216"/>
      <c r="P1153" s="230" t="s">
        <v>326</v>
      </c>
      <c r="Q1153" s="373"/>
      <c r="R1153" s="232"/>
      <c r="S1153" s="232"/>
      <c r="T1153" s="232"/>
      <c r="U1153" s="232"/>
      <c r="V1153" s="232"/>
      <c r="W1153" s="232"/>
      <c r="X1153" s="232"/>
      <c r="Y1153" s="232"/>
      <c r="Z1153" s="233"/>
      <c r="AA1153" s="234"/>
      <c r="AB1153" s="235"/>
      <c r="AC1153" s="236"/>
      <c r="AD1153" s="235"/>
      <c r="AE1153" s="494"/>
      <c r="AF1153" s="494"/>
      <c r="AG1153" s="664"/>
      <c r="AH1153" s="238"/>
      <c r="AI1153" s="239"/>
      <c r="AJ1153" s="303"/>
      <c r="AK1153" s="241"/>
      <c r="AL1153" s="122"/>
      <c r="AM1153" s="122"/>
      <c r="AN1153" s="113"/>
      <c r="AO1153" s="114"/>
      <c r="AP1153" s="115"/>
      <c r="AQ1153" s="115"/>
      <c r="AR1153" s="115"/>
      <c r="AS1153" s="115"/>
      <c r="AT1153" s="116"/>
    </row>
    <row r="1154" spans="1:46" ht="39" customHeight="1" x14ac:dyDescent="0.25">
      <c r="A1154" s="1468">
        <v>1153</v>
      </c>
      <c r="B1154" s="141">
        <v>5</v>
      </c>
      <c r="C1154" s="290" t="s">
        <v>288</v>
      </c>
      <c r="D1154" s="291"/>
      <c r="E1154" s="291" t="s">
        <v>47</v>
      </c>
      <c r="F1154" s="291"/>
      <c r="G1154" s="292" t="s">
        <v>289</v>
      </c>
      <c r="H1154" s="293" t="s">
        <v>132</v>
      </c>
      <c r="I1154" s="344">
        <v>144</v>
      </c>
      <c r="J1154" s="256">
        <v>403</v>
      </c>
      <c r="K1154" s="216" t="s">
        <v>158</v>
      </c>
      <c r="L1154" s="216" t="s">
        <v>1056</v>
      </c>
      <c r="M1154" s="216" t="s">
        <v>1056</v>
      </c>
      <c r="N1154" s="245"/>
      <c r="O1154" s="216" t="s">
        <v>1057</v>
      </c>
      <c r="P1154" s="294"/>
      <c r="Q1154" s="344" t="s">
        <v>132</v>
      </c>
      <c r="R1154" s="982" t="s">
        <v>1058</v>
      </c>
      <c r="S1154" s="279">
        <v>36203</v>
      </c>
      <c r="T1154" s="250"/>
      <c r="U1154" s="251" t="s">
        <v>886</v>
      </c>
      <c r="V1154" s="252" t="s">
        <v>6217</v>
      </c>
      <c r="W1154" s="250" t="s">
        <v>886</v>
      </c>
      <c r="X1154" s="197" t="s">
        <v>886</v>
      </c>
      <c r="Y1154" s="981"/>
      <c r="Z1154" s="1135">
        <v>45324</v>
      </c>
      <c r="AA1154" s="246"/>
      <c r="AB1154" s="282"/>
      <c r="AC1154" s="223" t="s">
        <v>946</v>
      </c>
      <c r="AD1154" s="282"/>
      <c r="AE1154" s="494">
        <v>44188</v>
      </c>
      <c r="AF1154" s="494">
        <v>45282</v>
      </c>
      <c r="AG1154" s="241" t="s">
        <v>61</v>
      </c>
      <c r="AH1154" s="283"/>
      <c r="AI1154" s="254"/>
      <c r="AJ1154" s="348" t="s">
        <v>560</v>
      </c>
      <c r="AK1154" s="348">
        <v>3</v>
      </c>
      <c r="AL1154" s="123" t="s">
        <v>494</v>
      </c>
      <c r="AM1154" s="175" t="s">
        <v>492</v>
      </c>
      <c r="AN1154" s="138"/>
      <c r="AO1154" s="138"/>
      <c r="AP1154" s="115"/>
      <c r="AQ1154" s="149"/>
      <c r="AR1154" s="115"/>
      <c r="AS1154" s="115"/>
      <c r="AT1154" s="115"/>
    </row>
    <row r="1155" spans="1:46" ht="39" customHeight="1" x14ac:dyDescent="0.25">
      <c r="A1155" s="1468">
        <v>1154</v>
      </c>
      <c r="B1155" s="141">
        <v>3</v>
      </c>
      <c r="C1155" s="356" t="s">
        <v>290</v>
      </c>
      <c r="D1155" s="241" t="s">
        <v>134</v>
      </c>
      <c r="E1155" s="241"/>
      <c r="F1155" s="241"/>
      <c r="G1155" s="261" t="s">
        <v>291</v>
      </c>
      <c r="H1155" s="262" t="s">
        <v>85</v>
      </c>
      <c r="I1155" s="346"/>
      <c r="J1155" s="245" t="s">
        <v>556</v>
      </c>
      <c r="K1155" s="197"/>
      <c r="L1155" s="281" t="s">
        <v>1685</v>
      </c>
      <c r="M1155" s="281" t="s">
        <v>2783</v>
      </c>
      <c r="N1155" s="366"/>
      <c r="O1155" s="392" t="s">
        <v>2903</v>
      </c>
      <c r="P1155" s="402"/>
      <c r="Q1155" s="301" t="s">
        <v>87</v>
      </c>
      <c r="R1155" s="381" t="s">
        <v>1687</v>
      </c>
      <c r="S1155" s="279">
        <v>38313</v>
      </c>
      <c r="T1155" s="197"/>
      <c r="U1155" s="251" t="s">
        <v>54</v>
      </c>
      <c r="V1155" s="280" t="s">
        <v>3508</v>
      </c>
      <c r="W1155" s="197" t="s">
        <v>2039</v>
      </c>
      <c r="X1155" s="197" t="s">
        <v>475</v>
      </c>
      <c r="Y1155" s="949" t="s">
        <v>3510</v>
      </c>
      <c r="Z1155" s="612">
        <v>45205</v>
      </c>
      <c r="AA1155" s="246"/>
      <c r="AB1155" s="288" t="s">
        <v>4513</v>
      </c>
      <c r="AC1155" s="223" t="s">
        <v>946</v>
      </c>
      <c r="AD1155" s="376"/>
      <c r="AE1155" s="494">
        <v>45104</v>
      </c>
      <c r="AF1155" s="494">
        <v>45469</v>
      </c>
      <c r="AG1155" s="241"/>
      <c r="AH1155" s="283"/>
      <c r="AI1155" s="254" t="s">
        <v>1351</v>
      </c>
      <c r="AJ1155" s="303" t="s">
        <v>136</v>
      </c>
      <c r="AK1155" s="241">
        <v>4</v>
      </c>
      <c r="AL1155" s="123" t="s">
        <v>494</v>
      </c>
      <c r="AM1155" s="175" t="s">
        <v>492</v>
      </c>
      <c r="AN1155" s="110" t="s">
        <v>4184</v>
      </c>
      <c r="AO1155" s="138"/>
      <c r="AP1155" s="115"/>
      <c r="AQ1155" s="149"/>
      <c r="AR1155" s="115"/>
      <c r="AS1155" s="115"/>
      <c r="AT1155" s="115"/>
    </row>
    <row r="1156" spans="1:46" ht="39" customHeight="1" x14ac:dyDescent="0.25">
      <c r="A1156" s="1468">
        <v>1155</v>
      </c>
      <c r="B1156" s="141">
        <v>3</v>
      </c>
      <c r="C1156" s="358" t="s">
        <v>297</v>
      </c>
      <c r="D1156" s="241" t="s">
        <v>134</v>
      </c>
      <c r="E1156" s="241"/>
      <c r="F1156" s="241"/>
      <c r="G1156" s="261" t="s">
        <v>298</v>
      </c>
      <c r="H1156" s="262" t="s">
        <v>85</v>
      </c>
      <c r="I1156" s="346"/>
      <c r="J1156" s="245" t="s">
        <v>556</v>
      </c>
      <c r="K1156" s="257"/>
      <c r="L1156" s="301" t="s">
        <v>5916</v>
      </c>
      <c r="M1156" s="301" t="s">
        <v>5916</v>
      </c>
      <c r="N1156" s="299"/>
      <c r="O1156" s="301" t="s">
        <v>6024</v>
      </c>
      <c r="P1156" s="301"/>
      <c r="Q1156" s="344" t="s">
        <v>132</v>
      </c>
      <c r="R1156" s="982" t="s">
        <v>6023</v>
      </c>
      <c r="S1156" s="279">
        <v>35530</v>
      </c>
      <c r="T1156" s="289"/>
      <c r="U1156" s="197"/>
      <c r="V1156" s="280"/>
      <c r="W1156" s="197"/>
      <c r="X1156" s="197"/>
      <c r="Y1156" s="949"/>
      <c r="Z1156" s="612"/>
      <c r="AA1156" s="289"/>
      <c r="AB1156" s="288"/>
      <c r="AC1156" s="223"/>
      <c r="AD1156" s="299"/>
      <c r="AE1156" s="494"/>
      <c r="AF1156" s="494"/>
      <c r="AG1156" s="299"/>
      <c r="AH1156" s="299"/>
      <c r="AI1156" s="254"/>
      <c r="AJ1156" s="348" t="s">
        <v>560</v>
      </c>
      <c r="AK1156" s="241">
        <v>4</v>
      </c>
      <c r="AL1156" s="123" t="s">
        <v>494</v>
      </c>
      <c r="AM1156" s="175" t="s">
        <v>492</v>
      </c>
      <c r="AN1156" s="138"/>
      <c r="AO1156" s="138"/>
      <c r="AP1156" s="115"/>
      <c r="AQ1156" s="149"/>
      <c r="AR1156" s="115"/>
      <c r="AS1156" s="115"/>
      <c r="AT1156" s="116"/>
    </row>
    <row r="1157" spans="1:46" ht="39" customHeight="1" x14ac:dyDescent="0.25">
      <c r="A1157" s="1468">
        <v>1156</v>
      </c>
      <c r="B1157" s="141">
        <v>2</v>
      </c>
      <c r="C1157" s="260" t="s">
        <v>311</v>
      </c>
      <c r="D1157" s="241"/>
      <c r="E1157" s="241"/>
      <c r="F1157" s="241"/>
      <c r="G1157" s="261" t="s">
        <v>312</v>
      </c>
      <c r="H1157" s="262" t="s">
        <v>85</v>
      </c>
      <c r="I1157" s="346"/>
      <c r="J1157" s="245" t="s">
        <v>556</v>
      </c>
      <c r="K1157" s="250" t="s">
        <v>313</v>
      </c>
      <c r="L1157" s="301" t="s">
        <v>976</v>
      </c>
      <c r="M1157" s="301" t="s">
        <v>976</v>
      </c>
      <c r="N1157" s="245"/>
      <c r="O1157" s="216" t="s">
        <v>980</v>
      </c>
      <c r="P1157" s="377"/>
      <c r="Q1157" s="375" t="s">
        <v>85</v>
      </c>
      <c r="R1157" s="982" t="s">
        <v>981</v>
      </c>
      <c r="S1157" s="279">
        <v>37008</v>
      </c>
      <c r="T1157" s="289"/>
      <c r="U1157" s="251" t="s">
        <v>54</v>
      </c>
      <c r="V1157" s="250"/>
      <c r="W1157" s="250" t="s">
        <v>2375</v>
      </c>
      <c r="X1157" s="197" t="s">
        <v>2376</v>
      </c>
      <c r="Y1157" s="197" t="s">
        <v>2377</v>
      </c>
      <c r="Z1157" s="252"/>
      <c r="AA1157" s="246"/>
      <c r="AB1157" s="250"/>
      <c r="AC1157" s="223" t="s">
        <v>946</v>
      </c>
      <c r="AD1157" s="250"/>
      <c r="AE1157" s="494"/>
      <c r="AF1157" s="494"/>
      <c r="AG1157" s="282" t="s">
        <v>61</v>
      </c>
      <c r="AH1157" s="283"/>
      <c r="AI1157" s="254"/>
      <c r="AJ1157" s="348" t="s">
        <v>560</v>
      </c>
      <c r="AK1157" s="241">
        <v>4</v>
      </c>
      <c r="AL1157" s="123" t="s">
        <v>494</v>
      </c>
      <c r="AM1157" s="175" t="s">
        <v>492</v>
      </c>
      <c r="AN1157" s="138"/>
      <c r="AO1157" s="138"/>
      <c r="AP1157" s="115"/>
      <c r="AQ1157" s="149"/>
      <c r="AR1157" s="115"/>
      <c r="AS1157" s="115"/>
      <c r="AT1157" s="115"/>
    </row>
    <row r="1158" spans="1:46" ht="39" customHeight="1" x14ac:dyDescent="0.25">
      <c r="A1158" s="1468">
        <v>1157</v>
      </c>
      <c r="B1158" s="141">
        <v>2</v>
      </c>
      <c r="C1158" s="260" t="s">
        <v>317</v>
      </c>
      <c r="D1158" s="241"/>
      <c r="E1158" s="241"/>
      <c r="F1158" s="241"/>
      <c r="G1158" s="261" t="s">
        <v>318</v>
      </c>
      <c r="H1158" s="262" t="s">
        <v>87</v>
      </c>
      <c r="I1158" s="346"/>
      <c r="J1158" s="245" t="s">
        <v>561</v>
      </c>
      <c r="K1158" s="305"/>
      <c r="L1158" s="299" t="s">
        <v>1508</v>
      </c>
      <c r="M1158" s="299" t="s">
        <v>1708</v>
      </c>
      <c r="N1158" s="245"/>
      <c r="O1158" s="392" t="s">
        <v>3126</v>
      </c>
      <c r="P1158" s="627"/>
      <c r="Q1158" s="282" t="s">
        <v>293</v>
      </c>
      <c r="R1158" s="381" t="s">
        <v>4519</v>
      </c>
      <c r="S1158" s="279">
        <v>38093</v>
      </c>
      <c r="T1158" s="289"/>
      <c r="U1158" s="251" t="s">
        <v>54</v>
      </c>
      <c r="V1158" s="197" t="s">
        <v>1987</v>
      </c>
      <c r="W1158" s="197" t="s">
        <v>2039</v>
      </c>
      <c r="X1158" s="197" t="s">
        <v>57</v>
      </c>
      <c r="Y1158" s="147" t="s">
        <v>2040</v>
      </c>
      <c r="Z1158" s="246">
        <v>45147</v>
      </c>
      <c r="AA1158" s="281"/>
      <c r="AB1158" s="288" t="s">
        <v>4518</v>
      </c>
      <c r="AC1158" s="223" t="s">
        <v>946</v>
      </c>
      <c r="AD1158" s="245"/>
      <c r="AE1158" s="494">
        <v>45115</v>
      </c>
      <c r="AF1158" s="494">
        <v>45480</v>
      </c>
      <c r="AG1158" s="241"/>
      <c r="AH1158" s="253"/>
      <c r="AI1158" s="284" t="s">
        <v>1351</v>
      </c>
      <c r="AJ1158" s="303" t="s">
        <v>136</v>
      </c>
      <c r="AK1158" s="241">
        <v>4</v>
      </c>
      <c r="AL1158" s="123" t="s">
        <v>494</v>
      </c>
      <c r="AM1158" s="175" t="s">
        <v>492</v>
      </c>
      <c r="AN1158" s="138"/>
      <c r="AO1158" s="138"/>
      <c r="AP1158" s="115"/>
      <c r="AQ1158" s="149"/>
      <c r="AR1158" s="115"/>
      <c r="AS1158" s="115"/>
      <c r="AT1158" s="115"/>
    </row>
    <row r="1159" spans="1:46" ht="39" customHeight="1" x14ac:dyDescent="0.25">
      <c r="A1159" s="1468">
        <v>1158</v>
      </c>
      <c r="B1159" s="146">
        <v>2</v>
      </c>
      <c r="C1159" s="260" t="s">
        <v>319</v>
      </c>
      <c r="D1159" s="241"/>
      <c r="E1159" s="241"/>
      <c r="F1159" s="241"/>
      <c r="G1159" s="261" t="s">
        <v>320</v>
      </c>
      <c r="H1159" s="262" t="s">
        <v>87</v>
      </c>
      <c r="I1159" s="357"/>
      <c r="J1159" s="245" t="s">
        <v>561</v>
      </c>
      <c r="K1159" s="216"/>
      <c r="L1159" s="256" t="s">
        <v>1925</v>
      </c>
      <c r="M1159" s="256" t="s">
        <v>1925</v>
      </c>
      <c r="N1159" s="366"/>
      <c r="O1159" s="950" t="s">
        <v>2719</v>
      </c>
      <c r="P1159" s="484" t="s">
        <v>1828</v>
      </c>
      <c r="Q1159" s="344" t="s">
        <v>87</v>
      </c>
      <c r="R1159" s="982" t="s">
        <v>2718</v>
      </c>
      <c r="S1159" s="279">
        <v>32830</v>
      </c>
      <c r="T1159" s="197"/>
      <c r="U1159" s="251" t="s">
        <v>54</v>
      </c>
      <c r="V1159" s="250" t="s">
        <v>2793</v>
      </c>
      <c r="W1159" s="197" t="s">
        <v>56</v>
      </c>
      <c r="X1159" s="197" t="s">
        <v>57</v>
      </c>
      <c r="Y1159" s="197" t="s">
        <v>2609</v>
      </c>
      <c r="Z1159" s="246">
        <v>45141</v>
      </c>
      <c r="AA1159" s="246"/>
      <c r="AB1159" s="361"/>
      <c r="AC1159" s="223"/>
      <c r="AD1159" s="376"/>
      <c r="AE1159" s="258"/>
      <c r="AF1159" s="258"/>
      <c r="AG1159" s="241"/>
      <c r="AH1159" s="283"/>
      <c r="AI1159" s="254"/>
      <c r="AJ1159" s="348" t="s">
        <v>560</v>
      </c>
      <c r="AK1159" s="241">
        <v>4</v>
      </c>
      <c r="AL1159" s="123" t="s">
        <v>494</v>
      </c>
      <c r="AM1159" s="175" t="s">
        <v>492</v>
      </c>
      <c r="AN1159" s="110"/>
      <c r="AO1159" s="152"/>
      <c r="AP1159" s="115"/>
      <c r="AQ1159" s="115"/>
      <c r="AR1159" s="115"/>
      <c r="AS1159" s="115"/>
      <c r="AT1159" s="115"/>
    </row>
    <row r="1160" spans="1:46" ht="39" customHeight="1" x14ac:dyDescent="0.25">
      <c r="A1160" s="1468">
        <v>1159</v>
      </c>
      <c r="B1160" s="141">
        <v>2</v>
      </c>
      <c r="C1160" s="378" t="s">
        <v>321</v>
      </c>
      <c r="D1160" s="303"/>
      <c r="E1160" s="241"/>
      <c r="F1160" s="241"/>
      <c r="G1160" s="261" t="s">
        <v>322</v>
      </c>
      <c r="H1160" s="262" t="s">
        <v>87</v>
      </c>
      <c r="I1160" s="364"/>
      <c r="J1160" s="245" t="s">
        <v>561</v>
      </c>
      <c r="K1160" s="257"/>
      <c r="L1160" s="299"/>
      <c r="M1160" s="299"/>
      <c r="N1160" s="245"/>
      <c r="O1160" s="216" t="s">
        <v>2530</v>
      </c>
      <c r="P1160" s="387"/>
      <c r="Q1160" s="344" t="s">
        <v>293</v>
      </c>
      <c r="R1160" s="982" t="s">
        <v>2529</v>
      </c>
      <c r="S1160" s="279">
        <v>37086</v>
      </c>
      <c r="T1160" s="289"/>
      <c r="U1160" s="251" t="s">
        <v>886</v>
      </c>
      <c r="V1160" s="250" t="s">
        <v>5897</v>
      </c>
      <c r="W1160" s="197" t="s">
        <v>886</v>
      </c>
      <c r="X1160" s="197" t="s">
        <v>886</v>
      </c>
      <c r="Y1160" s="197"/>
      <c r="Z1160" s="246">
        <v>45280</v>
      </c>
      <c r="AA1160" s="281"/>
      <c r="AB1160" s="245"/>
      <c r="AC1160" s="223"/>
      <c r="AD1160" s="245"/>
      <c r="AE1160" s="289"/>
      <c r="AF1160" s="289"/>
      <c r="AG1160" s="241"/>
      <c r="AH1160" s="253"/>
      <c r="AI1160" s="284"/>
      <c r="AJ1160" s="348" t="s">
        <v>560</v>
      </c>
      <c r="AK1160" s="241">
        <v>4</v>
      </c>
      <c r="AL1160" s="123" t="s">
        <v>494</v>
      </c>
      <c r="AM1160" s="175" t="s">
        <v>492</v>
      </c>
      <c r="AN1160" s="110"/>
      <c r="AO1160" s="110"/>
      <c r="AP1160" s="115"/>
      <c r="AQ1160" s="115"/>
      <c r="AR1160" s="115"/>
      <c r="AS1160" s="115"/>
      <c r="AT1160" s="116"/>
    </row>
    <row r="1161" spans="1:46" ht="39" customHeight="1" x14ac:dyDescent="0.25">
      <c r="A1161" s="1468">
        <v>1160</v>
      </c>
      <c r="B1161" s="141">
        <v>1</v>
      </c>
      <c r="C1161" s="378" t="s">
        <v>323</v>
      </c>
      <c r="D1161" s="303"/>
      <c r="E1161" s="241"/>
      <c r="F1161" s="241"/>
      <c r="G1161" s="261" t="s">
        <v>324</v>
      </c>
      <c r="H1161" s="262" t="s">
        <v>87</v>
      </c>
      <c r="I1161" s="357"/>
      <c r="J1161" s="245" t="s">
        <v>561</v>
      </c>
      <c r="K1161" s="288"/>
      <c r="L1161" s="301" t="s">
        <v>1679</v>
      </c>
      <c r="M1161" s="301" t="s">
        <v>3296</v>
      </c>
      <c r="N1161" s="299"/>
      <c r="O1161" s="1525" t="s">
        <v>3071</v>
      </c>
      <c r="P1161" s="300"/>
      <c r="Q1161" s="301" t="s">
        <v>293</v>
      </c>
      <c r="R1161" s="427" t="s">
        <v>1381</v>
      </c>
      <c r="S1161" s="279">
        <v>38476</v>
      </c>
      <c r="T1161" s="289"/>
      <c r="U1161" s="251" t="s">
        <v>54</v>
      </c>
      <c r="V1161" s="280" t="s">
        <v>3508</v>
      </c>
      <c r="W1161" s="197" t="s">
        <v>2039</v>
      </c>
      <c r="X1161" s="197" t="s">
        <v>475</v>
      </c>
      <c r="Y1161" s="949" t="s">
        <v>3510</v>
      </c>
      <c r="Z1161" s="612">
        <v>45205</v>
      </c>
      <c r="AA1161" s="289"/>
      <c r="AB1161" s="288" t="s">
        <v>4517</v>
      </c>
      <c r="AC1161" s="223" t="s">
        <v>946</v>
      </c>
      <c r="AD1161" s="299"/>
      <c r="AE1161" s="494">
        <v>45085</v>
      </c>
      <c r="AF1161" s="494">
        <v>45450</v>
      </c>
      <c r="AG1161" s="299"/>
      <c r="AH1161" s="299"/>
      <c r="AI1161" s="254" t="s">
        <v>1351</v>
      </c>
      <c r="AJ1161" s="303" t="s">
        <v>136</v>
      </c>
      <c r="AK1161" s="241">
        <v>4</v>
      </c>
      <c r="AL1161" s="123" t="s">
        <v>494</v>
      </c>
      <c r="AM1161" s="175" t="s">
        <v>492</v>
      </c>
      <c r="AN1161" s="110"/>
      <c r="AO1161" s="110"/>
      <c r="AP1161" s="115"/>
      <c r="AQ1161" s="115"/>
      <c r="AR1161" s="115"/>
      <c r="AS1161" s="115"/>
      <c r="AT1161" s="115"/>
    </row>
    <row r="1162" spans="1:46" ht="39" customHeight="1" x14ac:dyDescent="0.25">
      <c r="A1162" s="1468">
        <v>1161</v>
      </c>
      <c r="B1162" s="141">
        <v>2</v>
      </c>
      <c r="C1162" s="260" t="s">
        <v>325</v>
      </c>
      <c r="D1162" s="241"/>
      <c r="E1162" s="241"/>
      <c r="F1162" s="241"/>
      <c r="G1162" s="261" t="s">
        <v>324</v>
      </c>
      <c r="H1162" s="262" t="s">
        <v>87</v>
      </c>
      <c r="I1162" s="357"/>
      <c r="J1162" s="245" t="s">
        <v>561</v>
      </c>
      <c r="K1162" s="216"/>
      <c r="L1162" s="301" t="s">
        <v>1430</v>
      </c>
      <c r="M1162" s="281" t="s">
        <v>1684</v>
      </c>
      <c r="N1162" s="366"/>
      <c r="O1162" s="392" t="s">
        <v>2922</v>
      </c>
      <c r="P1162" s="374"/>
      <c r="Q1162" s="197" t="s">
        <v>87</v>
      </c>
      <c r="R1162" s="427" t="s">
        <v>1445</v>
      </c>
      <c r="S1162" s="279">
        <v>38039</v>
      </c>
      <c r="T1162" s="257"/>
      <c r="U1162" s="251" t="s">
        <v>54</v>
      </c>
      <c r="V1162" s="280" t="s">
        <v>3508</v>
      </c>
      <c r="W1162" s="197" t="s">
        <v>2039</v>
      </c>
      <c r="X1162" s="197" t="s">
        <v>475</v>
      </c>
      <c r="Y1162" s="1137" t="s">
        <v>3510</v>
      </c>
      <c r="Z1162" s="612">
        <v>45205</v>
      </c>
      <c r="AA1162" s="289"/>
      <c r="AB1162" s="288" t="s">
        <v>4502</v>
      </c>
      <c r="AC1162" s="223" t="s">
        <v>946</v>
      </c>
      <c r="AD1162" s="299"/>
      <c r="AE1162" s="494">
        <v>45098</v>
      </c>
      <c r="AF1162" s="494">
        <v>45463</v>
      </c>
      <c r="AG1162" s="299"/>
      <c r="AH1162" s="299"/>
      <c r="AI1162" s="296" t="s">
        <v>1351</v>
      </c>
      <c r="AJ1162" s="303" t="s">
        <v>136</v>
      </c>
      <c r="AK1162" s="241">
        <v>4</v>
      </c>
      <c r="AL1162" s="123" t="s">
        <v>494</v>
      </c>
      <c r="AM1162" s="175" t="s">
        <v>492</v>
      </c>
      <c r="AN1162" s="110"/>
      <c r="AO1162" s="110"/>
      <c r="AP1162" s="115"/>
      <c r="AQ1162" s="115"/>
      <c r="AR1162" s="115"/>
      <c r="AS1162" s="115"/>
      <c r="AT1162" s="115"/>
    </row>
    <row r="1163" spans="1:46" ht="39" customHeight="1" x14ac:dyDescent="0.25">
      <c r="A1163" s="1468">
        <v>1162</v>
      </c>
      <c r="B1163" s="117"/>
      <c r="C1163" s="324"/>
      <c r="D1163" s="664"/>
      <c r="E1163" s="664"/>
      <c r="F1163" s="664"/>
      <c r="G1163" s="227"/>
      <c r="H1163" s="228"/>
      <c r="I1163" s="228"/>
      <c r="J1163" s="229"/>
      <c r="K1163" s="227"/>
      <c r="L1163" s="229"/>
      <c r="M1163" s="229"/>
      <c r="N1163" s="229"/>
      <c r="O1163" s="216"/>
      <c r="P1163" s="230" t="s">
        <v>327</v>
      </c>
      <c r="Q1163" s="373"/>
      <c r="R1163" s="232"/>
      <c r="S1163" s="232"/>
      <c r="T1163" s="232"/>
      <c r="U1163" s="232"/>
      <c r="V1163" s="232"/>
      <c r="W1163" s="232"/>
      <c r="X1163" s="232"/>
      <c r="Y1163" s="232"/>
      <c r="Z1163" s="233"/>
      <c r="AA1163" s="234"/>
      <c r="AB1163" s="235"/>
      <c r="AC1163" s="236"/>
      <c r="AD1163" s="235"/>
      <c r="AE1163" s="494"/>
      <c r="AF1163" s="494"/>
      <c r="AG1163" s="664"/>
      <c r="AH1163" s="238"/>
      <c r="AI1163" s="239"/>
      <c r="AJ1163" s="303"/>
      <c r="AK1163" s="241"/>
      <c r="AL1163" s="122"/>
      <c r="AM1163" s="122"/>
      <c r="AN1163" s="113"/>
      <c r="AO1163" s="114"/>
      <c r="AP1163" s="115"/>
      <c r="AQ1163" s="115"/>
      <c r="AR1163" s="115"/>
      <c r="AS1163" s="115"/>
      <c r="AT1163" s="116"/>
    </row>
    <row r="1164" spans="1:46" ht="39" customHeight="1" x14ac:dyDescent="0.25">
      <c r="A1164" s="1468">
        <v>1163</v>
      </c>
      <c r="B1164" s="141">
        <v>1</v>
      </c>
      <c r="C1164" s="290" t="s">
        <v>288</v>
      </c>
      <c r="D1164" s="291"/>
      <c r="E1164" s="291" t="s">
        <v>47</v>
      </c>
      <c r="F1164" s="291"/>
      <c r="G1164" s="292" t="s">
        <v>289</v>
      </c>
      <c r="H1164" s="293" t="s">
        <v>132</v>
      </c>
      <c r="I1164" s="344">
        <v>144</v>
      </c>
      <c r="J1164" s="256">
        <v>403</v>
      </c>
      <c r="K1164" s="277"/>
      <c r="L1164" s="441" t="s">
        <v>1848</v>
      </c>
      <c r="M1164" s="441" t="s">
        <v>1848</v>
      </c>
      <c r="N1164" s="276"/>
      <c r="O1164" s="951" t="s">
        <v>1874</v>
      </c>
      <c r="P1164" s="484" t="s">
        <v>1828</v>
      </c>
      <c r="Q1164" s="485" t="s">
        <v>132</v>
      </c>
      <c r="R1164" s="998" t="s">
        <v>1873</v>
      </c>
      <c r="S1164" s="279">
        <v>29699</v>
      </c>
      <c r="T1164" s="443"/>
      <c r="U1164" s="251" t="s">
        <v>54</v>
      </c>
      <c r="V1164" s="250" t="s">
        <v>4628</v>
      </c>
      <c r="W1164" s="197" t="s">
        <v>1301</v>
      </c>
      <c r="X1164" s="197" t="s">
        <v>4629</v>
      </c>
      <c r="Y1164" s="197" t="s">
        <v>4630</v>
      </c>
      <c r="Z1164" s="252">
        <v>45239</v>
      </c>
      <c r="AA1164" s="252"/>
      <c r="AB1164" s="376"/>
      <c r="AC1164" s="223"/>
      <c r="AD1164" s="282"/>
      <c r="AE1164" s="252"/>
      <c r="AF1164" s="252"/>
      <c r="AG1164" s="241"/>
      <c r="AH1164" s="283"/>
      <c r="AI1164" s="296"/>
      <c r="AJ1164" s="348" t="s">
        <v>560</v>
      </c>
      <c r="AK1164" s="348">
        <v>3</v>
      </c>
      <c r="AL1164" s="123" t="s">
        <v>494</v>
      </c>
      <c r="AM1164" s="175" t="s">
        <v>492</v>
      </c>
      <c r="AN1164" s="138"/>
      <c r="AO1164" s="138"/>
      <c r="AP1164" s="115"/>
      <c r="AQ1164" s="149"/>
      <c r="AR1164" s="115"/>
      <c r="AS1164" s="115"/>
      <c r="AT1164" s="115"/>
    </row>
    <row r="1165" spans="1:46" ht="39" customHeight="1" x14ac:dyDescent="0.25">
      <c r="A1165" s="1468">
        <v>1164</v>
      </c>
      <c r="B1165" s="141">
        <v>3</v>
      </c>
      <c r="C1165" s="356" t="s">
        <v>290</v>
      </c>
      <c r="D1165" s="241" t="s">
        <v>134</v>
      </c>
      <c r="E1165" s="241"/>
      <c r="F1165" s="241"/>
      <c r="G1165" s="261" t="s">
        <v>291</v>
      </c>
      <c r="H1165" s="262" t="s">
        <v>85</v>
      </c>
      <c r="I1165" s="346"/>
      <c r="J1165" s="245" t="s">
        <v>556</v>
      </c>
      <c r="K1165" s="216"/>
      <c r="L1165" s="299" t="s">
        <v>1508</v>
      </c>
      <c r="M1165" s="299" t="s">
        <v>1708</v>
      </c>
      <c r="N1165" s="245"/>
      <c r="O1165" s="392" t="s">
        <v>2954</v>
      </c>
      <c r="P1165" s="627"/>
      <c r="Q1165" s="594" t="s">
        <v>293</v>
      </c>
      <c r="R1165" s="381" t="s">
        <v>1609</v>
      </c>
      <c r="S1165" s="279">
        <v>38329</v>
      </c>
      <c r="T1165" s="289"/>
      <c r="U1165" s="251" t="s">
        <v>54</v>
      </c>
      <c r="V1165" s="197" t="s">
        <v>1987</v>
      </c>
      <c r="W1165" s="197" t="s">
        <v>2039</v>
      </c>
      <c r="X1165" s="197" t="s">
        <v>57</v>
      </c>
      <c r="Y1165" s="147" t="s">
        <v>2040</v>
      </c>
      <c r="Z1165" s="246">
        <v>45147</v>
      </c>
      <c r="AA1165" s="281"/>
      <c r="AB1165" s="296" t="s">
        <v>4448</v>
      </c>
      <c r="AC1165" s="223" t="s">
        <v>566</v>
      </c>
      <c r="AD1165" s="245"/>
      <c r="AE1165" s="494">
        <v>45113</v>
      </c>
      <c r="AF1165" s="494">
        <v>45478</v>
      </c>
      <c r="AG1165" s="241"/>
      <c r="AH1165" s="253"/>
      <c r="AI1165" s="284" t="s">
        <v>1351</v>
      </c>
      <c r="AJ1165" s="303" t="s">
        <v>136</v>
      </c>
      <c r="AK1165" s="241">
        <v>4</v>
      </c>
      <c r="AL1165" s="123" t="s">
        <v>494</v>
      </c>
      <c r="AM1165" s="175" t="s">
        <v>492</v>
      </c>
      <c r="AN1165" s="110" t="s">
        <v>4184</v>
      </c>
      <c r="AO1165" s="138"/>
      <c r="AP1165" s="115"/>
      <c r="AQ1165" s="149"/>
      <c r="AR1165" s="115"/>
      <c r="AS1165" s="115"/>
      <c r="AT1165" s="115"/>
    </row>
    <row r="1166" spans="1:46" ht="39" customHeight="1" x14ac:dyDescent="0.25">
      <c r="A1166" s="1468">
        <v>1165</v>
      </c>
      <c r="B1166" s="141">
        <v>3</v>
      </c>
      <c r="C1166" s="358" t="s">
        <v>297</v>
      </c>
      <c r="D1166" s="241" t="s">
        <v>134</v>
      </c>
      <c r="E1166" s="241"/>
      <c r="F1166" s="241"/>
      <c r="G1166" s="261" t="s">
        <v>298</v>
      </c>
      <c r="H1166" s="262" t="s">
        <v>85</v>
      </c>
      <c r="I1166" s="346"/>
      <c r="J1166" s="245" t="s">
        <v>556</v>
      </c>
      <c r="K1166" s="216"/>
      <c r="L1166" s="441" t="s">
        <v>5916</v>
      </c>
      <c r="M1166" s="441" t="s">
        <v>5916</v>
      </c>
      <c r="N1166" s="276"/>
      <c r="O1166" s="951" t="s">
        <v>5990</v>
      </c>
      <c r="P1166" s="484"/>
      <c r="Q1166" s="485" t="s">
        <v>85</v>
      </c>
      <c r="R1166" s="998" t="s">
        <v>5989</v>
      </c>
      <c r="S1166" s="279">
        <v>35289</v>
      </c>
      <c r="T1166" s="257"/>
      <c r="U1166" s="197"/>
      <c r="V1166" s="280"/>
      <c r="W1166" s="197"/>
      <c r="X1166" s="197"/>
      <c r="Y1166" s="949"/>
      <c r="Z1166" s="612"/>
      <c r="AA1166" s="289"/>
      <c r="AB1166" s="288"/>
      <c r="AC1166" s="223"/>
      <c r="AD1166" s="299"/>
      <c r="AE1166" s="494"/>
      <c r="AF1166" s="494"/>
      <c r="AG1166" s="299"/>
      <c r="AH1166" s="299"/>
      <c r="AI1166" s="296"/>
      <c r="AJ1166" s="409" t="s">
        <v>560</v>
      </c>
      <c r="AK1166" s="241">
        <v>4</v>
      </c>
      <c r="AL1166" s="123" t="s">
        <v>494</v>
      </c>
      <c r="AM1166" s="175" t="s">
        <v>492</v>
      </c>
      <c r="AN1166" s="138"/>
      <c r="AO1166" s="138"/>
      <c r="AP1166" s="115"/>
      <c r="AQ1166" s="149"/>
      <c r="AR1166" s="115"/>
      <c r="AS1166" s="115"/>
      <c r="AT1166" s="116"/>
    </row>
    <row r="1167" spans="1:46" ht="39" customHeight="1" x14ac:dyDescent="0.25">
      <c r="A1167" s="1468">
        <v>1166</v>
      </c>
      <c r="B1167" s="141">
        <v>2</v>
      </c>
      <c r="C1167" s="260" t="s">
        <v>311</v>
      </c>
      <c r="D1167" s="241"/>
      <c r="E1167" s="241"/>
      <c r="F1167" s="241"/>
      <c r="G1167" s="261" t="s">
        <v>312</v>
      </c>
      <c r="H1167" s="262" t="s">
        <v>85</v>
      </c>
      <c r="I1167" s="346"/>
      <c r="J1167" s="245" t="s">
        <v>556</v>
      </c>
      <c r="K1167" s="216"/>
      <c r="L1167" s="281" t="s">
        <v>1681</v>
      </c>
      <c r="M1167" s="281" t="s">
        <v>1430</v>
      </c>
      <c r="N1167" s="366"/>
      <c r="O1167" s="1516" t="s">
        <v>3001</v>
      </c>
      <c r="P1167" s="247"/>
      <c r="Q1167" s="301" t="s">
        <v>87</v>
      </c>
      <c r="R1167" s="381" t="s">
        <v>1980</v>
      </c>
      <c r="S1167" s="279">
        <v>36030</v>
      </c>
      <c r="T1167" s="257"/>
      <c r="U1167" s="251" t="s">
        <v>54</v>
      </c>
      <c r="V1167" s="280" t="s">
        <v>3508</v>
      </c>
      <c r="W1167" s="197" t="s">
        <v>2039</v>
      </c>
      <c r="X1167" s="197" t="s">
        <v>475</v>
      </c>
      <c r="Y1167" s="949" t="s">
        <v>3510</v>
      </c>
      <c r="Z1167" s="612">
        <v>45205</v>
      </c>
      <c r="AA1167" s="289"/>
      <c r="AB1167" s="288" t="s">
        <v>4366</v>
      </c>
      <c r="AC1167" s="223" t="s">
        <v>209</v>
      </c>
      <c r="AD1167" s="299"/>
      <c r="AE1167" s="494">
        <v>45098</v>
      </c>
      <c r="AF1167" s="494">
        <v>45463</v>
      </c>
      <c r="AG1167" s="299"/>
      <c r="AH1167" s="299"/>
      <c r="AI1167" s="296" t="s">
        <v>1351</v>
      </c>
      <c r="AJ1167" s="303" t="s">
        <v>136</v>
      </c>
      <c r="AK1167" s="241">
        <v>4</v>
      </c>
      <c r="AL1167" s="123" t="s">
        <v>494</v>
      </c>
      <c r="AM1167" s="175" t="s">
        <v>492</v>
      </c>
      <c r="AN1167" s="138"/>
      <c r="AO1167" s="138"/>
      <c r="AP1167" s="115"/>
      <c r="AQ1167" s="149"/>
      <c r="AR1167" s="115"/>
      <c r="AS1167" s="115"/>
      <c r="AT1167" s="115"/>
    </row>
    <row r="1168" spans="1:46" ht="39" customHeight="1" x14ac:dyDescent="0.25">
      <c r="A1168" s="1468">
        <v>1167</v>
      </c>
      <c r="B1168" s="141">
        <v>2</v>
      </c>
      <c r="C1168" s="260" t="s">
        <v>317</v>
      </c>
      <c r="D1168" s="241"/>
      <c r="E1168" s="241"/>
      <c r="F1168" s="241"/>
      <c r="G1168" s="261" t="s">
        <v>318</v>
      </c>
      <c r="H1168" s="262" t="s">
        <v>87</v>
      </c>
      <c r="I1168" s="346"/>
      <c r="J1168" s="245" t="s">
        <v>561</v>
      </c>
      <c r="K1168" s="307"/>
      <c r="L1168" s="301" t="s">
        <v>1430</v>
      </c>
      <c r="M1168" s="281" t="s">
        <v>1684</v>
      </c>
      <c r="N1168" s="366"/>
      <c r="O1168" s="392" t="s">
        <v>2976</v>
      </c>
      <c r="P1168" s="304"/>
      <c r="Q1168" s="197" t="s">
        <v>85</v>
      </c>
      <c r="R1168" s="427" t="s">
        <v>1443</v>
      </c>
      <c r="S1168" s="279">
        <v>37769</v>
      </c>
      <c r="T1168" s="250"/>
      <c r="U1168" s="251" t="s">
        <v>54</v>
      </c>
      <c r="V1168" s="280" t="s">
        <v>3508</v>
      </c>
      <c r="W1168" s="197" t="s">
        <v>2039</v>
      </c>
      <c r="X1168" s="197" t="s">
        <v>475</v>
      </c>
      <c r="Y1168" s="949" t="s">
        <v>3510</v>
      </c>
      <c r="Z1168" s="612">
        <v>45205</v>
      </c>
      <c r="AA1168" s="289"/>
      <c r="AB1168" s="288" t="s">
        <v>4520</v>
      </c>
      <c r="AC1168" s="223" t="s">
        <v>946</v>
      </c>
      <c r="AD1168" s="299"/>
      <c r="AE1168" s="494">
        <v>45098</v>
      </c>
      <c r="AF1168" s="494">
        <v>45463</v>
      </c>
      <c r="AG1168" s="299"/>
      <c r="AH1168" s="299"/>
      <c r="AI1168" s="296" t="s">
        <v>1351</v>
      </c>
      <c r="AJ1168" s="303" t="s">
        <v>136</v>
      </c>
      <c r="AK1168" s="241">
        <v>4</v>
      </c>
      <c r="AL1168" s="123" t="s">
        <v>494</v>
      </c>
      <c r="AM1168" s="175" t="s">
        <v>492</v>
      </c>
      <c r="AN1168" s="138"/>
      <c r="AO1168" s="138"/>
      <c r="AP1168" s="115"/>
      <c r="AQ1168" s="149"/>
      <c r="AR1168" s="115"/>
      <c r="AS1168" s="115"/>
      <c r="AT1168" s="115"/>
    </row>
    <row r="1169" spans="1:46" ht="39" customHeight="1" x14ac:dyDescent="0.25">
      <c r="A1169" s="1468">
        <v>1168</v>
      </c>
      <c r="B1169" s="146">
        <v>2</v>
      </c>
      <c r="C1169" s="260" t="s">
        <v>319</v>
      </c>
      <c r="D1169" s="241"/>
      <c r="E1169" s="241"/>
      <c r="F1169" s="241"/>
      <c r="G1169" s="261" t="s">
        <v>320</v>
      </c>
      <c r="H1169" s="262" t="s">
        <v>87</v>
      </c>
      <c r="I1169" s="357"/>
      <c r="J1169" s="245" t="s">
        <v>561</v>
      </c>
      <c r="K1169" s="216"/>
      <c r="L1169" s="301" t="s">
        <v>2019</v>
      </c>
      <c r="M1169" s="301" t="s">
        <v>2019</v>
      </c>
      <c r="N1169" s="366"/>
      <c r="O1169" s="385" t="s">
        <v>2665</v>
      </c>
      <c r="P1169" s="484" t="s">
        <v>1828</v>
      </c>
      <c r="Q1169" s="344" t="s">
        <v>87</v>
      </c>
      <c r="R1169" s="982" t="s">
        <v>2664</v>
      </c>
      <c r="S1169" s="279">
        <v>36174</v>
      </c>
      <c r="T1169" s="250"/>
      <c r="U1169" s="251" t="s">
        <v>54</v>
      </c>
      <c r="V1169" s="250" t="s">
        <v>2793</v>
      </c>
      <c r="W1169" s="197" t="s">
        <v>56</v>
      </c>
      <c r="X1169" s="197" t="s">
        <v>57</v>
      </c>
      <c r="Y1169" s="197" t="s">
        <v>2609</v>
      </c>
      <c r="Z1169" s="246">
        <v>45145</v>
      </c>
      <c r="AA1169" s="246"/>
      <c r="AB1169" s="281"/>
      <c r="AC1169" s="223"/>
      <c r="AD1169" s="306"/>
      <c r="AE1169" s="306"/>
      <c r="AF1169" s="306"/>
      <c r="AG1169" s="301"/>
      <c r="AH1169" s="301"/>
      <c r="AI1169" s="254"/>
      <c r="AJ1169" s="348" t="s">
        <v>560</v>
      </c>
      <c r="AK1169" s="241">
        <v>4</v>
      </c>
      <c r="AL1169" s="123" t="s">
        <v>494</v>
      </c>
      <c r="AM1169" s="175" t="s">
        <v>492</v>
      </c>
      <c r="AN1169" s="110"/>
      <c r="AO1169" s="110"/>
      <c r="AP1169" s="115"/>
      <c r="AQ1169" s="115"/>
      <c r="AR1169" s="115"/>
      <c r="AS1169" s="115"/>
      <c r="AT1169" s="115"/>
    </row>
    <row r="1170" spans="1:46" ht="39" customHeight="1" x14ac:dyDescent="0.25">
      <c r="A1170" s="1468">
        <v>1169</v>
      </c>
      <c r="B1170" s="141">
        <v>2</v>
      </c>
      <c r="C1170" s="378" t="s">
        <v>321</v>
      </c>
      <c r="D1170" s="303"/>
      <c r="E1170" s="241"/>
      <c r="F1170" s="241"/>
      <c r="G1170" s="261" t="s">
        <v>322</v>
      </c>
      <c r="H1170" s="262" t="s">
        <v>87</v>
      </c>
      <c r="I1170" s="357"/>
      <c r="J1170" s="245" t="s">
        <v>561</v>
      </c>
      <c r="K1170" s="216"/>
      <c r="L1170" s="281" t="s">
        <v>3518</v>
      </c>
      <c r="M1170" s="281" t="s">
        <v>3518</v>
      </c>
      <c r="N1170" s="366"/>
      <c r="O1170" s="1488" t="s">
        <v>3548</v>
      </c>
      <c r="P1170" s="689"/>
      <c r="Q1170" s="373" t="s">
        <v>293</v>
      </c>
      <c r="R1170" s="982" t="s">
        <v>3547</v>
      </c>
      <c r="S1170" s="279">
        <v>36428</v>
      </c>
      <c r="T1170" s="257"/>
      <c r="U1170" s="251" t="s">
        <v>886</v>
      </c>
      <c r="V1170" s="250" t="s">
        <v>5935</v>
      </c>
      <c r="W1170" s="197" t="s">
        <v>886</v>
      </c>
      <c r="X1170" s="197" t="s">
        <v>886</v>
      </c>
      <c r="Y1170" s="949"/>
      <c r="Z1170" s="612">
        <v>45304</v>
      </c>
      <c r="AA1170" s="289"/>
      <c r="AB1170" s="299"/>
      <c r="AC1170" s="223"/>
      <c r="AD1170" s="299"/>
      <c r="AE1170" s="494"/>
      <c r="AF1170" s="494"/>
      <c r="AG1170" s="299"/>
      <c r="AH1170" s="299"/>
      <c r="AI1170" s="296"/>
      <c r="AJ1170" s="348" t="s">
        <v>560</v>
      </c>
      <c r="AK1170" s="241">
        <v>4</v>
      </c>
      <c r="AL1170" s="123" t="s">
        <v>494</v>
      </c>
      <c r="AM1170" s="175" t="s">
        <v>492</v>
      </c>
      <c r="AN1170" s="110"/>
      <c r="AO1170" s="152"/>
      <c r="AP1170" s="115"/>
      <c r="AQ1170" s="115"/>
      <c r="AR1170" s="115"/>
      <c r="AS1170" s="115"/>
      <c r="AT1170" s="116"/>
    </row>
    <row r="1171" spans="1:46" ht="39" customHeight="1" x14ac:dyDescent="0.25">
      <c r="A1171" s="1468">
        <v>1170</v>
      </c>
      <c r="B1171" s="141">
        <v>1</v>
      </c>
      <c r="C1171" s="378" t="s">
        <v>323</v>
      </c>
      <c r="D1171" s="303"/>
      <c r="E1171" s="241"/>
      <c r="F1171" s="241"/>
      <c r="G1171" s="261" t="s">
        <v>324</v>
      </c>
      <c r="H1171" s="262" t="s">
        <v>87</v>
      </c>
      <c r="I1171" s="364"/>
      <c r="J1171" s="245" t="s">
        <v>561</v>
      </c>
      <c r="K1171" s="216"/>
      <c r="L1171" s="281"/>
      <c r="M1171" s="281"/>
      <c r="N1171" s="366"/>
      <c r="O1171" s="392" t="s">
        <v>3507</v>
      </c>
      <c r="P1171" s="287" t="s">
        <v>1828</v>
      </c>
      <c r="Q1171" s="373" t="s">
        <v>87</v>
      </c>
      <c r="R1171" s="982" t="s">
        <v>3506</v>
      </c>
      <c r="S1171" s="279">
        <v>28148</v>
      </c>
      <c r="T1171" s="257"/>
      <c r="U1171" s="250"/>
      <c r="V1171" s="268"/>
      <c r="W1171" s="197"/>
      <c r="X1171" s="197"/>
      <c r="Y1171" s="1238"/>
      <c r="Z1171" s="405"/>
      <c r="AA1171" s="252"/>
      <c r="AB1171" s="299"/>
      <c r="AC1171" s="223"/>
      <c r="AD1171" s="299"/>
      <c r="AE1171" s="494"/>
      <c r="AF1171" s="494"/>
      <c r="AG1171" s="299"/>
      <c r="AH1171" s="299"/>
      <c r="AI1171" s="296"/>
      <c r="AJ1171" s="348" t="s">
        <v>560</v>
      </c>
      <c r="AK1171" s="241">
        <v>4</v>
      </c>
      <c r="AL1171" s="123" t="s">
        <v>494</v>
      </c>
      <c r="AM1171" s="175" t="s">
        <v>492</v>
      </c>
      <c r="AN1171" s="110"/>
      <c r="AO1171" s="110"/>
      <c r="AP1171" s="115"/>
      <c r="AQ1171" s="115"/>
      <c r="AR1171" s="115"/>
      <c r="AS1171" s="115"/>
      <c r="AT1171" s="115"/>
    </row>
    <row r="1172" spans="1:46" ht="39" customHeight="1" x14ac:dyDescent="0.25">
      <c r="A1172" s="1468">
        <v>1171</v>
      </c>
      <c r="B1172" s="141">
        <v>2</v>
      </c>
      <c r="C1172" s="503" t="s">
        <v>325</v>
      </c>
      <c r="D1172" s="471"/>
      <c r="E1172" s="471"/>
      <c r="F1172" s="471"/>
      <c r="G1172" s="472" t="s">
        <v>324</v>
      </c>
      <c r="H1172" s="1302" t="s">
        <v>87</v>
      </c>
      <c r="I1172" s="473"/>
      <c r="J1172" s="264" t="s">
        <v>561</v>
      </c>
      <c r="K1172" s="265"/>
      <c r="L1172" s="496"/>
      <c r="M1172" s="496"/>
      <c r="N1172" s="264"/>
      <c r="O1172" s="626" t="s">
        <v>3552</v>
      </c>
      <c r="P1172" s="429" t="s">
        <v>4016</v>
      </c>
      <c r="Q1172" s="786" t="s">
        <v>567</v>
      </c>
      <c r="R1172" s="834" t="s">
        <v>3551</v>
      </c>
      <c r="S1172" s="279">
        <v>30534</v>
      </c>
      <c r="T1172" s="440"/>
      <c r="U1172" s="250"/>
      <c r="V1172" s="414"/>
      <c r="W1172" s="268" t="s">
        <v>6059</v>
      </c>
      <c r="X1172" s="268" t="s">
        <v>2376</v>
      </c>
      <c r="Y1172" s="1352"/>
      <c r="Z1172" s="405"/>
      <c r="AA1172" s="438"/>
      <c r="AB1172" s="264"/>
      <c r="AC1172" s="474"/>
      <c r="AD1172" s="264"/>
      <c r="AE1172" s="494"/>
      <c r="AF1172" s="494"/>
      <c r="AG1172" s="471"/>
      <c r="AH1172" s="803"/>
      <c r="AI1172" s="1353"/>
      <c r="AJ1172" s="743" t="s">
        <v>560</v>
      </c>
      <c r="AK1172" s="471">
        <v>4</v>
      </c>
      <c r="AL1172" s="176" t="s">
        <v>494</v>
      </c>
      <c r="AM1172" s="810" t="s">
        <v>492</v>
      </c>
      <c r="AN1172" s="110"/>
      <c r="AO1172" s="179"/>
      <c r="AP1172" s="115"/>
      <c r="AQ1172" s="115"/>
      <c r="AR1172" s="115"/>
      <c r="AS1172" s="115"/>
      <c r="AT1172" s="115"/>
    </row>
    <row r="1173" spans="1:46" ht="39" customHeight="1" x14ac:dyDescent="0.25">
      <c r="A1173" s="1468">
        <v>1172</v>
      </c>
      <c r="B1173" s="987"/>
      <c r="C1173" s="989"/>
      <c r="D1173" s="664"/>
      <c r="E1173" s="664"/>
      <c r="F1173" s="664"/>
      <c r="G1173" s="227"/>
      <c r="H1173" s="228"/>
      <c r="I1173" s="228"/>
      <c r="J1173" s="229"/>
      <c r="K1173" s="227"/>
      <c r="L1173" s="229"/>
      <c r="M1173" s="229"/>
      <c r="N1173" s="229"/>
      <c r="O1173" s="309"/>
      <c r="P1173" s="230" t="s">
        <v>495</v>
      </c>
      <c r="Q1173" s="726"/>
      <c r="R1173" s="232"/>
      <c r="S1173" s="232"/>
      <c r="T1173" s="232"/>
      <c r="U1173" s="232"/>
      <c r="V1173" s="232"/>
      <c r="W1173" s="232"/>
      <c r="X1173" s="232"/>
      <c r="Y1173" s="232"/>
      <c r="Z1173" s="233"/>
      <c r="AA1173" s="234"/>
      <c r="AB1173" s="235"/>
      <c r="AC1173" s="236"/>
      <c r="AD1173" s="235"/>
      <c r="AE1173" s="494"/>
      <c r="AF1173" s="494"/>
      <c r="AG1173" s="664"/>
      <c r="AH1173" s="238"/>
      <c r="AI1173" s="239"/>
      <c r="AJ1173" s="576"/>
      <c r="AK1173" s="664"/>
      <c r="AL1173" s="113"/>
      <c r="AM1173" s="113"/>
      <c r="AN1173" s="113"/>
      <c r="AO1173" s="114"/>
      <c r="AP1173" s="115"/>
      <c r="AQ1173" s="115"/>
      <c r="AR1173" s="115"/>
      <c r="AS1173" s="115"/>
      <c r="AT1173" s="116"/>
    </row>
    <row r="1174" spans="1:46" ht="39" customHeight="1" x14ac:dyDescent="0.25">
      <c r="A1174" s="1468">
        <v>1173</v>
      </c>
      <c r="B1174" s="141" t="s">
        <v>276</v>
      </c>
      <c r="C1174" s="793" t="s">
        <v>277</v>
      </c>
      <c r="D1174" s="442"/>
      <c r="E1174" s="442" t="s">
        <v>47</v>
      </c>
      <c r="F1174" s="442"/>
      <c r="G1174" s="757" t="s">
        <v>91</v>
      </c>
      <c r="H1174" s="758" t="s">
        <v>78</v>
      </c>
      <c r="I1174" s="733"/>
      <c r="J1174" s="276">
        <v>300</v>
      </c>
      <c r="K1174" s="280" t="s">
        <v>50</v>
      </c>
      <c r="L1174" s="277" t="s">
        <v>1526</v>
      </c>
      <c r="M1174" s="277" t="s">
        <v>1526</v>
      </c>
      <c r="N1174" s="276"/>
      <c r="O1174" s="277" t="s">
        <v>1525</v>
      </c>
      <c r="P1174" s="708"/>
      <c r="Q1174" s="978" t="s">
        <v>78</v>
      </c>
      <c r="R1174" s="995" t="s">
        <v>1524</v>
      </c>
      <c r="S1174" s="279">
        <v>30382</v>
      </c>
      <c r="T1174" s="280"/>
      <c r="U1174" s="250"/>
      <c r="V1174" s="280"/>
      <c r="W1174" s="443" t="s">
        <v>5719</v>
      </c>
      <c r="X1174" s="280"/>
      <c r="Y1174" s="280"/>
      <c r="Z1174" s="486"/>
      <c r="AA1174" s="280"/>
      <c r="AB1174" s="487"/>
      <c r="AC1174" s="488"/>
      <c r="AD1174" s="487"/>
      <c r="AE1174" s="494"/>
      <c r="AF1174" s="494"/>
      <c r="AG1174" s="476"/>
      <c r="AH1174" s="489"/>
      <c r="AI1174" s="712"/>
      <c r="AJ1174" s="755" t="s">
        <v>62</v>
      </c>
      <c r="AK1174" s="442">
        <v>1</v>
      </c>
      <c r="AL1174" s="175" t="s">
        <v>496</v>
      </c>
      <c r="AM1174" s="175" t="s">
        <v>492</v>
      </c>
      <c r="AN1174" s="124"/>
      <c r="AO1174" s="798"/>
      <c r="AP1174" s="115"/>
      <c r="AQ1174" s="115"/>
      <c r="AR1174" s="115"/>
      <c r="AS1174" s="115"/>
      <c r="AT1174" s="115"/>
    </row>
    <row r="1175" spans="1:46" ht="39" customHeight="1" x14ac:dyDescent="0.25">
      <c r="A1175" s="1468">
        <v>1174</v>
      </c>
      <c r="B1175" s="141">
        <v>12</v>
      </c>
      <c r="C1175" s="240" t="s">
        <v>279</v>
      </c>
      <c r="D1175" s="242"/>
      <c r="E1175" s="242" t="s">
        <v>47</v>
      </c>
      <c r="F1175" s="242"/>
      <c r="G1175" s="243" t="s">
        <v>280</v>
      </c>
      <c r="H1175" s="244" t="s">
        <v>83</v>
      </c>
      <c r="I1175" s="340"/>
      <c r="J1175" s="245">
        <v>302</v>
      </c>
      <c r="K1175" s="277" t="s">
        <v>313</v>
      </c>
      <c r="L1175" s="441" t="s">
        <v>1234</v>
      </c>
      <c r="M1175" s="281" t="s">
        <v>4620</v>
      </c>
      <c r="N1175" s="443"/>
      <c r="O1175" s="277" t="s">
        <v>1235</v>
      </c>
      <c r="P1175" s="887"/>
      <c r="Q1175" s="338" t="s">
        <v>2053</v>
      </c>
      <c r="R1175" s="249" t="s">
        <v>1236</v>
      </c>
      <c r="S1175" s="279">
        <v>36617</v>
      </c>
      <c r="T1175" s="443"/>
      <c r="U1175" s="197"/>
      <c r="V1175" s="197"/>
      <c r="W1175" s="250"/>
      <c r="X1175" s="250"/>
      <c r="Y1175" s="981"/>
      <c r="Z1175" s="246"/>
      <c r="AA1175" s="486"/>
      <c r="AB1175" s="487"/>
      <c r="AC1175" s="488" t="s">
        <v>946</v>
      </c>
      <c r="AD1175" s="441"/>
      <c r="AE1175" s="494">
        <v>44381</v>
      </c>
      <c r="AF1175" s="494">
        <v>44745</v>
      </c>
      <c r="AG1175" s="476" t="s">
        <v>61</v>
      </c>
      <c r="AH1175" s="489"/>
      <c r="AI1175" s="760"/>
      <c r="AJ1175" s="755" t="s">
        <v>62</v>
      </c>
      <c r="AK1175" s="242">
        <v>1</v>
      </c>
      <c r="AL1175" s="123" t="s">
        <v>496</v>
      </c>
      <c r="AM1175" s="175" t="s">
        <v>492</v>
      </c>
      <c r="AN1175" s="124"/>
      <c r="AO1175" s="124"/>
      <c r="AP1175" s="115"/>
      <c r="AQ1175" s="115"/>
      <c r="AR1175" s="115"/>
      <c r="AS1175" s="115"/>
      <c r="AT1175" s="115"/>
    </row>
    <row r="1176" spans="1:46" ht="39" customHeight="1" x14ac:dyDescent="0.25">
      <c r="A1176" s="1468">
        <v>1175</v>
      </c>
      <c r="B1176" s="142">
        <v>9</v>
      </c>
      <c r="C1176" s="311" t="s">
        <v>281</v>
      </c>
      <c r="D1176" s="241"/>
      <c r="E1176" s="312" t="s">
        <v>47</v>
      </c>
      <c r="F1176" s="241"/>
      <c r="G1176" s="313" t="s">
        <v>282</v>
      </c>
      <c r="H1176" s="314" t="s">
        <v>283</v>
      </c>
      <c r="I1176" s="350"/>
      <c r="J1176" s="281">
        <v>410</v>
      </c>
      <c r="K1176" s="216"/>
      <c r="L1176" s="216" t="s">
        <v>2050</v>
      </c>
      <c r="M1176" s="216" t="s">
        <v>2050</v>
      </c>
      <c r="N1176" s="245"/>
      <c r="O1176" s="1524" t="s">
        <v>2049</v>
      </c>
      <c r="P1176" s="287" t="s">
        <v>1828</v>
      </c>
      <c r="Q1176" s="317" t="s">
        <v>2059</v>
      </c>
      <c r="R1176" s="1170" t="s">
        <v>2048</v>
      </c>
      <c r="S1176" s="279">
        <v>27895</v>
      </c>
      <c r="T1176" s="197"/>
      <c r="U1176" s="250"/>
      <c r="V1176" s="280"/>
      <c r="W1176" s="306"/>
      <c r="X1176" s="280"/>
      <c r="Y1176" s="1127"/>
      <c r="Z1176" s="486"/>
      <c r="AA1176" s="246"/>
      <c r="AB1176" s="282"/>
      <c r="AC1176" s="223"/>
      <c r="AD1176" s="282"/>
      <c r="AE1176" s="494"/>
      <c r="AF1176" s="494"/>
      <c r="AG1176" s="241"/>
      <c r="AH1176" s="283"/>
      <c r="AI1176" s="296"/>
      <c r="AJ1176" s="317" t="s">
        <v>47</v>
      </c>
      <c r="AK1176" s="312">
        <v>2</v>
      </c>
      <c r="AL1176" s="123" t="s">
        <v>496</v>
      </c>
      <c r="AM1176" s="175" t="s">
        <v>492</v>
      </c>
      <c r="AN1176" s="133"/>
      <c r="AO1176" s="133"/>
      <c r="AP1176" s="115"/>
      <c r="AQ1176" s="115"/>
      <c r="AR1176" s="115"/>
      <c r="AS1176" s="115"/>
      <c r="AT1176" s="115"/>
    </row>
    <row r="1177" spans="1:46" ht="39" customHeight="1" x14ac:dyDescent="0.25">
      <c r="A1177" s="1468">
        <v>1176</v>
      </c>
      <c r="B1177" s="142">
        <v>9</v>
      </c>
      <c r="C1177" s="311" t="s">
        <v>284</v>
      </c>
      <c r="D1177" s="241"/>
      <c r="E1177" s="312" t="s">
        <v>47</v>
      </c>
      <c r="F1177" s="241"/>
      <c r="G1177" s="313" t="s">
        <v>285</v>
      </c>
      <c r="H1177" s="314" t="s">
        <v>283</v>
      </c>
      <c r="I1177" s="350"/>
      <c r="J1177" s="281">
        <v>410</v>
      </c>
      <c r="K1177" s="216" t="s">
        <v>158</v>
      </c>
      <c r="L1177" s="282" t="s">
        <v>1390</v>
      </c>
      <c r="M1177" s="282" t="s">
        <v>1390</v>
      </c>
      <c r="N1177" s="245"/>
      <c r="O1177" s="216" t="s">
        <v>1391</v>
      </c>
      <c r="P1177" s="247"/>
      <c r="Q1177" s="353" t="s">
        <v>153</v>
      </c>
      <c r="R1177" s="1140" t="s">
        <v>3286</v>
      </c>
      <c r="S1177" s="279">
        <v>35137</v>
      </c>
      <c r="T1177" s="250"/>
      <c r="U1177" s="251" t="s">
        <v>54</v>
      </c>
      <c r="V1177" s="197" t="s">
        <v>101</v>
      </c>
      <c r="W1177" s="197" t="s">
        <v>70</v>
      </c>
      <c r="X1177" s="197"/>
      <c r="Y1177" s="197" t="s">
        <v>1220</v>
      </c>
      <c r="Z1177" s="246">
        <v>44991</v>
      </c>
      <c r="AA1177" s="246"/>
      <c r="AB1177" s="282"/>
      <c r="AC1177" s="223" t="s">
        <v>946</v>
      </c>
      <c r="AD1177" s="281"/>
      <c r="AE1177" s="494">
        <v>44058</v>
      </c>
      <c r="AF1177" s="494">
        <v>45152</v>
      </c>
      <c r="AG1177" s="241" t="s">
        <v>61</v>
      </c>
      <c r="AH1177" s="283"/>
      <c r="AI1177" s="296"/>
      <c r="AJ1177" s="317" t="s">
        <v>47</v>
      </c>
      <c r="AK1177" s="312">
        <v>2</v>
      </c>
      <c r="AL1177" s="123" t="s">
        <v>496</v>
      </c>
      <c r="AM1177" s="175" t="s">
        <v>492</v>
      </c>
      <c r="AN1177" s="133"/>
      <c r="AO1177" s="133"/>
      <c r="AP1177" s="115"/>
      <c r="AQ1177" s="115"/>
      <c r="AR1177" s="115"/>
      <c r="AS1177" s="115"/>
      <c r="AT1177" s="115"/>
    </row>
    <row r="1178" spans="1:46" ht="39" customHeight="1" x14ac:dyDescent="0.25">
      <c r="A1178" s="1468">
        <v>1177</v>
      </c>
      <c r="B1178" s="142">
        <v>6</v>
      </c>
      <c r="C1178" s="311" t="s">
        <v>286</v>
      </c>
      <c r="D1178" s="241"/>
      <c r="E1178" s="312" t="s">
        <v>47</v>
      </c>
      <c r="F1178" s="241"/>
      <c r="G1178" s="313" t="s">
        <v>287</v>
      </c>
      <c r="H1178" s="314" t="s">
        <v>153</v>
      </c>
      <c r="I1178" s="350"/>
      <c r="J1178" s="256">
        <v>400</v>
      </c>
      <c r="K1178" s="216"/>
      <c r="L1178" s="281"/>
      <c r="M1178" s="281"/>
      <c r="N1178" s="281"/>
      <c r="O1178" s="216"/>
      <c r="P1178" s="287"/>
      <c r="Q1178" s="373"/>
      <c r="R1178" s="683" t="s">
        <v>66</v>
      </c>
      <c r="S1178" s="279"/>
      <c r="T1178" s="250"/>
      <c r="U1178" s="250"/>
      <c r="V1178" s="246"/>
      <c r="W1178" s="246"/>
      <c r="X1178" s="246"/>
      <c r="Y1178" s="246"/>
      <c r="Z1178" s="246"/>
      <c r="AA1178" s="246"/>
      <c r="AB1178" s="282"/>
      <c r="AC1178" s="223"/>
      <c r="AD1178" s="282"/>
      <c r="AE1178" s="494"/>
      <c r="AF1178" s="494"/>
      <c r="AG1178" s="241"/>
      <c r="AH1178" s="282"/>
      <c r="AI1178" s="284"/>
      <c r="AJ1178" s="303"/>
      <c r="AK1178" s="312">
        <v>2</v>
      </c>
      <c r="AL1178" s="123" t="s">
        <v>496</v>
      </c>
      <c r="AM1178" s="175" t="s">
        <v>492</v>
      </c>
      <c r="AN1178" s="133"/>
      <c r="AO1178" s="133"/>
      <c r="AP1178" s="115"/>
      <c r="AQ1178" s="115"/>
      <c r="AR1178" s="115"/>
      <c r="AS1178" s="115"/>
      <c r="AT1178" s="115"/>
    </row>
    <row r="1179" spans="1:46" ht="39" customHeight="1" x14ac:dyDescent="0.25">
      <c r="A1179" s="1468">
        <v>1178</v>
      </c>
      <c r="B1179" s="141">
        <v>5</v>
      </c>
      <c r="C1179" s="290" t="s">
        <v>288</v>
      </c>
      <c r="D1179" s="291"/>
      <c r="E1179" s="291" t="s">
        <v>47</v>
      </c>
      <c r="F1179" s="291"/>
      <c r="G1179" s="292" t="s">
        <v>289</v>
      </c>
      <c r="H1179" s="293" t="s">
        <v>132</v>
      </c>
      <c r="I1179" s="344">
        <v>144</v>
      </c>
      <c r="J1179" s="256">
        <v>403</v>
      </c>
      <c r="K1179" s="216"/>
      <c r="L1179" s="216"/>
      <c r="M1179" s="216"/>
      <c r="N1179" s="411"/>
      <c r="O1179" s="216"/>
      <c r="P1179" s="372"/>
      <c r="Q1179" s="373"/>
      <c r="R1179" s="683" t="s">
        <v>66</v>
      </c>
      <c r="S1179" s="279"/>
      <c r="T1179" s="197"/>
      <c r="U1179" s="250"/>
      <c r="V1179" s="197"/>
      <c r="W1179" s="197"/>
      <c r="X1179" s="197"/>
      <c r="Y1179" s="197"/>
      <c r="Z1179" s="246"/>
      <c r="AA1179" s="252"/>
      <c r="AB1179" s="282"/>
      <c r="AC1179" s="223"/>
      <c r="AD1179" s="282"/>
      <c r="AE1179" s="494"/>
      <c r="AF1179" s="494"/>
      <c r="AG1179" s="241"/>
      <c r="AH1179" s="283"/>
      <c r="AI1179" s="296"/>
      <c r="AJ1179" s="348"/>
      <c r="AK1179" s="348">
        <v>3</v>
      </c>
      <c r="AL1179" s="123" t="s">
        <v>496</v>
      </c>
      <c r="AM1179" s="175" t="s">
        <v>492</v>
      </c>
      <c r="AN1179" s="130"/>
      <c r="AO1179" s="130"/>
      <c r="AP1179" s="115"/>
      <c r="AQ1179" s="115"/>
      <c r="AR1179" s="115"/>
      <c r="AS1179" s="115"/>
      <c r="AT1179" s="115"/>
    </row>
    <row r="1180" spans="1:46" ht="39" customHeight="1" x14ac:dyDescent="0.25">
      <c r="A1180" s="1468">
        <v>1179</v>
      </c>
      <c r="B1180" s="141">
        <v>3</v>
      </c>
      <c r="C1180" s="356" t="s">
        <v>290</v>
      </c>
      <c r="D1180" s="241" t="s">
        <v>134</v>
      </c>
      <c r="E1180" s="241"/>
      <c r="F1180" s="241"/>
      <c r="G1180" s="261" t="s">
        <v>291</v>
      </c>
      <c r="H1180" s="262" t="s">
        <v>85</v>
      </c>
      <c r="I1180" s="364"/>
      <c r="J1180" s="245" t="s">
        <v>556</v>
      </c>
      <c r="K1180" s="197"/>
      <c r="L1180" s="197" t="s">
        <v>3969</v>
      </c>
      <c r="M1180" s="197" t="s">
        <v>3969</v>
      </c>
      <c r="N1180" s="374"/>
      <c r="O1180" s="216" t="s">
        <v>2118</v>
      </c>
      <c r="P1180" s="294"/>
      <c r="Q1180" s="344" t="s">
        <v>567</v>
      </c>
      <c r="R1180" s="982" t="s">
        <v>2117</v>
      </c>
      <c r="S1180" s="279">
        <v>37384</v>
      </c>
      <c r="T1180" s="257"/>
      <c r="U1180" s="251" t="s">
        <v>391</v>
      </c>
      <c r="V1180" s="250" t="s">
        <v>6131</v>
      </c>
      <c r="W1180" s="197" t="s">
        <v>5831</v>
      </c>
      <c r="X1180" s="289" t="s">
        <v>2002</v>
      </c>
      <c r="Y1180" s="288" t="s">
        <v>6132</v>
      </c>
      <c r="Z1180" s="252">
        <v>45321</v>
      </c>
      <c r="AA1180" s="252"/>
      <c r="AB1180" s="257"/>
      <c r="AC1180" s="223"/>
      <c r="AD1180" s="288"/>
      <c r="AE1180" s="494"/>
      <c r="AF1180" s="494"/>
      <c r="AG1180" s="241"/>
      <c r="AH1180" s="389"/>
      <c r="AI1180" s="254"/>
      <c r="AJ1180" s="348" t="s">
        <v>560</v>
      </c>
      <c r="AK1180" s="241">
        <v>4</v>
      </c>
      <c r="AL1180" s="123" t="s">
        <v>496</v>
      </c>
      <c r="AM1180" s="175" t="s">
        <v>492</v>
      </c>
      <c r="AN1180" s="110" t="s">
        <v>4184</v>
      </c>
      <c r="AO1180" s="110"/>
      <c r="AP1180" s="115"/>
      <c r="AQ1180" s="115"/>
      <c r="AR1180" s="115"/>
      <c r="AS1180" s="115"/>
      <c r="AT1180" s="115"/>
    </row>
    <row r="1181" spans="1:46" ht="39" customHeight="1" x14ac:dyDescent="0.25">
      <c r="A1181" s="1468">
        <v>1180</v>
      </c>
      <c r="B1181" s="141">
        <v>3</v>
      </c>
      <c r="C1181" s="358" t="s">
        <v>297</v>
      </c>
      <c r="D1181" s="241" t="s">
        <v>134</v>
      </c>
      <c r="E1181" s="241"/>
      <c r="F1181" s="241"/>
      <c r="G1181" s="261" t="s">
        <v>298</v>
      </c>
      <c r="H1181" s="262" t="s">
        <v>85</v>
      </c>
      <c r="I1181" s="357"/>
      <c r="J1181" s="245" t="s">
        <v>556</v>
      </c>
      <c r="K1181" s="216"/>
      <c r="L1181" s="197" t="s">
        <v>5916</v>
      </c>
      <c r="M1181" s="197" t="s">
        <v>5916</v>
      </c>
      <c r="N1181" s="374"/>
      <c r="O1181" s="216" t="s">
        <v>5988</v>
      </c>
      <c r="P1181" s="294"/>
      <c r="Q1181" s="344" t="s">
        <v>132</v>
      </c>
      <c r="R1181" s="982" t="s">
        <v>5987</v>
      </c>
      <c r="S1181" s="279">
        <v>28819</v>
      </c>
      <c r="T1181" s="289"/>
      <c r="U1181" s="250"/>
      <c r="V1181" s="250"/>
      <c r="W1181" s="197"/>
      <c r="X1181" s="289"/>
      <c r="Y1181" s="949"/>
      <c r="Z1181" s="246"/>
      <c r="AA1181" s="281"/>
      <c r="AB1181" s="288"/>
      <c r="AC1181" s="223"/>
      <c r="AD1181" s="245"/>
      <c r="AE1181" s="494"/>
      <c r="AF1181" s="494"/>
      <c r="AG1181" s="241"/>
      <c r="AH1181" s="253"/>
      <c r="AI1181" s="712"/>
      <c r="AJ1181" s="348" t="s">
        <v>560</v>
      </c>
      <c r="AK1181" s="241">
        <v>4</v>
      </c>
      <c r="AL1181" s="123" t="s">
        <v>496</v>
      </c>
      <c r="AM1181" s="175" t="s">
        <v>492</v>
      </c>
      <c r="AN1181" s="110"/>
      <c r="AO1181" s="110"/>
      <c r="AP1181" s="115"/>
      <c r="AQ1181" s="115"/>
      <c r="AR1181" s="115"/>
      <c r="AS1181" s="115"/>
      <c r="AT1181" s="116"/>
    </row>
    <row r="1182" spans="1:46" ht="39" customHeight="1" x14ac:dyDescent="0.25">
      <c r="A1182" s="1468">
        <v>1181</v>
      </c>
      <c r="B1182" s="141">
        <v>2</v>
      </c>
      <c r="C1182" s="260" t="s">
        <v>299</v>
      </c>
      <c r="D1182" s="241"/>
      <c r="E1182" s="241"/>
      <c r="F1182" s="241"/>
      <c r="G1182" s="261" t="s">
        <v>300</v>
      </c>
      <c r="H1182" s="262" t="s">
        <v>87</v>
      </c>
      <c r="I1182" s="357"/>
      <c r="J1182" s="245" t="s">
        <v>561</v>
      </c>
      <c r="K1182" s="595"/>
      <c r="L1182" s="288" t="s">
        <v>5144</v>
      </c>
      <c r="M1182" s="288" t="s">
        <v>5144</v>
      </c>
      <c r="N1182" s="366"/>
      <c r="O1182" s="1423" t="s">
        <v>5246</v>
      </c>
      <c r="P1182" s="402"/>
      <c r="Q1182" s="380" t="s">
        <v>87</v>
      </c>
      <c r="R1182" s="1003" t="s">
        <v>5200</v>
      </c>
      <c r="S1182" s="279">
        <v>38571</v>
      </c>
      <c r="T1182" s="268"/>
      <c r="U1182" s="1487" t="s">
        <v>54</v>
      </c>
      <c r="V1182" s="264" t="s">
        <v>6155</v>
      </c>
      <c r="W1182" s="414" t="s">
        <v>4615</v>
      </c>
      <c r="X1182" s="268" t="s">
        <v>6157</v>
      </c>
      <c r="Y1182" s="1108" t="s">
        <v>6156</v>
      </c>
      <c r="Z1182" s="405">
        <v>45323</v>
      </c>
      <c r="AA1182" s="246"/>
      <c r="AB1182" s="288" t="s">
        <v>5287</v>
      </c>
      <c r="AC1182" s="223" t="s">
        <v>946</v>
      </c>
      <c r="AD1182" s="245" t="s">
        <v>467</v>
      </c>
      <c r="AE1182" s="494">
        <v>45257</v>
      </c>
      <c r="AF1182" s="494">
        <v>45622</v>
      </c>
      <c r="AG1182" s="241"/>
      <c r="AH1182" s="283"/>
      <c r="AI1182" s="296" t="s">
        <v>4208</v>
      </c>
      <c r="AJ1182" s="303" t="s">
        <v>136</v>
      </c>
      <c r="AK1182" s="241">
        <v>4</v>
      </c>
      <c r="AL1182" s="123" t="s">
        <v>496</v>
      </c>
      <c r="AM1182" s="175" t="s">
        <v>492</v>
      </c>
      <c r="AN1182" s="110"/>
      <c r="AO1182" s="110"/>
      <c r="AP1182" s="115"/>
      <c r="AQ1182" s="115"/>
      <c r="AR1182" s="115"/>
      <c r="AS1182" s="115"/>
      <c r="AT1182" s="115"/>
    </row>
    <row r="1183" spans="1:46" ht="39" customHeight="1" x14ac:dyDescent="0.25">
      <c r="A1183" s="1468">
        <v>1182</v>
      </c>
      <c r="B1183" s="141">
        <v>2</v>
      </c>
      <c r="C1183" s="260" t="s">
        <v>86</v>
      </c>
      <c r="D1183" s="241"/>
      <c r="E1183" s="241"/>
      <c r="F1183" s="241"/>
      <c r="G1183" s="261" t="s">
        <v>303</v>
      </c>
      <c r="H1183" s="262" t="s">
        <v>87</v>
      </c>
      <c r="I1183" s="357"/>
      <c r="J1183" s="245" t="s">
        <v>561</v>
      </c>
      <c r="K1183" s="684"/>
      <c r="L1183" s="288" t="s">
        <v>5415</v>
      </c>
      <c r="M1183" s="288" t="s">
        <v>5415</v>
      </c>
      <c r="N1183" s="684"/>
      <c r="O1183" s="392" t="s">
        <v>5478</v>
      </c>
      <c r="P1183" s="684"/>
      <c r="Q1183" s="1414" t="s">
        <v>87</v>
      </c>
      <c r="R1183" s="1201" t="s">
        <v>5476</v>
      </c>
      <c r="S1183" s="279">
        <v>38241</v>
      </c>
      <c r="T1183" s="1511"/>
      <c r="U1183" s="197"/>
      <c r="V1183" s="299"/>
      <c r="W1183" s="121"/>
      <c r="X1183" s="197"/>
      <c r="Y1183" s="121"/>
      <c r="Z1183" s="246"/>
      <c r="AA1183" s="684"/>
      <c r="AB1183" s="288" t="s">
        <v>5477</v>
      </c>
      <c r="AC1183" s="684"/>
      <c r="AD1183" s="686"/>
      <c r="AE1183" s="494">
        <v>45261</v>
      </c>
      <c r="AF1183" s="494">
        <v>45626</v>
      </c>
      <c r="AG1183" s="684"/>
      <c r="AH1183" s="684"/>
      <c r="AI1183" s="307" t="s">
        <v>4208</v>
      </c>
      <c r="AJ1183" s="303" t="s">
        <v>136</v>
      </c>
      <c r="AK1183" s="241">
        <v>4</v>
      </c>
      <c r="AL1183" s="123" t="s">
        <v>496</v>
      </c>
      <c r="AM1183" s="175" t="s">
        <v>492</v>
      </c>
      <c r="AN1183" s="179"/>
      <c r="AO1183" s="110"/>
      <c r="AP1183" s="115"/>
      <c r="AQ1183" s="115"/>
      <c r="AR1183" s="115"/>
      <c r="AS1183" s="115"/>
      <c r="AT1183" s="115"/>
    </row>
    <row r="1184" spans="1:46" ht="39" customHeight="1" x14ac:dyDescent="0.25">
      <c r="A1184" s="1468">
        <v>1183</v>
      </c>
      <c r="B1184" s="117"/>
      <c r="C1184" s="324"/>
      <c r="D1184" s="664"/>
      <c r="E1184" s="664"/>
      <c r="F1184" s="664"/>
      <c r="G1184" s="227"/>
      <c r="H1184" s="228"/>
      <c r="I1184" s="228"/>
      <c r="J1184" s="229"/>
      <c r="K1184" s="227"/>
      <c r="L1184" s="229"/>
      <c r="M1184" s="229"/>
      <c r="N1184" s="229"/>
      <c r="O1184" s="216"/>
      <c r="P1184" s="230" t="s">
        <v>304</v>
      </c>
      <c r="Q1184" s="373"/>
      <c r="R1184" s="232"/>
      <c r="S1184" s="232"/>
      <c r="T1184" s="232"/>
      <c r="U1184" s="232"/>
      <c r="V1184" s="232"/>
      <c r="W1184" s="232"/>
      <c r="X1184" s="232"/>
      <c r="Y1184" s="232"/>
      <c r="Z1184" s="233"/>
      <c r="AA1184" s="234"/>
      <c r="AB1184" s="235"/>
      <c r="AC1184" s="236"/>
      <c r="AD1184" s="235"/>
      <c r="AE1184" s="494"/>
      <c r="AF1184" s="494"/>
      <c r="AG1184" s="664"/>
      <c r="AH1184" s="238"/>
      <c r="AI1184" s="239"/>
      <c r="AJ1184" s="303"/>
      <c r="AK1184" s="241"/>
      <c r="AL1184" s="122"/>
      <c r="AM1184" s="122"/>
      <c r="AN1184" s="113"/>
      <c r="AO1184" s="114"/>
      <c r="AP1184" s="115"/>
      <c r="AQ1184" s="115"/>
      <c r="AR1184" s="115"/>
      <c r="AS1184" s="115"/>
      <c r="AT1184" s="116"/>
    </row>
    <row r="1185" spans="1:46" ht="39" customHeight="1" x14ac:dyDescent="0.25">
      <c r="A1185" s="1468">
        <v>1184</v>
      </c>
      <c r="B1185" s="154">
        <v>10</v>
      </c>
      <c r="C1185" s="423" t="s">
        <v>305</v>
      </c>
      <c r="D1185" s="424"/>
      <c r="E1185" s="242" t="s">
        <v>47</v>
      </c>
      <c r="F1185" s="424"/>
      <c r="G1185" s="425" t="s">
        <v>91</v>
      </c>
      <c r="H1185" s="244" t="s">
        <v>83</v>
      </c>
      <c r="I1185" s="426"/>
      <c r="J1185" s="245">
        <v>302</v>
      </c>
      <c r="K1185" s="197" t="s">
        <v>50</v>
      </c>
      <c r="L1185" s="281" t="s">
        <v>2093</v>
      </c>
      <c r="M1185" s="281" t="s">
        <v>2093</v>
      </c>
      <c r="N1185" s="281"/>
      <c r="O1185" s="216" t="s">
        <v>3315</v>
      </c>
      <c r="P1185" s="287"/>
      <c r="Q1185" s="338" t="s">
        <v>78</v>
      </c>
      <c r="R1185" s="259" t="s">
        <v>2092</v>
      </c>
      <c r="S1185" s="279">
        <v>31236</v>
      </c>
      <c r="T1185" s="250"/>
      <c r="U1185" s="250"/>
      <c r="V1185" s="280"/>
      <c r="W1185" s="197"/>
      <c r="X1185" s="197"/>
      <c r="Y1185" s="981"/>
      <c r="Z1185" s="252"/>
      <c r="AA1185" s="246"/>
      <c r="AB1185" s="282"/>
      <c r="AC1185" s="223"/>
      <c r="AD1185" s="281"/>
      <c r="AE1185" s="494"/>
      <c r="AF1185" s="494"/>
      <c r="AG1185" s="241"/>
      <c r="AH1185" s="283"/>
      <c r="AI1185" s="254"/>
      <c r="AJ1185" s="255" t="s">
        <v>62</v>
      </c>
      <c r="AK1185" s="242">
        <v>1</v>
      </c>
      <c r="AL1185" s="123" t="s">
        <v>496</v>
      </c>
      <c r="AM1185" s="175" t="s">
        <v>492</v>
      </c>
      <c r="AN1185" s="1387"/>
      <c r="AO1185" s="155"/>
      <c r="AP1185" s="115"/>
      <c r="AQ1185" s="115"/>
      <c r="AR1185" s="115"/>
      <c r="AS1185" s="115"/>
      <c r="AT1185" s="115"/>
    </row>
    <row r="1186" spans="1:46" ht="39" customHeight="1" x14ac:dyDescent="0.25">
      <c r="A1186" s="1468">
        <v>1185</v>
      </c>
      <c r="B1186" s="117"/>
      <c r="C1186" s="324"/>
      <c r="D1186" s="664"/>
      <c r="E1186" s="664"/>
      <c r="F1186" s="664"/>
      <c r="G1186" s="227"/>
      <c r="H1186" s="228"/>
      <c r="I1186" s="228"/>
      <c r="J1186" s="229"/>
      <c r="K1186" s="227"/>
      <c r="L1186" s="229"/>
      <c r="M1186" s="229"/>
      <c r="N1186" s="229"/>
      <c r="O1186" s="216"/>
      <c r="P1186" s="230" t="s">
        <v>306</v>
      </c>
      <c r="Q1186" s="373"/>
      <c r="R1186" s="982"/>
      <c r="S1186" s="279"/>
      <c r="T1186" s="232"/>
      <c r="U1186" s="250"/>
      <c r="V1186" s="232"/>
      <c r="W1186" s="232"/>
      <c r="X1186" s="232"/>
      <c r="Y1186" s="232"/>
      <c r="Z1186" s="233"/>
      <c r="AA1186" s="234"/>
      <c r="AB1186" s="235"/>
      <c r="AC1186" s="236"/>
      <c r="AD1186" s="235"/>
      <c r="AE1186" s="494"/>
      <c r="AF1186" s="494"/>
      <c r="AG1186" s="664"/>
      <c r="AH1186" s="238"/>
      <c r="AI1186" s="239"/>
      <c r="AJ1186" s="303"/>
      <c r="AK1186" s="241"/>
      <c r="AL1186" s="122"/>
      <c r="AM1186" s="122"/>
      <c r="AN1186" s="113"/>
      <c r="AO1186" s="114"/>
      <c r="AP1186" s="115"/>
      <c r="AQ1186" s="115"/>
      <c r="AR1186" s="115"/>
      <c r="AS1186" s="115"/>
      <c r="AT1186" s="116"/>
    </row>
    <row r="1187" spans="1:46" ht="39" customHeight="1" x14ac:dyDescent="0.25">
      <c r="A1187" s="1468">
        <v>1186</v>
      </c>
      <c r="B1187" s="141">
        <v>7</v>
      </c>
      <c r="C1187" s="290" t="s">
        <v>307</v>
      </c>
      <c r="D1187" s="291"/>
      <c r="E1187" s="291" t="s">
        <v>47</v>
      </c>
      <c r="F1187" s="291"/>
      <c r="G1187" s="292" t="s">
        <v>308</v>
      </c>
      <c r="H1187" s="293" t="s">
        <v>132</v>
      </c>
      <c r="I1187" s="371" t="s">
        <v>309</v>
      </c>
      <c r="J1187" s="256">
        <v>403</v>
      </c>
      <c r="K1187" s="216"/>
      <c r="L1187" s="288"/>
      <c r="M1187" s="288"/>
      <c r="N1187" s="374"/>
      <c r="O1187" s="216"/>
      <c r="P1187" s="402"/>
      <c r="Q1187" s="344"/>
      <c r="R1187" s="982" t="s">
        <v>66</v>
      </c>
      <c r="S1187" s="279"/>
      <c r="T1187" s="197"/>
      <c r="U1187" s="197"/>
      <c r="V1187" s="197"/>
      <c r="W1187" s="250"/>
      <c r="X1187" s="197"/>
      <c r="Y1187" s="197"/>
      <c r="Z1187" s="246"/>
      <c r="AA1187" s="388"/>
      <c r="AB1187" s="288"/>
      <c r="AC1187" s="223"/>
      <c r="AD1187" s="288"/>
      <c r="AE1187" s="494"/>
      <c r="AF1187" s="494"/>
      <c r="AG1187" s="392"/>
      <c r="AH1187" s="283"/>
      <c r="AI1187" s="254"/>
      <c r="AJ1187" s="348"/>
      <c r="AK1187" s="291">
        <v>3</v>
      </c>
      <c r="AL1187" s="123" t="s">
        <v>496</v>
      </c>
      <c r="AM1187" s="175" t="s">
        <v>492</v>
      </c>
      <c r="AN1187" s="130"/>
      <c r="AO1187" s="130"/>
      <c r="AP1187" s="115"/>
      <c r="AQ1187" s="115"/>
      <c r="AR1187" s="115"/>
      <c r="AS1187" s="115"/>
      <c r="AT1187" s="115"/>
    </row>
    <row r="1188" spans="1:46" ht="39" customHeight="1" x14ac:dyDescent="0.25">
      <c r="A1188" s="1468">
        <v>1187</v>
      </c>
      <c r="B1188" s="141">
        <v>3</v>
      </c>
      <c r="C1188" s="356" t="s">
        <v>290</v>
      </c>
      <c r="D1188" s="241" t="s">
        <v>134</v>
      </c>
      <c r="E1188" s="241"/>
      <c r="F1188" s="241"/>
      <c r="G1188" s="261" t="s">
        <v>291</v>
      </c>
      <c r="H1188" s="262" t="s">
        <v>85</v>
      </c>
      <c r="I1188" s="364"/>
      <c r="J1188" s="245" t="s">
        <v>556</v>
      </c>
      <c r="K1188" s="216"/>
      <c r="L1188" s="281" t="s">
        <v>5916</v>
      </c>
      <c r="M1188" s="281" t="s">
        <v>5916</v>
      </c>
      <c r="N1188" s="366"/>
      <c r="O1188" s="1516" t="s">
        <v>5992</v>
      </c>
      <c r="P1188" s="402"/>
      <c r="Q1188" s="344" t="s">
        <v>132</v>
      </c>
      <c r="R1188" s="982" t="s">
        <v>5991</v>
      </c>
      <c r="S1188" s="279">
        <v>35300</v>
      </c>
      <c r="T1188" s="197"/>
      <c r="U1188" s="251" t="s">
        <v>54</v>
      </c>
      <c r="V1188" s="306"/>
      <c r="W1188" s="949" t="s">
        <v>900</v>
      </c>
      <c r="X1188" s="250"/>
      <c r="Y1188" s="288"/>
      <c r="Z1188" s="246"/>
      <c r="AA1188" s="246"/>
      <c r="AB1188" s="288"/>
      <c r="AC1188" s="223"/>
      <c r="AD1188" s="376"/>
      <c r="AE1188" s="494"/>
      <c r="AF1188" s="494"/>
      <c r="AG1188" s="241"/>
      <c r="AH1188" s="283"/>
      <c r="AI1188" s="254"/>
      <c r="AJ1188" s="348" t="s">
        <v>560</v>
      </c>
      <c r="AK1188" s="241">
        <v>4</v>
      </c>
      <c r="AL1188" s="123" t="s">
        <v>496</v>
      </c>
      <c r="AM1188" s="175" t="s">
        <v>492</v>
      </c>
      <c r="AN1188" s="110" t="s">
        <v>4184</v>
      </c>
      <c r="AO1188" s="110"/>
      <c r="AP1188" s="115"/>
      <c r="AQ1188" s="115"/>
      <c r="AR1188" s="115"/>
      <c r="AS1188" s="115"/>
      <c r="AT1188" s="115"/>
    </row>
    <row r="1189" spans="1:46" ht="39" customHeight="1" x14ac:dyDescent="0.25">
      <c r="A1189" s="1468">
        <v>1188</v>
      </c>
      <c r="B1189" s="141">
        <v>3</v>
      </c>
      <c r="C1189" s="356" t="s">
        <v>297</v>
      </c>
      <c r="D1189" s="241" t="s">
        <v>134</v>
      </c>
      <c r="E1189" s="241"/>
      <c r="F1189" s="241"/>
      <c r="G1189" s="261" t="s">
        <v>298</v>
      </c>
      <c r="H1189" s="262" t="s">
        <v>85</v>
      </c>
      <c r="I1189" s="364"/>
      <c r="J1189" s="245" t="s">
        <v>556</v>
      </c>
      <c r="K1189" s="216"/>
      <c r="L1189" s="281" t="s">
        <v>5746</v>
      </c>
      <c r="M1189" s="281" t="s">
        <v>5746</v>
      </c>
      <c r="N1189" s="366"/>
      <c r="O1189" s="1463" t="s">
        <v>5878</v>
      </c>
      <c r="P1189" s="402"/>
      <c r="Q1189" s="344" t="s">
        <v>85</v>
      </c>
      <c r="R1189" s="982" t="s">
        <v>5877</v>
      </c>
      <c r="S1189" s="279">
        <v>37354</v>
      </c>
      <c r="T1189" s="197"/>
      <c r="U1189" s="251" t="s">
        <v>54</v>
      </c>
      <c r="V1189" s="197" t="s">
        <v>5955</v>
      </c>
      <c r="W1189" s="197" t="s">
        <v>70</v>
      </c>
      <c r="X1189" s="197" t="s">
        <v>71</v>
      </c>
      <c r="Y1189" s="949" t="s">
        <v>5964</v>
      </c>
      <c r="Z1189" s="612">
        <v>45312</v>
      </c>
      <c r="AA1189" s="246"/>
      <c r="AB1189" s="288"/>
      <c r="AC1189" s="223"/>
      <c r="AD1189" s="376"/>
      <c r="AE1189" s="494"/>
      <c r="AF1189" s="494"/>
      <c r="AG1189" s="241"/>
      <c r="AH1189" s="283"/>
      <c r="AI1189" s="254"/>
      <c r="AJ1189" s="348" t="s">
        <v>560</v>
      </c>
      <c r="AK1189" s="241">
        <v>4</v>
      </c>
      <c r="AL1189" s="123" t="s">
        <v>496</v>
      </c>
      <c r="AM1189" s="175" t="s">
        <v>492</v>
      </c>
      <c r="AN1189" s="110"/>
      <c r="AO1189" s="110"/>
      <c r="AP1189" s="115"/>
      <c r="AQ1189" s="115"/>
      <c r="AR1189" s="115"/>
      <c r="AS1189" s="115"/>
      <c r="AT1189" s="115"/>
    </row>
    <row r="1190" spans="1:46" ht="39" customHeight="1" x14ac:dyDescent="0.25">
      <c r="A1190" s="1468">
        <v>1189</v>
      </c>
      <c r="B1190" s="141">
        <v>2</v>
      </c>
      <c r="C1190" s="260" t="s">
        <v>311</v>
      </c>
      <c r="D1190" s="241"/>
      <c r="E1190" s="241"/>
      <c r="F1190" s="241"/>
      <c r="G1190" s="261" t="s">
        <v>312</v>
      </c>
      <c r="H1190" s="262" t="s">
        <v>85</v>
      </c>
      <c r="I1190" s="364"/>
      <c r="J1190" s="245" t="s">
        <v>556</v>
      </c>
      <c r="K1190" s="216"/>
      <c r="L1190" s="301"/>
      <c r="M1190" s="301"/>
      <c r="N1190" s="366"/>
      <c r="O1190" s="216" t="s">
        <v>3233</v>
      </c>
      <c r="P1190" s="402" t="s">
        <v>1828</v>
      </c>
      <c r="Q1190" s="344" t="s">
        <v>87</v>
      </c>
      <c r="R1190" s="982" t="s">
        <v>3232</v>
      </c>
      <c r="S1190" s="279">
        <v>31853</v>
      </c>
      <c r="T1190" s="250"/>
      <c r="U1190" s="251" t="s">
        <v>54</v>
      </c>
      <c r="V1190" s="197" t="s">
        <v>5512</v>
      </c>
      <c r="W1190" s="250" t="s">
        <v>56</v>
      </c>
      <c r="X1190" s="197" t="s">
        <v>57</v>
      </c>
      <c r="Y1190" s="197" t="s">
        <v>5726</v>
      </c>
      <c r="Z1190" s="246">
        <v>45272</v>
      </c>
      <c r="AA1190" s="250"/>
      <c r="AB1190" s="288"/>
      <c r="AC1190" s="223"/>
      <c r="AD1190" s="288"/>
      <c r="AE1190" s="494"/>
      <c r="AF1190" s="494"/>
      <c r="AG1190" s="241"/>
      <c r="AH1190" s="281"/>
      <c r="AI1190" s="296"/>
      <c r="AJ1190" s="348" t="s">
        <v>560</v>
      </c>
      <c r="AK1190" s="241">
        <v>4</v>
      </c>
      <c r="AL1190" s="123" t="s">
        <v>496</v>
      </c>
      <c r="AM1190" s="175" t="s">
        <v>492</v>
      </c>
      <c r="AN1190" s="110"/>
      <c r="AO1190" s="110"/>
      <c r="AP1190" s="115"/>
      <c r="AQ1190" s="115"/>
      <c r="AR1190" s="115"/>
      <c r="AS1190" s="115"/>
      <c r="AT1190" s="115"/>
    </row>
    <row r="1191" spans="1:46" ht="39" customHeight="1" x14ac:dyDescent="0.25">
      <c r="A1191" s="1468">
        <v>1190</v>
      </c>
      <c r="B1191" s="141">
        <v>2</v>
      </c>
      <c r="C1191" s="260" t="s">
        <v>317</v>
      </c>
      <c r="D1191" s="241"/>
      <c r="E1191" s="241"/>
      <c r="F1191" s="241"/>
      <c r="G1191" s="261" t="s">
        <v>318</v>
      </c>
      <c r="H1191" s="262" t="s">
        <v>87</v>
      </c>
      <c r="I1191" s="364"/>
      <c r="J1191" s="245" t="s">
        <v>561</v>
      </c>
      <c r="K1191" s="257"/>
      <c r="L1191" s="281" t="s">
        <v>5149</v>
      </c>
      <c r="M1191" s="281" t="s">
        <v>5149</v>
      </c>
      <c r="N1191" s="245"/>
      <c r="O1191" s="392" t="s">
        <v>5401</v>
      </c>
      <c r="P1191" s="372"/>
      <c r="Q1191" s="301" t="s">
        <v>87</v>
      </c>
      <c r="R1191" s="683" t="s">
        <v>5400</v>
      </c>
      <c r="S1191" s="279">
        <v>38359</v>
      </c>
      <c r="T1191" s="289"/>
      <c r="U1191" s="250"/>
      <c r="V1191" s="299"/>
      <c r="W1191" s="250"/>
      <c r="X1191" s="250"/>
      <c r="Y1191" s="299"/>
      <c r="Z1191" s="299"/>
      <c r="AA1191" s="289"/>
      <c r="AB1191" s="299"/>
      <c r="AC1191" s="223"/>
      <c r="AD1191" s="299"/>
      <c r="AE1191" s="494"/>
      <c r="AF1191" s="494"/>
      <c r="AG1191" s="299"/>
      <c r="AH1191" s="299"/>
      <c r="AI1191" s="254" t="s">
        <v>1351</v>
      </c>
      <c r="AJ1191" s="303" t="s">
        <v>136</v>
      </c>
      <c r="AK1191" s="241">
        <v>4</v>
      </c>
      <c r="AL1191" s="123" t="s">
        <v>496</v>
      </c>
      <c r="AM1191" s="175" t="s">
        <v>492</v>
      </c>
      <c r="AN1191" s="110"/>
      <c r="AO1191" s="110"/>
      <c r="AP1191" s="115"/>
      <c r="AQ1191" s="115"/>
      <c r="AR1191" s="115"/>
      <c r="AS1191" s="115"/>
      <c r="AT1191" s="115"/>
    </row>
    <row r="1192" spans="1:46" ht="39" customHeight="1" x14ac:dyDescent="0.25">
      <c r="A1192" s="1468">
        <v>1191</v>
      </c>
      <c r="B1192" s="146">
        <v>2</v>
      </c>
      <c r="C1192" s="260" t="s">
        <v>319</v>
      </c>
      <c r="D1192" s="241"/>
      <c r="E1192" s="241"/>
      <c r="F1192" s="241"/>
      <c r="G1192" s="261" t="s">
        <v>320</v>
      </c>
      <c r="H1192" s="262" t="s">
        <v>87</v>
      </c>
      <c r="I1192" s="357"/>
      <c r="J1192" s="245" t="s">
        <v>561</v>
      </c>
      <c r="K1192" s="665"/>
      <c r="L1192" s="289" t="s">
        <v>3906</v>
      </c>
      <c r="M1192" s="289" t="s">
        <v>3906</v>
      </c>
      <c r="N1192" s="392"/>
      <c r="O1192" s="216" t="s">
        <v>3905</v>
      </c>
      <c r="P1192" s="402" t="s">
        <v>1828</v>
      </c>
      <c r="Q1192" s="485" t="s">
        <v>293</v>
      </c>
      <c r="R1192" s="982" t="s">
        <v>3933</v>
      </c>
      <c r="S1192" s="279">
        <v>30849</v>
      </c>
      <c r="T1192" s="299"/>
      <c r="U1192" s="251" t="s">
        <v>54</v>
      </c>
      <c r="V1192" s="197" t="s">
        <v>5512</v>
      </c>
      <c r="W1192" s="250" t="s">
        <v>70</v>
      </c>
      <c r="X1192" s="197" t="s">
        <v>71</v>
      </c>
      <c r="Y1192" s="197" t="s">
        <v>5726</v>
      </c>
      <c r="Z1192" s="246">
        <v>45272</v>
      </c>
      <c r="AA1192" s="374"/>
      <c r="AB1192" s="299"/>
      <c r="AC1192" s="223"/>
      <c r="AD1192" s="299"/>
      <c r="AE1192" s="494"/>
      <c r="AF1192" s="494"/>
      <c r="AG1192" s="241"/>
      <c r="AH1192" s="281"/>
      <c r="AI1192" s="401"/>
      <c r="AJ1192" s="348" t="s">
        <v>560</v>
      </c>
      <c r="AK1192" s="241">
        <v>4</v>
      </c>
      <c r="AL1192" s="123" t="s">
        <v>496</v>
      </c>
      <c r="AM1192" s="175" t="s">
        <v>492</v>
      </c>
      <c r="AN1192" s="110"/>
      <c r="AO1192" s="110"/>
      <c r="AP1192" s="115"/>
      <c r="AQ1192" s="115"/>
      <c r="AR1192" s="115"/>
      <c r="AS1192" s="115"/>
      <c r="AT1192" s="116"/>
    </row>
    <row r="1193" spans="1:46" ht="39" customHeight="1" x14ac:dyDescent="0.25">
      <c r="A1193" s="1468">
        <v>1192</v>
      </c>
      <c r="B1193" s="141">
        <v>2</v>
      </c>
      <c r="C1193" s="378" t="s">
        <v>321</v>
      </c>
      <c r="D1193" s="303"/>
      <c r="E1193" s="241"/>
      <c r="F1193" s="241"/>
      <c r="G1193" s="261" t="s">
        <v>322</v>
      </c>
      <c r="H1193" s="262" t="s">
        <v>87</v>
      </c>
      <c r="I1193" s="357"/>
      <c r="J1193" s="245" t="s">
        <v>561</v>
      </c>
      <c r="K1193" s="197"/>
      <c r="L1193" s="301" t="s">
        <v>2151</v>
      </c>
      <c r="M1193" s="301" t="s">
        <v>2151</v>
      </c>
      <c r="N1193" s="366"/>
      <c r="O1193" s="385" t="s">
        <v>2584</v>
      </c>
      <c r="P1193" s="402" t="s">
        <v>1828</v>
      </c>
      <c r="Q1193" s="485" t="s">
        <v>85</v>
      </c>
      <c r="R1193" s="982" t="s">
        <v>2583</v>
      </c>
      <c r="S1193" s="279">
        <v>29188</v>
      </c>
      <c r="T1193" s="197"/>
      <c r="U1193" s="251" t="s">
        <v>54</v>
      </c>
      <c r="V1193" s="197" t="s">
        <v>5512</v>
      </c>
      <c r="W1193" s="250" t="s">
        <v>56</v>
      </c>
      <c r="X1193" s="197" t="s">
        <v>57</v>
      </c>
      <c r="Y1193" s="197" t="s">
        <v>5726</v>
      </c>
      <c r="Z1193" s="246">
        <v>45272</v>
      </c>
      <c r="AA1193" s="246"/>
      <c r="AB1193" s="361"/>
      <c r="AC1193" s="223"/>
      <c r="AD1193" s="376"/>
      <c r="AE1193" s="494"/>
      <c r="AF1193" s="494"/>
      <c r="AG1193" s="241"/>
      <c r="AH1193" s="283"/>
      <c r="AI1193" s="296"/>
      <c r="AJ1193" s="348" t="s">
        <v>560</v>
      </c>
      <c r="AK1193" s="241">
        <v>4</v>
      </c>
      <c r="AL1193" s="123" t="s">
        <v>496</v>
      </c>
      <c r="AM1193" s="175" t="s">
        <v>492</v>
      </c>
      <c r="AN1193" s="110"/>
      <c r="AO1193" s="110"/>
      <c r="AP1193" s="115"/>
      <c r="AQ1193" s="115"/>
      <c r="AR1193" s="115"/>
      <c r="AS1193" s="115"/>
      <c r="AT1193" s="115"/>
    </row>
    <row r="1194" spans="1:46" ht="39" customHeight="1" x14ac:dyDescent="0.25">
      <c r="A1194" s="1468">
        <v>1193</v>
      </c>
      <c r="B1194" s="141">
        <v>1</v>
      </c>
      <c r="C1194" s="378" t="s">
        <v>323</v>
      </c>
      <c r="D1194" s="303"/>
      <c r="E1194" s="241"/>
      <c r="F1194" s="241"/>
      <c r="G1194" s="261" t="s">
        <v>324</v>
      </c>
      <c r="H1194" s="262" t="s">
        <v>87</v>
      </c>
      <c r="I1194" s="357"/>
      <c r="J1194" s="245" t="s">
        <v>561</v>
      </c>
      <c r="K1194" s="216"/>
      <c r="L1194" s="281" t="s">
        <v>5022</v>
      </c>
      <c r="M1194" s="281" t="s">
        <v>5022</v>
      </c>
      <c r="N1194" s="366"/>
      <c r="O1194" s="385" t="s">
        <v>5434</v>
      </c>
      <c r="P1194" s="402"/>
      <c r="Q1194" s="485" t="s">
        <v>519</v>
      </c>
      <c r="R1194" s="982" t="s">
        <v>2583</v>
      </c>
      <c r="S1194" s="279">
        <v>27491</v>
      </c>
      <c r="T1194" s="197"/>
      <c r="U1194" s="251" t="s">
        <v>54</v>
      </c>
      <c r="V1194" s="306"/>
      <c r="W1194" s="426" t="s">
        <v>56</v>
      </c>
      <c r="X1194" s="250"/>
      <c r="Y1194" s="979"/>
      <c r="Z1194" s="246"/>
      <c r="AA1194" s="246"/>
      <c r="AB1194" s="288"/>
      <c r="AC1194" s="223"/>
      <c r="AD1194" s="376"/>
      <c r="AE1194" s="494"/>
      <c r="AF1194" s="494"/>
      <c r="AG1194" s="241"/>
      <c r="AH1194" s="283"/>
      <c r="AI1194" s="254"/>
      <c r="AJ1194" s="348" t="s">
        <v>560</v>
      </c>
      <c r="AK1194" s="241">
        <v>4</v>
      </c>
      <c r="AL1194" s="123" t="s">
        <v>496</v>
      </c>
      <c r="AM1194" s="175" t="s">
        <v>492</v>
      </c>
      <c r="AN1194" s="110"/>
      <c r="AO1194" s="110"/>
      <c r="AP1194" s="115"/>
      <c r="AQ1194" s="115"/>
      <c r="AR1194" s="115"/>
      <c r="AS1194" s="115"/>
      <c r="AT1194" s="115"/>
    </row>
    <row r="1195" spans="1:46" ht="39" customHeight="1" x14ac:dyDescent="0.25">
      <c r="A1195" s="1468">
        <v>1194</v>
      </c>
      <c r="B1195" s="141">
        <v>1</v>
      </c>
      <c r="C1195" s="260" t="s">
        <v>325</v>
      </c>
      <c r="D1195" s="241"/>
      <c r="E1195" s="241"/>
      <c r="F1195" s="241"/>
      <c r="G1195" s="261" t="s">
        <v>324</v>
      </c>
      <c r="H1195" s="262" t="s">
        <v>87</v>
      </c>
      <c r="I1195" s="357"/>
      <c r="J1195" s="245" t="s">
        <v>561</v>
      </c>
      <c r="K1195" s="366"/>
      <c r="L1195" s="392"/>
      <c r="M1195" s="392"/>
      <c r="N1195" s="366"/>
      <c r="O1195" s="392" t="s">
        <v>3189</v>
      </c>
      <c r="P1195" s="609" t="s">
        <v>1411</v>
      </c>
      <c r="Q1195" s="373" t="s">
        <v>293</v>
      </c>
      <c r="R1195" s="982" t="s">
        <v>571</v>
      </c>
      <c r="S1195" s="279">
        <v>31232</v>
      </c>
      <c r="T1195" s="366"/>
      <c r="U1195" s="251" t="s">
        <v>54</v>
      </c>
      <c r="V1195" s="306"/>
      <c r="W1195" s="197" t="s">
        <v>70</v>
      </c>
      <c r="X1195" s="197" t="s">
        <v>71</v>
      </c>
      <c r="Y1195" s="366"/>
      <c r="Z1195" s="366"/>
      <c r="AA1195" s="366"/>
      <c r="AB1195" s="1289"/>
      <c r="AC1195" s="366"/>
      <c r="AD1195" s="658"/>
      <c r="AE1195" s="494"/>
      <c r="AF1195" s="494"/>
      <c r="AG1195" s="366"/>
      <c r="AH1195" s="366"/>
      <c r="AI1195" s="392"/>
      <c r="AJ1195" s="348" t="s">
        <v>560</v>
      </c>
      <c r="AK1195" s="241">
        <v>4</v>
      </c>
      <c r="AL1195" s="123" t="s">
        <v>496</v>
      </c>
      <c r="AM1195" s="175" t="s">
        <v>492</v>
      </c>
      <c r="AN1195" s="110"/>
      <c r="AO1195" s="110"/>
      <c r="AP1195" s="115"/>
      <c r="AQ1195" s="115"/>
      <c r="AR1195" s="115"/>
      <c r="AS1195" s="115"/>
      <c r="AT1195" s="115"/>
    </row>
    <row r="1196" spans="1:46" ht="39" customHeight="1" x14ac:dyDescent="0.25">
      <c r="A1196" s="1468">
        <v>1195</v>
      </c>
      <c r="B1196" s="117"/>
      <c r="C1196" s="324"/>
      <c r="D1196" s="664"/>
      <c r="E1196" s="664"/>
      <c r="F1196" s="664"/>
      <c r="G1196" s="227"/>
      <c r="H1196" s="228"/>
      <c r="I1196" s="228"/>
      <c r="J1196" s="229"/>
      <c r="K1196" s="227"/>
      <c r="L1196" s="229"/>
      <c r="M1196" s="229"/>
      <c r="N1196" s="229"/>
      <c r="O1196" s="216"/>
      <c r="P1196" s="230" t="s">
        <v>326</v>
      </c>
      <c r="Q1196" s="373"/>
      <c r="R1196" s="1004"/>
      <c r="S1196" s="279"/>
      <c r="T1196" s="232"/>
      <c r="U1196" s="250"/>
      <c r="V1196" s="232"/>
      <c r="W1196" s="232"/>
      <c r="X1196" s="232"/>
      <c r="Y1196" s="232"/>
      <c r="Z1196" s="233"/>
      <c r="AA1196" s="234"/>
      <c r="AB1196" s="235"/>
      <c r="AC1196" s="236"/>
      <c r="AD1196" s="235"/>
      <c r="AE1196" s="494"/>
      <c r="AF1196" s="494"/>
      <c r="AG1196" s="664"/>
      <c r="AH1196" s="238"/>
      <c r="AI1196" s="239"/>
      <c r="AJ1196" s="303"/>
      <c r="AK1196" s="241"/>
      <c r="AL1196" s="122"/>
      <c r="AM1196" s="122"/>
      <c r="AN1196" s="113"/>
      <c r="AO1196" s="114"/>
      <c r="AP1196" s="115"/>
      <c r="AQ1196" s="115"/>
      <c r="AR1196" s="115"/>
      <c r="AS1196" s="115"/>
      <c r="AT1196" s="116"/>
    </row>
    <row r="1197" spans="1:46" ht="39" customHeight="1" x14ac:dyDescent="0.25">
      <c r="A1197" s="1468">
        <v>1196</v>
      </c>
      <c r="B1197" s="141">
        <v>5</v>
      </c>
      <c r="C1197" s="290" t="s">
        <v>288</v>
      </c>
      <c r="D1197" s="291"/>
      <c r="E1197" s="291" t="s">
        <v>47</v>
      </c>
      <c r="F1197" s="291"/>
      <c r="G1197" s="292" t="s">
        <v>289</v>
      </c>
      <c r="H1197" s="293" t="s">
        <v>132</v>
      </c>
      <c r="I1197" s="344">
        <v>144</v>
      </c>
      <c r="J1197" s="256">
        <v>403</v>
      </c>
      <c r="K1197" s="216"/>
      <c r="L1197" s="216" t="s">
        <v>1118</v>
      </c>
      <c r="M1197" s="216" t="s">
        <v>1118</v>
      </c>
      <c r="N1197" s="216"/>
      <c r="O1197" s="216" t="s">
        <v>3313</v>
      </c>
      <c r="P1197" s="287"/>
      <c r="Q1197" s="344" t="s">
        <v>1042</v>
      </c>
      <c r="R1197" s="982" t="s">
        <v>1281</v>
      </c>
      <c r="S1197" s="279">
        <v>35526</v>
      </c>
      <c r="T1197" s="250"/>
      <c r="U1197" s="250"/>
      <c r="V1197" s="197"/>
      <c r="W1197" s="241" t="s">
        <v>2779</v>
      </c>
      <c r="X1197" s="197"/>
      <c r="Y1197" s="197"/>
      <c r="Z1197" s="246"/>
      <c r="AA1197" s="252"/>
      <c r="AB1197" s="282"/>
      <c r="AC1197" s="223"/>
      <c r="AD1197" s="282"/>
      <c r="AE1197" s="494"/>
      <c r="AF1197" s="494"/>
      <c r="AG1197" s="281"/>
      <c r="AH1197" s="281"/>
      <c r="AI1197" s="366"/>
      <c r="AJ1197" s="348" t="s">
        <v>560</v>
      </c>
      <c r="AK1197" s="348">
        <v>3</v>
      </c>
      <c r="AL1197" s="123" t="s">
        <v>496</v>
      </c>
      <c r="AM1197" s="175" t="s">
        <v>492</v>
      </c>
      <c r="AN1197" s="130"/>
      <c r="AO1197" s="130"/>
      <c r="AP1197" s="156"/>
      <c r="AQ1197" s="156"/>
      <c r="AR1197" s="115"/>
      <c r="AS1197" s="115"/>
      <c r="AT1197" s="115"/>
    </row>
    <row r="1198" spans="1:46" ht="39" customHeight="1" x14ac:dyDescent="0.25">
      <c r="A1198" s="1468">
        <v>1197</v>
      </c>
      <c r="B1198" s="141">
        <v>3</v>
      </c>
      <c r="C1198" s="356" t="s">
        <v>290</v>
      </c>
      <c r="D1198" s="241" t="s">
        <v>134</v>
      </c>
      <c r="E1198" s="241"/>
      <c r="F1198" s="241"/>
      <c r="G1198" s="261" t="s">
        <v>291</v>
      </c>
      <c r="H1198" s="262" t="s">
        <v>85</v>
      </c>
      <c r="I1198" s="357"/>
      <c r="J1198" s="245" t="s">
        <v>556</v>
      </c>
      <c r="K1198" s="216"/>
      <c r="L1198" s="281" t="s">
        <v>1086</v>
      </c>
      <c r="M1198" s="281"/>
      <c r="N1198" s="245"/>
      <c r="O1198" s="216" t="s">
        <v>1217</v>
      </c>
      <c r="P1198" s="325"/>
      <c r="Q1198" s="344" t="s">
        <v>567</v>
      </c>
      <c r="R1198" s="996" t="s">
        <v>1218</v>
      </c>
      <c r="S1198" s="279">
        <v>36186</v>
      </c>
      <c r="T1198" s="252"/>
      <c r="U1198" s="251" t="s">
        <v>886</v>
      </c>
      <c r="V1198" s="197" t="s">
        <v>5898</v>
      </c>
      <c r="W1198" s="288" t="s">
        <v>886</v>
      </c>
      <c r="X1198" s="197" t="s">
        <v>886</v>
      </c>
      <c r="Y1198" s="1137"/>
      <c r="Z1198" s="252">
        <v>45281</v>
      </c>
      <c r="AA1198" s="250"/>
      <c r="AB1198" s="282"/>
      <c r="AC1198" s="223" t="s">
        <v>946</v>
      </c>
      <c r="AD1198" s="282"/>
      <c r="AE1198" s="494"/>
      <c r="AF1198" s="494"/>
      <c r="AG1198" s="282" t="s">
        <v>61</v>
      </c>
      <c r="AH1198" s="283"/>
      <c r="AI1198" s="328"/>
      <c r="AJ1198" s="348" t="s">
        <v>560</v>
      </c>
      <c r="AK1198" s="241">
        <v>4</v>
      </c>
      <c r="AL1198" s="123" t="s">
        <v>496</v>
      </c>
      <c r="AM1198" s="175" t="s">
        <v>492</v>
      </c>
      <c r="AN1198" s="110" t="s">
        <v>4184</v>
      </c>
      <c r="AO1198" s="110"/>
      <c r="AP1198" s="115"/>
      <c r="AQ1198" s="115"/>
      <c r="AR1198" s="115"/>
      <c r="AS1198" s="115"/>
      <c r="AT1198" s="115"/>
    </row>
    <row r="1199" spans="1:46" ht="39" customHeight="1" x14ac:dyDescent="0.25">
      <c r="A1199" s="1468">
        <v>1198</v>
      </c>
      <c r="B1199" s="141">
        <v>3</v>
      </c>
      <c r="C1199" s="358" t="s">
        <v>297</v>
      </c>
      <c r="D1199" s="241" t="s">
        <v>134</v>
      </c>
      <c r="E1199" s="241"/>
      <c r="F1199" s="241"/>
      <c r="G1199" s="261" t="s">
        <v>298</v>
      </c>
      <c r="H1199" s="262" t="s">
        <v>85</v>
      </c>
      <c r="I1199" s="357"/>
      <c r="J1199" s="245" t="s">
        <v>556</v>
      </c>
      <c r="K1199" s="257"/>
      <c r="L1199" s="288" t="s">
        <v>2374</v>
      </c>
      <c r="M1199" s="288" t="s">
        <v>2374</v>
      </c>
      <c r="N1199" s="374"/>
      <c r="O1199" s="385" t="s">
        <v>2373</v>
      </c>
      <c r="P1199" s="374"/>
      <c r="Q1199" s="344" t="s">
        <v>293</v>
      </c>
      <c r="R1199" s="982" t="s">
        <v>2372</v>
      </c>
      <c r="S1199" s="279">
        <v>33449</v>
      </c>
      <c r="T1199" s="197"/>
      <c r="U1199" s="251" t="s">
        <v>886</v>
      </c>
      <c r="V1199" s="250" t="s">
        <v>3954</v>
      </c>
      <c r="W1199" s="197" t="s">
        <v>886</v>
      </c>
      <c r="X1199" s="197" t="s">
        <v>886</v>
      </c>
      <c r="Y1199" s="197"/>
      <c r="Z1199" s="246">
        <v>45224</v>
      </c>
      <c r="AA1199" s="388"/>
      <c r="AB1199" s="288"/>
      <c r="AC1199" s="223"/>
      <c r="AD1199" s="288"/>
      <c r="AE1199" s="494"/>
      <c r="AF1199" s="494"/>
      <c r="AG1199" s="1488"/>
      <c r="AH1199" s="283"/>
      <c r="AI1199" s="254"/>
      <c r="AJ1199" s="348" t="s">
        <v>560</v>
      </c>
      <c r="AK1199" s="241">
        <v>4</v>
      </c>
      <c r="AL1199" s="123" t="s">
        <v>496</v>
      </c>
      <c r="AM1199" s="175" t="s">
        <v>492</v>
      </c>
      <c r="AN1199" s="110"/>
      <c r="AO1199" s="110"/>
      <c r="AP1199" s="115"/>
      <c r="AQ1199" s="115"/>
      <c r="AR1199" s="115"/>
      <c r="AS1199" s="115"/>
      <c r="AT1199" s="116"/>
    </row>
    <row r="1200" spans="1:46" ht="39" customHeight="1" x14ac:dyDescent="0.25">
      <c r="A1200" s="1468">
        <v>1199</v>
      </c>
      <c r="B1200" s="141">
        <v>2</v>
      </c>
      <c r="C1200" s="260" t="s">
        <v>311</v>
      </c>
      <c r="D1200" s="241"/>
      <c r="E1200" s="241"/>
      <c r="F1200" s="241"/>
      <c r="G1200" s="261" t="s">
        <v>312</v>
      </c>
      <c r="H1200" s="262" t="s">
        <v>85</v>
      </c>
      <c r="I1200" s="357"/>
      <c r="J1200" s="245" t="s">
        <v>556</v>
      </c>
      <c r="K1200" s="216"/>
      <c r="L1200" s="281" t="s">
        <v>1527</v>
      </c>
      <c r="M1200" s="281" t="s">
        <v>1676</v>
      </c>
      <c r="N1200" s="366"/>
      <c r="O1200" s="1516" t="s">
        <v>2879</v>
      </c>
      <c r="P1200" s="402"/>
      <c r="Q1200" s="380" t="s">
        <v>87</v>
      </c>
      <c r="R1200" s="427" t="s">
        <v>1723</v>
      </c>
      <c r="S1200" s="279">
        <v>38409</v>
      </c>
      <c r="T1200" s="197"/>
      <c r="U1200" s="251" t="s">
        <v>54</v>
      </c>
      <c r="V1200" s="306" t="s">
        <v>4047</v>
      </c>
      <c r="W1200" s="949" t="s">
        <v>4050</v>
      </c>
      <c r="X1200" s="250" t="s">
        <v>5135</v>
      </c>
      <c r="Y1200" s="288" t="s">
        <v>4051</v>
      </c>
      <c r="Z1200" s="246">
        <v>45230</v>
      </c>
      <c r="AA1200" s="246"/>
      <c r="AB1200" s="288" t="s">
        <v>4521</v>
      </c>
      <c r="AC1200" s="223" t="s">
        <v>946</v>
      </c>
      <c r="AD1200" s="376"/>
      <c r="AE1200" s="494">
        <v>45111</v>
      </c>
      <c r="AF1200" s="494">
        <v>45476</v>
      </c>
      <c r="AG1200" s="241"/>
      <c r="AH1200" s="283"/>
      <c r="AI1200" s="254" t="s">
        <v>1351</v>
      </c>
      <c r="AJ1200" s="303" t="s">
        <v>136</v>
      </c>
      <c r="AK1200" s="241">
        <v>4</v>
      </c>
      <c r="AL1200" s="123" t="s">
        <v>496</v>
      </c>
      <c r="AM1200" s="175" t="s">
        <v>492</v>
      </c>
      <c r="AN1200" s="110"/>
      <c r="AO1200" s="110"/>
      <c r="AP1200" s="115"/>
      <c r="AQ1200" s="115"/>
      <c r="AR1200" s="115"/>
      <c r="AS1200" s="115"/>
      <c r="AT1200" s="115"/>
    </row>
    <row r="1201" spans="1:46" ht="39" customHeight="1" x14ac:dyDescent="0.25">
      <c r="A1201" s="1468">
        <v>1200</v>
      </c>
      <c r="B1201" s="141">
        <v>2</v>
      </c>
      <c r="C1201" s="260" t="s">
        <v>317</v>
      </c>
      <c r="D1201" s="241"/>
      <c r="E1201" s="241"/>
      <c r="F1201" s="241"/>
      <c r="G1201" s="261" t="s">
        <v>318</v>
      </c>
      <c r="H1201" s="262" t="s">
        <v>87</v>
      </c>
      <c r="I1201" s="357"/>
      <c r="J1201" s="245" t="s">
        <v>561</v>
      </c>
      <c r="K1201" s="1456" t="s">
        <v>313</v>
      </c>
      <c r="L1201" s="277" t="s">
        <v>4853</v>
      </c>
      <c r="M1201" s="277" t="s">
        <v>4853</v>
      </c>
      <c r="N1201" s="299"/>
      <c r="O1201" s="1456" t="s">
        <v>4914</v>
      </c>
      <c r="P1201" s="300"/>
      <c r="Q1201" s="301" t="s">
        <v>87</v>
      </c>
      <c r="R1201" s="381" t="s">
        <v>4870</v>
      </c>
      <c r="S1201" s="279">
        <v>38597</v>
      </c>
      <c r="T1201" s="306"/>
      <c r="U1201" s="250"/>
      <c r="V1201" s="1456"/>
      <c r="W1201" s="1456"/>
      <c r="X1201" s="1456"/>
      <c r="Y1201" s="288"/>
      <c r="Z1201" s="612"/>
      <c r="AA1201" s="289"/>
      <c r="AB1201" s="288" t="s">
        <v>4915</v>
      </c>
      <c r="AC1201" s="1456" t="s">
        <v>482</v>
      </c>
      <c r="AD1201" s="288" t="s">
        <v>467</v>
      </c>
      <c r="AE1201" s="494">
        <v>45244</v>
      </c>
      <c r="AF1201" s="494">
        <v>45609</v>
      </c>
      <c r="AG1201" s="299"/>
      <c r="AH1201" s="299"/>
      <c r="AI1201" s="254" t="s">
        <v>4208</v>
      </c>
      <c r="AJ1201" s="303" t="s">
        <v>136</v>
      </c>
      <c r="AK1201" s="241">
        <v>4</v>
      </c>
      <c r="AL1201" s="123" t="s">
        <v>496</v>
      </c>
      <c r="AM1201" s="175" t="s">
        <v>492</v>
      </c>
      <c r="AN1201" s="110"/>
      <c r="AO1201" s="110"/>
      <c r="AP1201" s="115"/>
      <c r="AQ1201" s="115"/>
      <c r="AR1201" s="115"/>
      <c r="AS1201" s="115"/>
      <c r="AT1201" s="115"/>
    </row>
    <row r="1202" spans="1:46" ht="39" customHeight="1" x14ac:dyDescent="0.25">
      <c r="A1202" s="1468">
        <v>1201</v>
      </c>
      <c r="B1202" s="146">
        <v>2</v>
      </c>
      <c r="C1202" s="260" t="s">
        <v>319</v>
      </c>
      <c r="D1202" s="241"/>
      <c r="E1202" s="241"/>
      <c r="F1202" s="241"/>
      <c r="G1202" s="261" t="s">
        <v>320</v>
      </c>
      <c r="H1202" s="262" t="s">
        <v>87</v>
      </c>
      <c r="I1202" s="364"/>
      <c r="J1202" s="245" t="s">
        <v>561</v>
      </c>
      <c r="K1202" s="197"/>
      <c r="L1202" s="281" t="s">
        <v>1860</v>
      </c>
      <c r="M1202" s="281" t="s">
        <v>1860</v>
      </c>
      <c r="N1202" s="366"/>
      <c r="O1202" s="392" t="s">
        <v>3178</v>
      </c>
      <c r="P1202" s="247"/>
      <c r="Q1202" s="373" t="s">
        <v>87</v>
      </c>
      <c r="R1202" s="982" t="s">
        <v>1870</v>
      </c>
      <c r="S1202" s="279">
        <v>37644</v>
      </c>
      <c r="T1202" s="250"/>
      <c r="U1202" s="251"/>
      <c r="V1202" s="241"/>
      <c r="W1202" s="197" t="s">
        <v>6221</v>
      </c>
      <c r="X1202" s="392"/>
      <c r="Y1202" s="299"/>
      <c r="Z1202" s="289"/>
      <c r="AA1202" s="289"/>
      <c r="AB1202" s="299"/>
      <c r="AC1202" s="223"/>
      <c r="AD1202" s="299" t="s">
        <v>1862</v>
      </c>
      <c r="AE1202" s="494"/>
      <c r="AF1202" s="494"/>
      <c r="AG1202" s="299"/>
      <c r="AH1202" s="299"/>
      <c r="AI1202" s="296"/>
      <c r="AJ1202" s="348" t="s">
        <v>560</v>
      </c>
      <c r="AK1202" s="241">
        <v>4</v>
      </c>
      <c r="AL1202" s="123" t="s">
        <v>496</v>
      </c>
      <c r="AM1202" s="175" t="s">
        <v>492</v>
      </c>
      <c r="AN1202" s="110"/>
      <c r="AO1202" s="110"/>
      <c r="AP1202" s="115"/>
      <c r="AQ1202" s="115"/>
      <c r="AR1202" s="115"/>
      <c r="AS1202" s="115"/>
      <c r="AT1202" s="116"/>
    </row>
    <row r="1203" spans="1:46" ht="39" customHeight="1" x14ac:dyDescent="0.25">
      <c r="A1203" s="1468">
        <v>1202</v>
      </c>
      <c r="B1203" s="141">
        <v>2</v>
      </c>
      <c r="C1203" s="378" t="s">
        <v>321</v>
      </c>
      <c r="D1203" s="303"/>
      <c r="E1203" s="241"/>
      <c r="F1203" s="241"/>
      <c r="G1203" s="261" t="s">
        <v>322</v>
      </c>
      <c r="H1203" s="262" t="s">
        <v>87</v>
      </c>
      <c r="I1203" s="357"/>
      <c r="J1203" s="245" t="s">
        <v>561</v>
      </c>
      <c r="K1203" s="595"/>
      <c r="L1203" s="288" t="s">
        <v>2444</v>
      </c>
      <c r="M1203" s="288" t="s">
        <v>2444</v>
      </c>
      <c r="N1203" s="366"/>
      <c r="O1203" s="1525" t="s">
        <v>2881</v>
      </c>
      <c r="P1203" s="402"/>
      <c r="Q1203" s="380" t="s">
        <v>87</v>
      </c>
      <c r="R1203" s="1266" t="s">
        <v>2311</v>
      </c>
      <c r="S1203" s="279"/>
      <c r="T1203" s="197"/>
      <c r="U1203" s="251" t="s">
        <v>54</v>
      </c>
      <c r="V1203" s="250" t="s">
        <v>5808</v>
      </c>
      <c r="W1203" s="197" t="s">
        <v>5807</v>
      </c>
      <c r="X1203" s="401" t="s">
        <v>5135</v>
      </c>
      <c r="Y1203" s="245" t="s">
        <v>5809</v>
      </c>
      <c r="Z1203" s="246">
        <v>45287</v>
      </c>
      <c r="AA1203" s="246"/>
      <c r="AB1203" s="361"/>
      <c r="AC1203" s="223" t="s">
        <v>946</v>
      </c>
      <c r="AD1203" s="376"/>
      <c r="AE1203" s="494"/>
      <c r="AF1203" s="494"/>
      <c r="AG1203" s="241"/>
      <c r="AH1203" s="283"/>
      <c r="AI1203" s="254" t="s">
        <v>1351</v>
      </c>
      <c r="AJ1203" s="303" t="s">
        <v>136</v>
      </c>
      <c r="AK1203" s="241">
        <v>4</v>
      </c>
      <c r="AL1203" s="123" t="s">
        <v>496</v>
      </c>
      <c r="AM1203" s="175" t="s">
        <v>492</v>
      </c>
      <c r="AN1203" s="110"/>
      <c r="AO1203" s="110"/>
      <c r="AP1203" s="115"/>
      <c r="AQ1203" s="115"/>
      <c r="AR1203" s="115"/>
      <c r="AS1203" s="115"/>
      <c r="AT1203" s="115"/>
    </row>
    <row r="1204" spans="1:46" ht="39" customHeight="1" x14ac:dyDescent="0.25">
      <c r="A1204" s="1468">
        <v>1203</v>
      </c>
      <c r="B1204" s="141">
        <v>1</v>
      </c>
      <c r="C1204" s="378" t="s">
        <v>323</v>
      </c>
      <c r="D1204" s="303"/>
      <c r="E1204" s="241"/>
      <c r="F1204" s="241"/>
      <c r="G1204" s="261" t="s">
        <v>324</v>
      </c>
      <c r="H1204" s="262" t="s">
        <v>87</v>
      </c>
      <c r="I1204" s="357"/>
      <c r="J1204" s="245" t="s">
        <v>561</v>
      </c>
      <c r="K1204" s="257"/>
      <c r="L1204" s="299"/>
      <c r="M1204" s="299"/>
      <c r="N1204" s="299"/>
      <c r="O1204" s="1357" t="s">
        <v>3428</v>
      </c>
      <c r="P1204" s="287" t="s">
        <v>1828</v>
      </c>
      <c r="Q1204" s="373" t="s">
        <v>293</v>
      </c>
      <c r="R1204" s="982" t="s">
        <v>3427</v>
      </c>
      <c r="S1204" s="279">
        <v>27918</v>
      </c>
      <c r="T1204" s="289"/>
      <c r="U1204" s="251"/>
      <c r="V1204" s="197"/>
      <c r="W1204" s="197"/>
      <c r="X1204" s="197"/>
      <c r="Y1204" s="1127"/>
      <c r="Z1204" s="246"/>
      <c r="AA1204" s="289"/>
      <c r="AB1204" s="299"/>
      <c r="AC1204" s="223"/>
      <c r="AD1204" s="299"/>
      <c r="AE1204" s="494"/>
      <c r="AF1204" s="494"/>
      <c r="AG1204" s="299"/>
      <c r="AH1204" s="299"/>
      <c r="AI1204" s="223"/>
      <c r="AJ1204" s="348" t="s">
        <v>560</v>
      </c>
      <c r="AK1204" s="241">
        <v>4</v>
      </c>
      <c r="AL1204" s="123" t="s">
        <v>496</v>
      </c>
      <c r="AM1204" s="175" t="s">
        <v>492</v>
      </c>
      <c r="AN1204" s="110"/>
      <c r="AO1204" s="110"/>
      <c r="AP1204" s="115"/>
      <c r="AQ1204" s="115"/>
      <c r="AR1204" s="115"/>
      <c r="AS1204" s="115"/>
      <c r="AT1204" s="115"/>
    </row>
    <row r="1205" spans="1:46" ht="39" customHeight="1" x14ac:dyDescent="0.25">
      <c r="A1205" s="1468">
        <v>1204</v>
      </c>
      <c r="B1205" s="141">
        <v>1</v>
      </c>
      <c r="C1205" s="503" t="s">
        <v>325</v>
      </c>
      <c r="D1205" s="471"/>
      <c r="E1205" s="471"/>
      <c r="F1205" s="471"/>
      <c r="G1205" s="472" t="s">
        <v>324</v>
      </c>
      <c r="H1205" s="262" t="s">
        <v>87</v>
      </c>
      <c r="I1205" s="473"/>
      <c r="J1205" s="245" t="s">
        <v>561</v>
      </c>
      <c r="K1205" s="197"/>
      <c r="L1205" s="281" t="s">
        <v>1527</v>
      </c>
      <c r="M1205" s="281" t="s">
        <v>2783</v>
      </c>
      <c r="N1205" s="366"/>
      <c r="O1205" s="392" t="s">
        <v>2896</v>
      </c>
      <c r="P1205" s="402"/>
      <c r="Q1205" s="380" t="s">
        <v>87</v>
      </c>
      <c r="R1205" s="427" t="s">
        <v>1724</v>
      </c>
      <c r="S1205" s="279">
        <v>38191</v>
      </c>
      <c r="T1205" s="197"/>
      <c r="U1205" s="251" t="s">
        <v>54</v>
      </c>
      <c r="V1205" s="452" t="s">
        <v>4047</v>
      </c>
      <c r="W1205" s="981" t="s">
        <v>4050</v>
      </c>
      <c r="X1205" s="443" t="s">
        <v>5135</v>
      </c>
      <c r="Y1205" s="979" t="s">
        <v>4051</v>
      </c>
      <c r="Z1205" s="399">
        <v>45231</v>
      </c>
      <c r="AA1205" s="486"/>
      <c r="AB1205" s="288" t="s">
        <v>4522</v>
      </c>
      <c r="AC1205" s="223" t="s">
        <v>946</v>
      </c>
      <c r="AD1205" s="376"/>
      <c r="AE1205" s="494">
        <v>45111</v>
      </c>
      <c r="AF1205" s="494">
        <v>45476</v>
      </c>
      <c r="AG1205" s="241"/>
      <c r="AH1205" s="283"/>
      <c r="AI1205" s="254" t="s">
        <v>1351</v>
      </c>
      <c r="AJ1205" s="303" t="s">
        <v>136</v>
      </c>
      <c r="AK1205" s="471">
        <v>4</v>
      </c>
      <c r="AL1205" s="176" t="s">
        <v>496</v>
      </c>
      <c r="AM1205" s="175" t="s">
        <v>492</v>
      </c>
      <c r="AN1205" s="110"/>
      <c r="AO1205" s="110"/>
      <c r="AP1205" s="115"/>
      <c r="AQ1205" s="115"/>
      <c r="AR1205" s="115"/>
      <c r="AS1205" s="115"/>
      <c r="AT1205" s="115"/>
    </row>
    <row r="1206" spans="1:46" ht="39" customHeight="1" x14ac:dyDescent="0.25">
      <c r="A1206" s="1468">
        <v>1205</v>
      </c>
      <c r="B1206" s="987"/>
      <c r="C1206" s="989"/>
      <c r="D1206" s="664"/>
      <c r="E1206" s="664"/>
      <c r="F1206" s="664"/>
      <c r="G1206" s="227"/>
      <c r="H1206" s="228"/>
      <c r="I1206" s="228"/>
      <c r="J1206" s="229"/>
      <c r="K1206" s="227"/>
      <c r="L1206" s="229"/>
      <c r="M1206" s="229"/>
      <c r="N1206" s="229"/>
      <c r="O1206" s="309"/>
      <c r="P1206" s="230" t="s">
        <v>327</v>
      </c>
      <c r="Q1206" s="726"/>
      <c r="R1206" s="1004"/>
      <c r="S1206" s="279"/>
      <c r="T1206" s="232"/>
      <c r="U1206" s="250"/>
      <c r="V1206" s="232"/>
      <c r="W1206" s="232"/>
      <c r="X1206" s="232"/>
      <c r="Y1206" s="232"/>
      <c r="Z1206" s="233"/>
      <c r="AA1206" s="234"/>
      <c r="AB1206" s="235"/>
      <c r="AC1206" s="236"/>
      <c r="AD1206" s="235"/>
      <c r="AE1206" s="494"/>
      <c r="AF1206" s="494"/>
      <c r="AG1206" s="664"/>
      <c r="AH1206" s="238"/>
      <c r="AI1206" s="239"/>
      <c r="AJ1206" s="576"/>
      <c r="AK1206" s="664"/>
      <c r="AL1206" s="113"/>
      <c r="AM1206" s="114"/>
      <c r="AN1206" s="113"/>
      <c r="AO1206" s="114"/>
      <c r="AP1206" s="115"/>
      <c r="AQ1206" s="115"/>
      <c r="AR1206" s="115"/>
      <c r="AS1206" s="115"/>
      <c r="AT1206" s="116"/>
    </row>
    <row r="1207" spans="1:46" ht="39" customHeight="1" x14ac:dyDescent="0.25">
      <c r="A1207" s="1468">
        <v>1206</v>
      </c>
      <c r="B1207" s="141">
        <v>5</v>
      </c>
      <c r="C1207" s="497" t="s">
        <v>288</v>
      </c>
      <c r="D1207" s="498"/>
      <c r="E1207" s="498" t="s">
        <v>47</v>
      </c>
      <c r="F1207" s="498"/>
      <c r="G1207" s="499" t="s">
        <v>289</v>
      </c>
      <c r="H1207" s="500" t="s">
        <v>132</v>
      </c>
      <c r="I1207" s="344">
        <v>144</v>
      </c>
      <c r="J1207" s="256">
        <v>403</v>
      </c>
      <c r="K1207" s="216" t="s">
        <v>144</v>
      </c>
      <c r="L1207" s="216" t="s">
        <v>970</v>
      </c>
      <c r="M1207" s="216" t="s">
        <v>4590</v>
      </c>
      <c r="N1207" s="245"/>
      <c r="O1207" s="216" t="s">
        <v>971</v>
      </c>
      <c r="P1207" s="359"/>
      <c r="Q1207" s="344" t="s">
        <v>132</v>
      </c>
      <c r="R1207" s="982" t="s">
        <v>972</v>
      </c>
      <c r="S1207" s="279">
        <v>35986</v>
      </c>
      <c r="T1207" s="250"/>
      <c r="U1207" s="251" t="s">
        <v>54</v>
      </c>
      <c r="V1207" s="361" t="s">
        <v>973</v>
      </c>
      <c r="W1207" s="361" t="s">
        <v>56</v>
      </c>
      <c r="X1207" s="197" t="s">
        <v>57</v>
      </c>
      <c r="Y1207" s="361" t="s">
        <v>974</v>
      </c>
      <c r="Z1207" s="362">
        <v>44913</v>
      </c>
      <c r="AA1207" s="361"/>
      <c r="AB1207" s="361"/>
      <c r="AC1207" s="223" t="s">
        <v>946</v>
      </c>
      <c r="AD1207" s="224"/>
      <c r="AE1207" s="363"/>
      <c r="AF1207" s="252"/>
      <c r="AG1207" s="282" t="s">
        <v>61</v>
      </c>
      <c r="AH1207" s="283"/>
      <c r="AI1207" s="296"/>
      <c r="AJ1207" s="348" t="s">
        <v>560</v>
      </c>
      <c r="AK1207" s="491">
        <v>3</v>
      </c>
      <c r="AL1207" s="175" t="s">
        <v>496</v>
      </c>
      <c r="AM1207" s="175" t="s">
        <v>492</v>
      </c>
      <c r="AN1207" s="130"/>
      <c r="AO1207" s="130"/>
      <c r="AP1207" s="115"/>
      <c r="AQ1207" s="115"/>
      <c r="AR1207" s="115"/>
      <c r="AS1207" s="115"/>
      <c r="AT1207" s="115"/>
    </row>
    <row r="1208" spans="1:46" ht="39" customHeight="1" x14ac:dyDescent="0.25">
      <c r="A1208" s="1468">
        <v>1207</v>
      </c>
      <c r="B1208" s="141">
        <v>3</v>
      </c>
      <c r="C1208" s="356" t="s">
        <v>290</v>
      </c>
      <c r="D1208" s="241" t="s">
        <v>134</v>
      </c>
      <c r="E1208" s="241"/>
      <c r="F1208" s="241"/>
      <c r="G1208" s="261" t="s">
        <v>291</v>
      </c>
      <c r="H1208" s="262" t="s">
        <v>85</v>
      </c>
      <c r="I1208" s="346"/>
      <c r="J1208" s="245" t="s">
        <v>556</v>
      </c>
      <c r="K1208" s="250"/>
      <c r="L1208" s="281" t="s">
        <v>5916</v>
      </c>
      <c r="M1208" s="281" t="s">
        <v>5916</v>
      </c>
      <c r="N1208" s="245"/>
      <c r="O1208" s="216" t="s">
        <v>5986</v>
      </c>
      <c r="P1208" s="325"/>
      <c r="Q1208" s="344" t="s">
        <v>132</v>
      </c>
      <c r="R1208" s="996" t="s">
        <v>5985</v>
      </c>
      <c r="S1208" s="279">
        <v>34334</v>
      </c>
      <c r="T1208" s="252"/>
      <c r="U1208" s="197"/>
      <c r="V1208" s="197"/>
      <c r="W1208" s="250"/>
      <c r="X1208" s="197"/>
      <c r="Y1208" s="197"/>
      <c r="Z1208" s="246"/>
      <c r="AA1208" s="289"/>
      <c r="AB1208" s="299"/>
      <c r="AC1208" s="223"/>
      <c r="AD1208" s="299"/>
      <c r="AE1208" s="494"/>
      <c r="AF1208" s="494"/>
      <c r="AG1208" s="299"/>
      <c r="AH1208" s="299"/>
      <c r="AI1208" s="223"/>
      <c r="AJ1208" s="348" t="s">
        <v>560</v>
      </c>
      <c r="AK1208" s="241">
        <v>4</v>
      </c>
      <c r="AL1208" s="123" t="s">
        <v>496</v>
      </c>
      <c r="AM1208" s="175" t="s">
        <v>492</v>
      </c>
      <c r="AN1208" s="110" t="s">
        <v>4184</v>
      </c>
      <c r="AO1208" s="130"/>
      <c r="AP1208" s="115"/>
      <c r="AQ1208" s="115"/>
      <c r="AR1208" s="115"/>
      <c r="AS1208" s="115"/>
      <c r="AT1208" s="115"/>
    </row>
    <row r="1209" spans="1:46" ht="39" customHeight="1" x14ac:dyDescent="0.25">
      <c r="A1209" s="1468">
        <v>1208</v>
      </c>
      <c r="B1209" s="141">
        <v>3</v>
      </c>
      <c r="C1209" s="358" t="s">
        <v>297</v>
      </c>
      <c r="D1209" s="241" t="s">
        <v>134</v>
      </c>
      <c r="E1209" s="241"/>
      <c r="F1209" s="241"/>
      <c r="G1209" s="261" t="s">
        <v>298</v>
      </c>
      <c r="H1209" s="262" t="s">
        <v>85</v>
      </c>
      <c r="I1209" s="346"/>
      <c r="J1209" s="245" t="s">
        <v>556</v>
      </c>
      <c r="K1209" s="216"/>
      <c r="L1209" s="288" t="s">
        <v>1526</v>
      </c>
      <c r="M1209" s="288" t="s">
        <v>1526</v>
      </c>
      <c r="N1209" s="374"/>
      <c r="O1209" s="385" t="s">
        <v>1579</v>
      </c>
      <c r="P1209" s="374"/>
      <c r="Q1209" s="373" t="s">
        <v>87</v>
      </c>
      <c r="R1209" s="982" t="s">
        <v>1580</v>
      </c>
      <c r="S1209" s="279">
        <v>35199</v>
      </c>
      <c r="T1209" s="197"/>
      <c r="U1209" s="251" t="s">
        <v>54</v>
      </c>
      <c r="V1209" s="246" t="s">
        <v>1676</v>
      </c>
      <c r="W1209" s="979" t="s">
        <v>56</v>
      </c>
      <c r="X1209" s="197" t="s">
        <v>57</v>
      </c>
      <c r="Y1209" s="981" t="s">
        <v>5824</v>
      </c>
      <c r="Z1209" s="246"/>
      <c r="AA1209" s="388"/>
      <c r="AB1209" s="288"/>
      <c r="AC1209" s="223"/>
      <c r="AD1209" s="288"/>
      <c r="AE1209" s="494"/>
      <c r="AF1209" s="494"/>
      <c r="AG1209" s="392"/>
      <c r="AH1209" s="283"/>
      <c r="AI1209" s="254"/>
      <c r="AJ1209" s="348" t="s">
        <v>560</v>
      </c>
      <c r="AK1209" s="241">
        <v>4</v>
      </c>
      <c r="AL1209" s="123" t="s">
        <v>496</v>
      </c>
      <c r="AM1209" s="175" t="s">
        <v>492</v>
      </c>
      <c r="AN1209" s="130"/>
      <c r="AO1209" s="130"/>
      <c r="AP1209" s="115"/>
      <c r="AQ1209" s="115"/>
      <c r="AR1209" s="115"/>
      <c r="AS1209" s="115"/>
      <c r="AT1209" s="116"/>
    </row>
    <row r="1210" spans="1:46" ht="39" customHeight="1" x14ac:dyDescent="0.25">
      <c r="A1210" s="1468">
        <v>1209</v>
      </c>
      <c r="B1210" s="141">
        <v>2</v>
      </c>
      <c r="C1210" s="260" t="s">
        <v>311</v>
      </c>
      <c r="D1210" s="241"/>
      <c r="E1210" s="241"/>
      <c r="F1210" s="241"/>
      <c r="G1210" s="261" t="s">
        <v>312</v>
      </c>
      <c r="H1210" s="262" t="s">
        <v>85</v>
      </c>
      <c r="I1210" s="346"/>
      <c r="J1210" s="245" t="s">
        <v>556</v>
      </c>
      <c r="K1210" s="216"/>
      <c r="L1210" s="301"/>
      <c r="M1210" s="301"/>
      <c r="N1210" s="281"/>
      <c r="O1210" s="385" t="s">
        <v>3237</v>
      </c>
      <c r="P1210" s="621" t="s">
        <v>1828</v>
      </c>
      <c r="Q1210" s="344" t="s">
        <v>87</v>
      </c>
      <c r="R1210" s="982" t="s">
        <v>3236</v>
      </c>
      <c r="S1210" s="279">
        <v>28937</v>
      </c>
      <c r="T1210" s="250"/>
      <c r="U1210" s="251" t="s">
        <v>54</v>
      </c>
      <c r="V1210" s="197" t="s">
        <v>5512</v>
      </c>
      <c r="W1210" s="250" t="s">
        <v>56</v>
      </c>
      <c r="X1210" s="197" t="s">
        <v>57</v>
      </c>
      <c r="Y1210" s="197" t="s">
        <v>5726</v>
      </c>
      <c r="Z1210" s="246">
        <v>45272</v>
      </c>
      <c r="AA1210" s="252"/>
      <c r="AB1210" s="281"/>
      <c r="AC1210" s="223"/>
      <c r="AD1210" s="281"/>
      <c r="AE1210" s="494"/>
      <c r="AF1210" s="494"/>
      <c r="AG1210" s="282"/>
      <c r="AH1210" s="281"/>
      <c r="AI1210" s="254"/>
      <c r="AJ1210" s="348" t="s">
        <v>560</v>
      </c>
      <c r="AK1210" s="241">
        <v>4</v>
      </c>
      <c r="AL1210" s="123" t="s">
        <v>496</v>
      </c>
      <c r="AM1210" s="175" t="s">
        <v>492</v>
      </c>
      <c r="AN1210" s="130"/>
      <c r="AO1210" s="130"/>
      <c r="AP1210" s="115"/>
      <c r="AQ1210" s="115"/>
      <c r="AR1210" s="115"/>
      <c r="AS1210" s="115"/>
      <c r="AT1210" s="115"/>
    </row>
    <row r="1211" spans="1:46" ht="39" customHeight="1" x14ac:dyDescent="0.25">
      <c r="A1211" s="1468">
        <v>1210</v>
      </c>
      <c r="B1211" s="141">
        <v>2</v>
      </c>
      <c r="C1211" s="260" t="s">
        <v>317</v>
      </c>
      <c r="D1211" s="241"/>
      <c r="E1211" s="241"/>
      <c r="F1211" s="241"/>
      <c r="G1211" s="261" t="s">
        <v>318</v>
      </c>
      <c r="H1211" s="262" t="s">
        <v>87</v>
      </c>
      <c r="I1211" s="357"/>
      <c r="J1211" s="245" t="s">
        <v>561</v>
      </c>
      <c r="K1211" s="257"/>
      <c r="L1211" s="281" t="s">
        <v>5916</v>
      </c>
      <c r="M1211" s="281" t="s">
        <v>5916</v>
      </c>
      <c r="N1211" s="366"/>
      <c r="O1211" s="281" t="s">
        <v>6141</v>
      </c>
      <c r="P1211" s="402"/>
      <c r="Q1211" s="344" t="s">
        <v>87</v>
      </c>
      <c r="R1211" s="982" t="s">
        <v>6142</v>
      </c>
      <c r="S1211" s="279">
        <v>36109</v>
      </c>
      <c r="T1211" s="197"/>
      <c r="U1211" s="251" t="s">
        <v>54</v>
      </c>
      <c r="V1211" s="306"/>
      <c r="W1211" s="949" t="s">
        <v>900</v>
      </c>
      <c r="X1211" s="250"/>
      <c r="Y1211" s="288"/>
      <c r="Z1211" s="289"/>
      <c r="AA1211" s="246"/>
      <c r="AB1211" s="288"/>
      <c r="AC1211" s="223"/>
      <c r="AD1211" s="376"/>
      <c r="AE1211" s="494"/>
      <c r="AF1211" s="494"/>
      <c r="AG1211" s="241"/>
      <c r="AH1211" s="283"/>
      <c r="AI1211" s="254"/>
      <c r="AJ1211" s="348" t="s">
        <v>560</v>
      </c>
      <c r="AK1211" s="241">
        <v>4</v>
      </c>
      <c r="AL1211" s="123" t="s">
        <v>496</v>
      </c>
      <c r="AM1211" s="175" t="s">
        <v>492</v>
      </c>
      <c r="AN1211" s="110"/>
      <c r="AO1211" s="110"/>
      <c r="AP1211" s="115"/>
      <c r="AQ1211" s="115"/>
      <c r="AR1211" s="115"/>
      <c r="AS1211" s="115"/>
      <c r="AT1211" s="115"/>
    </row>
    <row r="1212" spans="1:46" ht="39" customHeight="1" x14ac:dyDescent="0.25">
      <c r="A1212" s="1468">
        <v>1211</v>
      </c>
      <c r="B1212" s="146">
        <v>2</v>
      </c>
      <c r="C1212" s="260" t="s">
        <v>319</v>
      </c>
      <c r="D1212" s="241"/>
      <c r="E1212" s="241"/>
      <c r="F1212" s="241"/>
      <c r="G1212" s="261" t="s">
        <v>320</v>
      </c>
      <c r="H1212" s="262" t="s">
        <v>87</v>
      </c>
      <c r="I1212" s="357"/>
      <c r="J1212" s="245" t="s">
        <v>561</v>
      </c>
      <c r="K1212" s="684"/>
      <c r="L1212" s="245" t="s">
        <v>2078</v>
      </c>
      <c r="M1212" s="245" t="s">
        <v>2079</v>
      </c>
      <c r="N1212" s="684"/>
      <c r="O1212" s="392" t="s">
        <v>4009</v>
      </c>
      <c r="P1212" s="621" t="s">
        <v>1828</v>
      </c>
      <c r="Q1212" s="344" t="s">
        <v>87</v>
      </c>
      <c r="R1212" s="982" t="s">
        <v>2077</v>
      </c>
      <c r="S1212" s="279">
        <v>31686</v>
      </c>
      <c r="T1212" s="684"/>
      <c r="U1212" s="250"/>
      <c r="V1212" s="306"/>
      <c r="W1212" s="197"/>
      <c r="X1212" s="197"/>
      <c r="Y1212" s="979"/>
      <c r="Z1212" s="252"/>
      <c r="AA1212" s="252"/>
      <c r="AB1212" s="1290"/>
      <c r="AC1212" s="684"/>
      <c r="AD1212" s="686"/>
      <c r="AE1212" s="494"/>
      <c r="AF1212" s="494"/>
      <c r="AG1212" s="684"/>
      <c r="AH1212" s="684"/>
      <c r="AI1212" s="685"/>
      <c r="AJ1212" s="348" t="s">
        <v>560</v>
      </c>
      <c r="AK1212" s="241">
        <v>4</v>
      </c>
      <c r="AL1212" s="123" t="s">
        <v>496</v>
      </c>
      <c r="AM1212" s="175" t="s">
        <v>492</v>
      </c>
      <c r="AN1212" s="110"/>
      <c r="AO1212" s="110"/>
      <c r="AP1212" s="115"/>
      <c r="AQ1212" s="115"/>
      <c r="AR1212" s="115"/>
      <c r="AS1212" s="115"/>
      <c r="AT1212" s="116"/>
    </row>
    <row r="1213" spans="1:46" ht="39" customHeight="1" x14ac:dyDescent="0.25">
      <c r="A1213" s="1468">
        <v>1212</v>
      </c>
      <c r="B1213" s="141">
        <v>2</v>
      </c>
      <c r="C1213" s="378" t="s">
        <v>321</v>
      </c>
      <c r="D1213" s="303"/>
      <c r="E1213" s="241"/>
      <c r="F1213" s="241"/>
      <c r="G1213" s="261" t="s">
        <v>322</v>
      </c>
      <c r="H1213" s="262" t="s">
        <v>87</v>
      </c>
      <c r="I1213" s="357"/>
      <c r="J1213" s="245" t="s">
        <v>561</v>
      </c>
      <c r="K1213" s="216"/>
      <c r="L1213" s="281"/>
      <c r="M1213" s="281"/>
      <c r="N1213" s="366"/>
      <c r="O1213" s="392" t="s">
        <v>2097</v>
      </c>
      <c r="P1213" s="621" t="s">
        <v>1828</v>
      </c>
      <c r="Q1213" s="344" t="s">
        <v>567</v>
      </c>
      <c r="R1213" s="982" t="s">
        <v>2096</v>
      </c>
      <c r="S1213" s="279">
        <v>33522</v>
      </c>
      <c r="T1213" s="197"/>
      <c r="U1213" s="251" t="s">
        <v>54</v>
      </c>
      <c r="V1213" s="197" t="s">
        <v>5955</v>
      </c>
      <c r="W1213" s="197" t="s">
        <v>70</v>
      </c>
      <c r="X1213" s="197" t="s">
        <v>71</v>
      </c>
      <c r="Y1213" s="949" t="s">
        <v>5964</v>
      </c>
      <c r="Z1213" s="612">
        <v>45312</v>
      </c>
      <c r="AA1213" s="246"/>
      <c r="AB1213" s="361"/>
      <c r="AC1213" s="223"/>
      <c r="AD1213" s="376"/>
      <c r="AE1213" s="494"/>
      <c r="AF1213" s="494"/>
      <c r="AG1213" s="241"/>
      <c r="AH1213" s="283"/>
      <c r="AI1213" s="254"/>
      <c r="AJ1213" s="348" t="s">
        <v>560</v>
      </c>
      <c r="AK1213" s="241">
        <v>4</v>
      </c>
      <c r="AL1213" s="123" t="s">
        <v>496</v>
      </c>
      <c r="AM1213" s="175" t="s">
        <v>492</v>
      </c>
      <c r="AN1213" s="110"/>
      <c r="AO1213" s="110"/>
      <c r="AP1213" s="115"/>
      <c r="AQ1213" s="115"/>
      <c r="AR1213" s="115"/>
      <c r="AS1213" s="115"/>
      <c r="AT1213" s="115"/>
    </row>
    <row r="1214" spans="1:46" ht="39" customHeight="1" x14ac:dyDescent="0.25">
      <c r="A1214" s="1468">
        <v>1213</v>
      </c>
      <c r="B1214" s="141">
        <v>1</v>
      </c>
      <c r="C1214" s="378" t="s">
        <v>323</v>
      </c>
      <c r="D1214" s="303"/>
      <c r="E1214" s="241"/>
      <c r="F1214" s="241"/>
      <c r="G1214" s="261" t="s">
        <v>324</v>
      </c>
      <c r="H1214" s="262" t="s">
        <v>87</v>
      </c>
      <c r="I1214" s="357"/>
      <c r="J1214" s="245" t="s">
        <v>561</v>
      </c>
      <c r="K1214" s="216"/>
      <c r="L1214" s="250" t="s">
        <v>5163</v>
      </c>
      <c r="M1214" s="288" t="s">
        <v>5955</v>
      </c>
      <c r="N1214" s="366"/>
      <c r="O1214" s="1516" t="s">
        <v>5366</v>
      </c>
      <c r="P1214" s="247"/>
      <c r="Q1214" s="1516" t="s">
        <v>87</v>
      </c>
      <c r="R1214" s="1003" t="s">
        <v>5388</v>
      </c>
      <c r="S1214" s="279">
        <v>38614</v>
      </c>
      <c r="T1214" s="289"/>
      <c r="U1214" s="250"/>
      <c r="V1214" s="250"/>
      <c r="W1214" s="197"/>
      <c r="X1214" s="289"/>
      <c r="Y1214" s="949"/>
      <c r="Z1214" s="246"/>
      <c r="AA1214" s="281"/>
      <c r="AB1214" s="288" t="s">
        <v>5385</v>
      </c>
      <c r="AC1214" s="223"/>
      <c r="AD1214" s="245" t="s">
        <v>467</v>
      </c>
      <c r="AE1214" s="494">
        <v>45258</v>
      </c>
      <c r="AF1214" s="494">
        <v>45623</v>
      </c>
      <c r="AG1214" s="241"/>
      <c r="AH1214" s="253"/>
      <c r="AI1214" s="712" t="s">
        <v>4208</v>
      </c>
      <c r="AJ1214" s="303" t="s">
        <v>136</v>
      </c>
      <c r="AK1214" s="241">
        <v>4</v>
      </c>
      <c r="AL1214" s="123" t="s">
        <v>496</v>
      </c>
      <c r="AM1214" s="175" t="s">
        <v>492</v>
      </c>
      <c r="AN1214" s="120"/>
      <c r="AO1214" s="1154"/>
      <c r="AP1214" s="1155"/>
      <c r="AQ1214" s="164"/>
      <c r="AR1214" s="115"/>
      <c r="AS1214" s="115"/>
      <c r="AT1214" s="115"/>
    </row>
    <row r="1215" spans="1:46" ht="39" customHeight="1" x14ac:dyDescent="0.25">
      <c r="A1215" s="1468">
        <v>1214</v>
      </c>
      <c r="B1215" s="141">
        <v>1</v>
      </c>
      <c r="C1215" s="260" t="s">
        <v>325</v>
      </c>
      <c r="D1215" s="241"/>
      <c r="E1215" s="241"/>
      <c r="F1215" s="241"/>
      <c r="G1215" s="261" t="s">
        <v>324</v>
      </c>
      <c r="H1215" s="262" t="s">
        <v>87</v>
      </c>
      <c r="I1215" s="357"/>
      <c r="J1215" s="245" t="s">
        <v>561</v>
      </c>
      <c r="K1215" s="595"/>
      <c r="L1215" s="288" t="s">
        <v>6090</v>
      </c>
      <c r="M1215" s="288" t="s">
        <v>6090</v>
      </c>
      <c r="N1215" s="366"/>
      <c r="O1215" s="392" t="s">
        <v>6094</v>
      </c>
      <c r="P1215" s="402" t="s">
        <v>1828</v>
      </c>
      <c r="Q1215" s="344" t="s">
        <v>87</v>
      </c>
      <c r="R1215" s="982" t="s">
        <v>6093</v>
      </c>
      <c r="S1215" s="279"/>
      <c r="T1215" s="197"/>
      <c r="U1215" s="251" t="s">
        <v>54</v>
      </c>
      <c r="V1215" s="306" t="s">
        <v>6136</v>
      </c>
      <c r="W1215" s="981" t="s">
        <v>56</v>
      </c>
      <c r="X1215" s="250" t="s">
        <v>57</v>
      </c>
      <c r="Y1215" s="979" t="s">
        <v>3563</v>
      </c>
      <c r="Z1215" s="289">
        <v>45320</v>
      </c>
      <c r="AA1215" s="246"/>
      <c r="AB1215" s="361"/>
      <c r="AC1215" s="223"/>
      <c r="AD1215" s="376"/>
      <c r="AE1215" s="494"/>
      <c r="AF1215" s="494"/>
      <c r="AG1215" s="241"/>
      <c r="AH1215" s="283"/>
      <c r="AI1215" s="254"/>
      <c r="AJ1215" s="348" t="s">
        <v>560</v>
      </c>
      <c r="AK1215" s="241">
        <v>4</v>
      </c>
      <c r="AL1215" s="123" t="s">
        <v>496</v>
      </c>
      <c r="AM1215" s="175" t="s">
        <v>492</v>
      </c>
      <c r="AN1215" s="110"/>
      <c r="AO1215" s="110"/>
      <c r="AP1215" s="115"/>
      <c r="AQ1215" s="115"/>
      <c r="AR1215" s="115"/>
      <c r="AS1215" s="115"/>
      <c r="AT1215" s="115"/>
    </row>
    <row r="1216" spans="1:46" ht="39" customHeight="1" x14ac:dyDescent="0.25">
      <c r="A1216" s="1468">
        <v>1215</v>
      </c>
      <c r="B1216" s="117"/>
      <c r="C1216" s="324"/>
      <c r="D1216" s="664"/>
      <c r="E1216" s="664"/>
      <c r="F1216" s="664"/>
      <c r="G1216" s="227"/>
      <c r="H1216" s="228"/>
      <c r="I1216" s="228"/>
      <c r="J1216" s="229"/>
      <c r="K1216" s="227"/>
      <c r="L1216" s="229"/>
      <c r="M1216" s="229"/>
      <c r="N1216" s="229"/>
      <c r="O1216" s="309"/>
      <c r="P1216" s="230" t="s">
        <v>328</v>
      </c>
      <c r="Q1216" s="726"/>
      <c r="R1216" s="1004"/>
      <c r="S1216" s="279"/>
      <c r="T1216" s="232"/>
      <c r="U1216" s="250"/>
      <c r="V1216" s="232"/>
      <c r="W1216" s="232"/>
      <c r="X1216" s="232"/>
      <c r="Y1216" s="232"/>
      <c r="Z1216" s="233"/>
      <c r="AA1216" s="234"/>
      <c r="AB1216" s="235"/>
      <c r="AC1216" s="236"/>
      <c r="AD1216" s="235"/>
      <c r="AE1216" s="494"/>
      <c r="AF1216" s="494"/>
      <c r="AG1216" s="664"/>
      <c r="AH1216" s="238"/>
      <c r="AI1216" s="239"/>
      <c r="AJ1216" s="303"/>
      <c r="AK1216" s="241"/>
      <c r="AL1216" s="122"/>
      <c r="AM1216" s="122"/>
      <c r="AN1216" s="113"/>
      <c r="AO1216" s="114"/>
      <c r="AP1216" s="115"/>
      <c r="AQ1216" s="115"/>
      <c r="AR1216" s="115"/>
      <c r="AS1216" s="115"/>
      <c r="AT1216" s="116"/>
    </row>
    <row r="1217" spans="1:46" ht="39" customHeight="1" x14ac:dyDescent="0.25">
      <c r="A1217" s="1468">
        <v>1216</v>
      </c>
      <c r="B1217" s="141">
        <v>10</v>
      </c>
      <c r="C1217" s="240" t="s">
        <v>305</v>
      </c>
      <c r="D1217" s="242"/>
      <c r="E1217" s="242" t="s">
        <v>47</v>
      </c>
      <c r="F1217" s="242"/>
      <c r="G1217" s="243" t="s">
        <v>91</v>
      </c>
      <c r="H1217" s="244" t="s">
        <v>83</v>
      </c>
      <c r="I1217" s="340"/>
      <c r="J1217" s="245">
        <v>302</v>
      </c>
      <c r="K1217" s="197" t="s">
        <v>50</v>
      </c>
      <c r="L1217" s="216" t="s">
        <v>4620</v>
      </c>
      <c r="M1217" s="216" t="s">
        <v>4620</v>
      </c>
      <c r="N1217" s="245"/>
      <c r="O1217" s="216" t="s">
        <v>5157</v>
      </c>
      <c r="P1217" s="304"/>
      <c r="Q1217" s="326" t="s">
        <v>119</v>
      </c>
      <c r="R1217" s="990" t="s">
        <v>4619</v>
      </c>
      <c r="S1217" s="279">
        <v>36518</v>
      </c>
      <c r="T1217" s="443"/>
      <c r="U1217" s="251" t="s">
        <v>54</v>
      </c>
      <c r="V1217" s="276" t="s">
        <v>5830</v>
      </c>
      <c r="W1217" s="250" t="s">
        <v>70</v>
      </c>
      <c r="X1217" s="197" t="s">
        <v>71</v>
      </c>
      <c r="Y1217" s="1464" t="s">
        <v>5847</v>
      </c>
      <c r="Z1217" s="246">
        <v>45298</v>
      </c>
      <c r="AA1217" s="246"/>
      <c r="AB1217" s="281"/>
      <c r="AC1217" s="223"/>
      <c r="AD1217" s="250"/>
      <c r="AE1217" s="494"/>
      <c r="AF1217" s="494"/>
      <c r="AG1217" s="241"/>
      <c r="AH1217" s="283"/>
      <c r="AI1217" s="254"/>
      <c r="AJ1217" s="444" t="s">
        <v>62</v>
      </c>
      <c r="AK1217" s="242">
        <v>1</v>
      </c>
      <c r="AL1217" s="123" t="s">
        <v>496</v>
      </c>
      <c r="AM1217" s="175" t="s">
        <v>492</v>
      </c>
      <c r="AN1217" s="124"/>
      <c r="AO1217" s="124"/>
      <c r="AP1217" s="115"/>
      <c r="AQ1217" s="115"/>
      <c r="AR1217" s="115"/>
      <c r="AS1217" s="115"/>
      <c r="AT1217" s="115"/>
    </row>
    <row r="1218" spans="1:46" ht="39" customHeight="1" x14ac:dyDescent="0.25">
      <c r="A1218" s="1468">
        <v>1217</v>
      </c>
      <c r="B1218" s="117"/>
      <c r="C1218" s="324"/>
      <c r="D1218" s="664"/>
      <c r="E1218" s="664"/>
      <c r="F1218" s="664"/>
      <c r="G1218" s="227"/>
      <c r="H1218" s="228"/>
      <c r="I1218" s="228"/>
      <c r="J1218" s="229"/>
      <c r="K1218" s="227"/>
      <c r="L1218" s="229"/>
      <c r="M1218" s="229"/>
      <c r="N1218" s="229"/>
      <c r="O1218" s="309"/>
      <c r="P1218" s="230" t="s">
        <v>306</v>
      </c>
      <c r="Q1218" s="726"/>
      <c r="R1218" s="1004"/>
      <c r="S1218" s="279"/>
      <c r="T1218" s="232"/>
      <c r="U1218" s="250"/>
      <c r="V1218" s="232"/>
      <c r="W1218" s="232"/>
      <c r="X1218" s="232"/>
      <c r="Y1218" s="232"/>
      <c r="Z1218" s="233"/>
      <c r="AA1218" s="234"/>
      <c r="AB1218" s="235"/>
      <c r="AC1218" s="236"/>
      <c r="AD1218" s="235"/>
      <c r="AE1218" s="494"/>
      <c r="AF1218" s="494"/>
      <c r="AG1218" s="664"/>
      <c r="AH1218" s="238"/>
      <c r="AI1218" s="239"/>
      <c r="AJ1218" s="303"/>
      <c r="AK1218" s="241"/>
      <c r="AL1218" s="122"/>
      <c r="AM1218" s="122"/>
      <c r="AN1218" s="113"/>
      <c r="AO1218" s="114"/>
      <c r="AP1218" s="115"/>
      <c r="AQ1218" s="115"/>
      <c r="AR1218" s="115"/>
      <c r="AS1218" s="115"/>
      <c r="AT1218" s="116"/>
    </row>
    <row r="1219" spans="1:46" ht="39" customHeight="1" x14ac:dyDescent="0.25">
      <c r="A1219" s="1468">
        <v>1218</v>
      </c>
      <c r="B1219" s="141">
        <v>7</v>
      </c>
      <c r="C1219" s="290" t="s">
        <v>307</v>
      </c>
      <c r="D1219" s="291"/>
      <c r="E1219" s="291" t="s">
        <v>47</v>
      </c>
      <c r="F1219" s="291"/>
      <c r="G1219" s="292" t="s">
        <v>308</v>
      </c>
      <c r="H1219" s="293" t="s">
        <v>132</v>
      </c>
      <c r="I1219" s="371" t="s">
        <v>309</v>
      </c>
      <c r="J1219" s="256">
        <v>403</v>
      </c>
      <c r="K1219" s="277"/>
      <c r="L1219" s="756" t="s">
        <v>4055</v>
      </c>
      <c r="M1219" s="756" t="s">
        <v>4055</v>
      </c>
      <c r="N1219" s="454"/>
      <c r="O1219" s="906" t="s">
        <v>4587</v>
      </c>
      <c r="P1219" s="454"/>
      <c r="Q1219" s="344" t="s">
        <v>87</v>
      </c>
      <c r="R1219" s="998" t="s">
        <v>4586</v>
      </c>
      <c r="S1219" s="279">
        <v>28621</v>
      </c>
      <c r="T1219" s="280"/>
      <c r="U1219" s="250"/>
      <c r="V1219" s="280"/>
      <c r="W1219" s="197"/>
      <c r="X1219" s="197"/>
      <c r="Y1219" s="197"/>
      <c r="Z1219" s="246"/>
      <c r="AA1219" s="388"/>
      <c r="AB1219" s="288"/>
      <c r="AC1219" s="223"/>
      <c r="AD1219" s="288"/>
      <c r="AE1219" s="494"/>
      <c r="AF1219" s="494"/>
      <c r="AG1219" s="392"/>
      <c r="AH1219" s="283"/>
      <c r="AI1219" s="254"/>
      <c r="AJ1219" s="348" t="s">
        <v>560</v>
      </c>
      <c r="AK1219" s="291">
        <v>3</v>
      </c>
      <c r="AL1219" s="123" t="s">
        <v>496</v>
      </c>
      <c r="AM1219" s="175" t="s">
        <v>492</v>
      </c>
      <c r="AN1219" s="130"/>
      <c r="AO1219" s="130"/>
      <c r="AP1219" s="115"/>
      <c r="AQ1219" s="115"/>
      <c r="AR1219" s="115"/>
      <c r="AS1219" s="115"/>
      <c r="AT1219" s="115"/>
    </row>
    <row r="1220" spans="1:46" ht="39" customHeight="1" x14ac:dyDescent="0.25">
      <c r="A1220" s="1468">
        <v>1219</v>
      </c>
      <c r="B1220" s="141">
        <v>3</v>
      </c>
      <c r="C1220" s="356" t="s">
        <v>290</v>
      </c>
      <c r="D1220" s="241" t="s">
        <v>134</v>
      </c>
      <c r="E1220" s="241"/>
      <c r="F1220" s="241"/>
      <c r="G1220" s="261" t="s">
        <v>291</v>
      </c>
      <c r="H1220" s="262" t="s">
        <v>85</v>
      </c>
      <c r="I1220" s="346"/>
      <c r="J1220" s="245" t="s">
        <v>556</v>
      </c>
      <c r="K1220" s="257"/>
      <c r="L1220" s="288" t="s">
        <v>5916</v>
      </c>
      <c r="M1220" s="288" t="s">
        <v>5916</v>
      </c>
      <c r="N1220" s="299"/>
      <c r="O1220" s="288" t="s">
        <v>6021</v>
      </c>
      <c r="P1220" s="288"/>
      <c r="Q1220" s="344" t="s">
        <v>87</v>
      </c>
      <c r="R1220" s="998" t="s">
        <v>6022</v>
      </c>
      <c r="S1220" s="279">
        <v>36566</v>
      </c>
      <c r="T1220" s="289"/>
      <c r="U1220" s="250"/>
      <c r="V1220" s="299"/>
      <c r="W1220" s="197"/>
      <c r="X1220" s="197"/>
      <c r="Y1220" s="197"/>
      <c r="Z1220" s="246"/>
      <c r="AA1220" s="289"/>
      <c r="AB1220" s="288"/>
      <c r="AC1220" s="223"/>
      <c r="AD1220" s="299"/>
      <c r="AE1220" s="494"/>
      <c r="AF1220" s="494"/>
      <c r="AG1220" s="299"/>
      <c r="AH1220" s="299"/>
      <c r="AI1220" s="307"/>
      <c r="AJ1220" s="348" t="s">
        <v>560</v>
      </c>
      <c r="AK1220" s="241">
        <v>4</v>
      </c>
      <c r="AL1220" s="123" t="s">
        <v>496</v>
      </c>
      <c r="AM1220" s="175" t="s">
        <v>492</v>
      </c>
      <c r="AN1220" s="110" t="s">
        <v>4184</v>
      </c>
      <c r="AO1220" s="130"/>
      <c r="AP1220" s="115"/>
      <c r="AQ1220" s="115"/>
      <c r="AR1220" s="115"/>
      <c r="AS1220" s="115"/>
      <c r="AT1220" s="115"/>
    </row>
    <row r="1221" spans="1:46" ht="39" customHeight="1" x14ac:dyDescent="0.25">
      <c r="A1221" s="1468">
        <v>1220</v>
      </c>
      <c r="B1221" s="141">
        <v>3</v>
      </c>
      <c r="C1221" s="358" t="s">
        <v>297</v>
      </c>
      <c r="D1221" s="241" t="s">
        <v>134</v>
      </c>
      <c r="E1221" s="241"/>
      <c r="F1221" s="241"/>
      <c r="G1221" s="261" t="s">
        <v>298</v>
      </c>
      <c r="H1221" s="262" t="s">
        <v>85</v>
      </c>
      <c r="I1221" s="346"/>
      <c r="J1221" s="245" t="s">
        <v>556</v>
      </c>
      <c r="K1221" s="257"/>
      <c r="L1221" s="299"/>
      <c r="M1221" s="299"/>
      <c r="N1221" s="299"/>
      <c r="O1221" s="385" t="s">
        <v>2317</v>
      </c>
      <c r="P1221" s="438" t="s">
        <v>1411</v>
      </c>
      <c r="Q1221" s="344" t="s">
        <v>87</v>
      </c>
      <c r="R1221" s="982" t="s">
        <v>2316</v>
      </c>
      <c r="S1221" s="279">
        <v>31902</v>
      </c>
      <c r="T1221" s="289"/>
      <c r="U1221" s="251" t="s">
        <v>886</v>
      </c>
      <c r="V1221" s="197" t="s">
        <v>6108</v>
      </c>
      <c r="W1221" s="197" t="s">
        <v>886</v>
      </c>
      <c r="X1221" s="299" t="s">
        <v>4049</v>
      </c>
      <c r="Y1221" s="299"/>
      <c r="Z1221" s="289">
        <v>45317</v>
      </c>
      <c r="AA1221" s="289"/>
      <c r="AB1221" s="299"/>
      <c r="AC1221" s="223"/>
      <c r="AD1221" s="299"/>
      <c r="AE1221" s="494"/>
      <c r="AF1221" s="494"/>
      <c r="AG1221" s="299"/>
      <c r="AH1221" s="299"/>
      <c r="AI1221" s="223"/>
      <c r="AJ1221" s="348" t="s">
        <v>560</v>
      </c>
      <c r="AK1221" s="241">
        <v>4</v>
      </c>
      <c r="AL1221" s="123" t="s">
        <v>496</v>
      </c>
      <c r="AM1221" s="175" t="s">
        <v>492</v>
      </c>
      <c r="AN1221" s="130"/>
      <c r="AO1221" s="130"/>
      <c r="AP1221" s="115"/>
      <c r="AQ1221" s="115"/>
      <c r="AR1221" s="115"/>
      <c r="AS1221" s="115"/>
      <c r="AT1221" s="116"/>
    </row>
    <row r="1222" spans="1:46" ht="39" customHeight="1" x14ac:dyDescent="0.25">
      <c r="A1222" s="1468">
        <v>1221</v>
      </c>
      <c r="B1222" s="141">
        <v>2</v>
      </c>
      <c r="C1222" s="260" t="s">
        <v>311</v>
      </c>
      <c r="D1222" s="241"/>
      <c r="E1222" s="241"/>
      <c r="F1222" s="241"/>
      <c r="G1222" s="261" t="s">
        <v>312</v>
      </c>
      <c r="H1222" s="262" t="s">
        <v>85</v>
      </c>
      <c r="I1222" s="346"/>
      <c r="J1222" s="245" t="s">
        <v>556</v>
      </c>
      <c r="K1222" s="684"/>
      <c r="L1222" s="685"/>
      <c r="M1222" s="685"/>
      <c r="N1222" s="684"/>
      <c r="O1222" s="385" t="s">
        <v>3239</v>
      </c>
      <c r="P1222" s="484" t="s">
        <v>1828</v>
      </c>
      <c r="Q1222" s="344" t="s">
        <v>87</v>
      </c>
      <c r="R1222" s="982" t="s">
        <v>3238</v>
      </c>
      <c r="S1222" s="279">
        <v>26204</v>
      </c>
      <c r="T1222" s="684"/>
      <c r="U1222" s="251" t="s">
        <v>54</v>
      </c>
      <c r="V1222" s="197" t="s">
        <v>5512</v>
      </c>
      <c r="W1222" s="250" t="s">
        <v>56</v>
      </c>
      <c r="X1222" s="197" t="s">
        <v>57</v>
      </c>
      <c r="Y1222" s="197" t="s">
        <v>5726</v>
      </c>
      <c r="Z1222" s="246">
        <v>45272</v>
      </c>
      <c r="AA1222" s="684"/>
      <c r="AB1222" s="1290"/>
      <c r="AC1222" s="684"/>
      <c r="AD1222" s="686"/>
      <c r="AE1222" s="494"/>
      <c r="AF1222" s="494"/>
      <c r="AG1222" s="684"/>
      <c r="AH1222" s="684"/>
      <c r="AI1222" s="685"/>
      <c r="AJ1222" s="348" t="s">
        <v>560</v>
      </c>
      <c r="AK1222" s="241">
        <v>4</v>
      </c>
      <c r="AL1222" s="123" t="s">
        <v>496</v>
      </c>
      <c r="AM1222" s="175" t="s">
        <v>492</v>
      </c>
      <c r="AN1222" s="130"/>
      <c r="AO1222" s="130"/>
      <c r="AP1222" s="115"/>
      <c r="AQ1222" s="115"/>
      <c r="AR1222" s="115"/>
      <c r="AS1222" s="115"/>
      <c r="AT1222" s="115"/>
    </row>
    <row r="1223" spans="1:46" ht="39" customHeight="1" x14ac:dyDescent="0.25">
      <c r="A1223" s="1468">
        <v>1222</v>
      </c>
      <c r="B1223" s="141">
        <v>2</v>
      </c>
      <c r="C1223" s="260" t="s">
        <v>317</v>
      </c>
      <c r="D1223" s="241"/>
      <c r="E1223" s="241"/>
      <c r="F1223" s="241"/>
      <c r="G1223" s="261" t="s">
        <v>318</v>
      </c>
      <c r="H1223" s="262" t="s">
        <v>87</v>
      </c>
      <c r="I1223" s="357"/>
      <c r="J1223" s="245" t="s">
        <v>561</v>
      </c>
      <c r="K1223" s="216"/>
      <c r="L1223" s="281" t="s">
        <v>1527</v>
      </c>
      <c r="M1223" s="281" t="s">
        <v>2783</v>
      </c>
      <c r="N1223" s="366"/>
      <c r="O1223" s="392" t="s">
        <v>3043</v>
      </c>
      <c r="P1223" s="402"/>
      <c r="Q1223" s="380" t="s">
        <v>87</v>
      </c>
      <c r="R1223" s="1266" t="s">
        <v>1741</v>
      </c>
      <c r="S1223" s="279"/>
      <c r="T1223" s="197"/>
      <c r="U1223" s="251" t="s">
        <v>54</v>
      </c>
      <c r="V1223" s="306" t="s">
        <v>4047</v>
      </c>
      <c r="W1223" s="981" t="s">
        <v>4050</v>
      </c>
      <c r="X1223" s="250" t="s">
        <v>5135</v>
      </c>
      <c r="Y1223" s="979" t="s">
        <v>4051</v>
      </c>
      <c r="Z1223" s="289">
        <v>45231</v>
      </c>
      <c r="AA1223" s="246"/>
      <c r="AB1223" s="361"/>
      <c r="AC1223" s="223" t="s">
        <v>946</v>
      </c>
      <c r="AD1223" s="376"/>
      <c r="AE1223" s="494"/>
      <c r="AF1223" s="494"/>
      <c r="AG1223" s="241"/>
      <c r="AH1223" s="283"/>
      <c r="AI1223" s="254" t="s">
        <v>1351</v>
      </c>
      <c r="AJ1223" s="303" t="s">
        <v>136</v>
      </c>
      <c r="AK1223" s="241">
        <v>4</v>
      </c>
      <c r="AL1223" s="123" t="s">
        <v>496</v>
      </c>
      <c r="AM1223" s="175" t="s">
        <v>492</v>
      </c>
      <c r="AN1223" s="110"/>
      <c r="AO1223" s="110"/>
      <c r="AP1223" s="115"/>
      <c r="AQ1223" s="115"/>
      <c r="AR1223" s="115"/>
      <c r="AS1223" s="115"/>
      <c r="AT1223" s="115"/>
    </row>
    <row r="1224" spans="1:46" ht="39" customHeight="1" x14ac:dyDescent="0.25">
      <c r="A1224" s="1468">
        <v>1223</v>
      </c>
      <c r="B1224" s="146">
        <v>2</v>
      </c>
      <c r="C1224" s="260" t="s">
        <v>319</v>
      </c>
      <c r="D1224" s="241"/>
      <c r="E1224" s="241"/>
      <c r="F1224" s="241"/>
      <c r="G1224" s="261" t="s">
        <v>320</v>
      </c>
      <c r="H1224" s="262" t="s">
        <v>87</v>
      </c>
      <c r="I1224" s="357"/>
      <c r="J1224" s="245" t="s">
        <v>561</v>
      </c>
      <c r="K1224" s="257"/>
      <c r="L1224" s="301" t="s">
        <v>2800</v>
      </c>
      <c r="M1224" s="301" t="s">
        <v>2800</v>
      </c>
      <c r="N1224" s="299"/>
      <c r="O1224" s="385" t="s">
        <v>3269</v>
      </c>
      <c r="P1224" s="484" t="s">
        <v>1828</v>
      </c>
      <c r="Q1224" s="373" t="s">
        <v>87</v>
      </c>
      <c r="R1224" s="982" t="s">
        <v>3268</v>
      </c>
      <c r="S1224" s="279">
        <v>34879</v>
      </c>
      <c r="T1224" s="289"/>
      <c r="U1224" s="251" t="s">
        <v>468</v>
      </c>
      <c r="V1224" s="250" t="s">
        <v>3262</v>
      </c>
      <c r="W1224" s="197" t="s">
        <v>2871</v>
      </c>
      <c r="X1224" s="197" t="s">
        <v>2030</v>
      </c>
      <c r="Y1224" s="288" t="s">
        <v>3265</v>
      </c>
      <c r="Z1224" s="252">
        <v>45197</v>
      </c>
      <c r="AA1224" s="698"/>
      <c r="AB1224" s="299"/>
      <c r="AC1224" s="223"/>
      <c r="AD1224" s="299"/>
      <c r="AE1224" s="494"/>
      <c r="AF1224" s="494"/>
      <c r="AG1224" s="299"/>
      <c r="AH1224" s="299"/>
      <c r="AI1224" s="254"/>
      <c r="AJ1224" s="348" t="s">
        <v>560</v>
      </c>
      <c r="AK1224" s="241">
        <v>4</v>
      </c>
      <c r="AL1224" s="123" t="s">
        <v>496</v>
      </c>
      <c r="AM1224" s="175" t="s">
        <v>492</v>
      </c>
      <c r="AN1224" s="110"/>
      <c r="AO1224" s="110"/>
      <c r="AP1224" s="115"/>
      <c r="AQ1224" s="115"/>
      <c r="AR1224" s="115"/>
      <c r="AS1224" s="115"/>
      <c r="AT1224" s="116"/>
    </row>
    <row r="1225" spans="1:46" ht="39" customHeight="1" x14ac:dyDescent="0.25">
      <c r="A1225" s="1468">
        <v>1224</v>
      </c>
      <c r="B1225" s="141">
        <v>2</v>
      </c>
      <c r="C1225" s="378" t="s">
        <v>321</v>
      </c>
      <c r="D1225" s="303"/>
      <c r="E1225" s="241"/>
      <c r="F1225" s="241"/>
      <c r="G1225" s="261" t="s">
        <v>322</v>
      </c>
      <c r="H1225" s="262" t="s">
        <v>87</v>
      </c>
      <c r="I1225" s="357"/>
      <c r="J1225" s="245" t="s">
        <v>561</v>
      </c>
      <c r="K1225" s="197"/>
      <c r="L1225" s="281" t="s">
        <v>1824</v>
      </c>
      <c r="M1225" s="281" t="s">
        <v>1824</v>
      </c>
      <c r="N1225" s="366"/>
      <c r="O1225" s="950" t="s">
        <v>1868</v>
      </c>
      <c r="P1225" s="247"/>
      <c r="Q1225" s="373" t="s">
        <v>132</v>
      </c>
      <c r="R1225" s="982" t="s">
        <v>1869</v>
      </c>
      <c r="S1225" s="279">
        <v>30852</v>
      </c>
      <c r="T1225" s="250"/>
      <c r="U1225" s="251" t="s">
        <v>886</v>
      </c>
      <c r="V1225" s="241" t="s">
        <v>5721</v>
      </c>
      <c r="W1225" s="250" t="s">
        <v>886</v>
      </c>
      <c r="X1225" s="250" t="s">
        <v>886</v>
      </c>
      <c r="Y1225" s="299"/>
      <c r="Z1225" s="289">
        <v>45273</v>
      </c>
      <c r="AA1225" s="289"/>
      <c r="AB1225" s="299"/>
      <c r="AC1225" s="223"/>
      <c r="AD1225" s="299" t="s">
        <v>1862</v>
      </c>
      <c r="AE1225" s="494"/>
      <c r="AF1225" s="494"/>
      <c r="AG1225" s="299"/>
      <c r="AH1225" s="299"/>
      <c r="AI1225" s="296"/>
      <c r="AJ1225" s="348" t="s">
        <v>560</v>
      </c>
      <c r="AK1225" s="241">
        <v>4</v>
      </c>
      <c r="AL1225" s="123" t="s">
        <v>496</v>
      </c>
      <c r="AM1225" s="175" t="s">
        <v>492</v>
      </c>
      <c r="AN1225" s="110"/>
      <c r="AO1225" s="110"/>
      <c r="AP1225" s="115"/>
      <c r="AQ1225" s="115"/>
      <c r="AR1225" s="115"/>
      <c r="AS1225" s="115"/>
      <c r="AT1225" s="115"/>
    </row>
    <row r="1226" spans="1:46" ht="39" customHeight="1" x14ac:dyDescent="0.25">
      <c r="A1226" s="1468">
        <v>1225</v>
      </c>
      <c r="B1226" s="141">
        <v>1</v>
      </c>
      <c r="C1226" s="378" t="s">
        <v>323</v>
      </c>
      <c r="D1226" s="303"/>
      <c r="E1226" s="241"/>
      <c r="F1226" s="241"/>
      <c r="G1226" s="261" t="s">
        <v>324</v>
      </c>
      <c r="H1226" s="262" t="s">
        <v>87</v>
      </c>
      <c r="I1226" s="357"/>
      <c r="J1226" s="245" t="s">
        <v>561</v>
      </c>
      <c r="K1226" s="1519" t="s">
        <v>313</v>
      </c>
      <c r="L1226" s="277" t="s">
        <v>4853</v>
      </c>
      <c r="M1226" s="277" t="s">
        <v>4853</v>
      </c>
      <c r="N1226" s="299"/>
      <c r="O1226" s="1519" t="s">
        <v>4917</v>
      </c>
      <c r="P1226" s="300"/>
      <c r="Q1226" s="301" t="s">
        <v>87</v>
      </c>
      <c r="R1226" s="381" t="s">
        <v>4871</v>
      </c>
      <c r="S1226" s="279">
        <v>38619</v>
      </c>
      <c r="T1226" s="640"/>
      <c r="U1226" s="250"/>
      <c r="V1226" s="1519"/>
      <c r="W1226" s="1519"/>
      <c r="X1226" s="1519"/>
      <c r="Y1226" s="288"/>
      <c r="Z1226" s="612"/>
      <c r="AA1226" s="640"/>
      <c r="AB1226" s="288" t="s">
        <v>4916</v>
      </c>
      <c r="AC1226" s="1519" t="s">
        <v>482</v>
      </c>
      <c r="AD1226" s="288" t="s">
        <v>467</v>
      </c>
      <c r="AE1226" s="494">
        <v>45244</v>
      </c>
      <c r="AF1226" s="494">
        <v>45609</v>
      </c>
      <c r="AG1226" s="640"/>
      <c r="AH1226" s="640"/>
      <c r="AI1226" s="254" t="s">
        <v>4208</v>
      </c>
      <c r="AJ1226" s="303" t="s">
        <v>136</v>
      </c>
      <c r="AK1226" s="241">
        <v>4</v>
      </c>
      <c r="AL1226" s="123" t="s">
        <v>496</v>
      </c>
      <c r="AM1226" s="175" t="s">
        <v>492</v>
      </c>
      <c r="AN1226" s="110"/>
      <c r="AO1226" s="110"/>
      <c r="AP1226" s="115"/>
      <c r="AQ1226" s="115"/>
      <c r="AR1226" s="115"/>
      <c r="AS1226" s="115"/>
      <c r="AT1226" s="115"/>
    </row>
    <row r="1227" spans="1:46" ht="40.5" customHeight="1" x14ac:dyDescent="0.25">
      <c r="A1227" s="1468">
        <v>1226</v>
      </c>
      <c r="B1227" s="141">
        <v>1</v>
      </c>
      <c r="C1227" s="260" t="s">
        <v>325</v>
      </c>
      <c r="D1227" s="241"/>
      <c r="E1227" s="241"/>
      <c r="F1227" s="241"/>
      <c r="G1227" s="261" t="s">
        <v>324</v>
      </c>
      <c r="H1227" s="262" t="s">
        <v>87</v>
      </c>
      <c r="I1227" s="357"/>
      <c r="J1227" s="245" t="s">
        <v>561</v>
      </c>
      <c r="K1227" s="257"/>
      <c r="L1227" s="281" t="s">
        <v>5022</v>
      </c>
      <c r="M1227" s="281" t="s">
        <v>5022</v>
      </c>
      <c r="N1227" s="299"/>
      <c r="O1227" s="392" t="s">
        <v>5021</v>
      </c>
      <c r="P1227" s="300"/>
      <c r="Q1227" s="373" t="s">
        <v>87</v>
      </c>
      <c r="R1227" s="982" t="s">
        <v>5020</v>
      </c>
      <c r="S1227" s="279">
        <v>38277</v>
      </c>
      <c r="T1227" s="289"/>
      <c r="U1227" s="251" t="s">
        <v>886</v>
      </c>
      <c r="V1227" s="1416" t="s">
        <v>6102</v>
      </c>
      <c r="W1227" s="280" t="s">
        <v>6100</v>
      </c>
      <c r="X1227" s="280" t="s">
        <v>886</v>
      </c>
      <c r="Y1227" s="949"/>
      <c r="Z1227" s="246">
        <v>45315</v>
      </c>
      <c r="AA1227" s="289"/>
      <c r="AB1227" s="299"/>
      <c r="AC1227" s="223"/>
      <c r="AD1227" s="299"/>
      <c r="AE1227" s="494"/>
      <c r="AF1227" s="494"/>
      <c r="AG1227" s="299"/>
      <c r="AH1227" s="299"/>
      <c r="AI1227" s="254"/>
      <c r="AJ1227" s="348" t="s">
        <v>560</v>
      </c>
      <c r="AK1227" s="241">
        <v>4</v>
      </c>
      <c r="AL1227" s="123" t="s">
        <v>496</v>
      </c>
      <c r="AM1227" s="175" t="s">
        <v>492</v>
      </c>
      <c r="AN1227" s="110"/>
      <c r="AO1227" s="110"/>
      <c r="AP1227" s="115"/>
      <c r="AQ1227" s="115"/>
      <c r="AR1227" s="115"/>
      <c r="AS1227" s="115"/>
      <c r="AT1227" s="115"/>
    </row>
    <row r="1228" spans="1:46" ht="39" customHeight="1" x14ac:dyDescent="0.25">
      <c r="A1228" s="1468">
        <v>1227</v>
      </c>
      <c r="B1228" s="117"/>
      <c r="C1228" s="324"/>
      <c r="D1228" s="664"/>
      <c r="E1228" s="664"/>
      <c r="F1228" s="664"/>
      <c r="G1228" s="227"/>
      <c r="H1228" s="228"/>
      <c r="I1228" s="228"/>
      <c r="J1228" s="229"/>
      <c r="K1228" s="227"/>
      <c r="L1228" s="229"/>
      <c r="M1228" s="229"/>
      <c r="N1228" s="229"/>
      <c r="O1228" s="309"/>
      <c r="P1228" s="230" t="s">
        <v>326</v>
      </c>
      <c r="Q1228" s="726"/>
      <c r="R1228" s="1004"/>
      <c r="S1228" s="279"/>
      <c r="T1228" s="232"/>
      <c r="U1228" s="250"/>
      <c r="V1228" s="232"/>
      <c r="W1228" s="232"/>
      <c r="X1228" s="232"/>
      <c r="Y1228" s="690"/>
      <c r="Z1228" s="233"/>
      <c r="AA1228" s="234"/>
      <c r="AB1228" s="235"/>
      <c r="AC1228" s="236"/>
      <c r="AD1228" s="235"/>
      <c r="AE1228" s="494"/>
      <c r="AF1228" s="494"/>
      <c r="AG1228" s="664"/>
      <c r="AH1228" s="238"/>
      <c r="AI1228" s="239"/>
      <c r="AJ1228" s="303"/>
      <c r="AK1228" s="241"/>
      <c r="AL1228" s="122"/>
      <c r="AM1228" s="122"/>
      <c r="AN1228" s="113"/>
      <c r="AO1228" s="114"/>
      <c r="AP1228" s="115"/>
      <c r="AQ1228" s="115"/>
      <c r="AR1228" s="115"/>
      <c r="AS1228" s="115"/>
      <c r="AT1228" s="116"/>
    </row>
    <row r="1229" spans="1:46" ht="39" customHeight="1" x14ac:dyDescent="0.25">
      <c r="A1229" s="1468">
        <v>1228</v>
      </c>
      <c r="B1229" s="146">
        <v>5</v>
      </c>
      <c r="C1229" s="290" t="s">
        <v>288</v>
      </c>
      <c r="D1229" s="291"/>
      <c r="E1229" s="291" t="s">
        <v>47</v>
      </c>
      <c r="F1229" s="291"/>
      <c r="G1229" s="292" t="s">
        <v>289</v>
      </c>
      <c r="H1229" s="370" t="s">
        <v>132</v>
      </c>
      <c r="I1229" s="344">
        <v>144</v>
      </c>
      <c r="J1229" s="256">
        <v>403</v>
      </c>
      <c r="K1229" s="277"/>
      <c r="L1229" s="441"/>
      <c r="M1229" s="441"/>
      <c r="N1229" s="276"/>
      <c r="O1229" s="216" t="s">
        <v>2841</v>
      </c>
      <c r="P1229" s="402" t="s">
        <v>1828</v>
      </c>
      <c r="Q1229" s="298" t="s">
        <v>132</v>
      </c>
      <c r="R1229" s="982" t="s">
        <v>2840</v>
      </c>
      <c r="S1229" s="279">
        <v>31942</v>
      </c>
      <c r="T1229" s="197"/>
      <c r="U1229" s="251" t="s">
        <v>54</v>
      </c>
      <c r="V1229" s="250" t="s">
        <v>4047</v>
      </c>
      <c r="W1229" s="197" t="s">
        <v>70</v>
      </c>
      <c r="X1229" s="289" t="s">
        <v>71</v>
      </c>
      <c r="Y1229" s="288" t="s">
        <v>4218</v>
      </c>
      <c r="Z1229" s="252">
        <v>45232</v>
      </c>
      <c r="AA1229" s="252"/>
      <c r="AB1229" s="487"/>
      <c r="AC1229" s="488"/>
      <c r="AD1229" s="487"/>
      <c r="AE1229" s="494"/>
      <c r="AF1229" s="494"/>
      <c r="AG1229" s="487"/>
      <c r="AH1229" s="489"/>
      <c r="AI1229" s="523"/>
      <c r="AJ1229" s="348" t="s">
        <v>560</v>
      </c>
      <c r="AK1229" s="348">
        <v>3</v>
      </c>
      <c r="AL1229" s="123" t="s">
        <v>496</v>
      </c>
      <c r="AM1229" s="175" t="s">
        <v>492</v>
      </c>
      <c r="AN1229" s="130"/>
      <c r="AO1229" s="130"/>
      <c r="AP1229" s="115"/>
      <c r="AQ1229" s="115"/>
      <c r="AR1229" s="115"/>
      <c r="AS1229" s="115"/>
      <c r="AT1229" s="115"/>
    </row>
    <row r="1230" spans="1:46" ht="39" customHeight="1" x14ac:dyDescent="0.25">
      <c r="A1230" s="1468">
        <v>1229</v>
      </c>
      <c r="B1230" s="141">
        <v>3</v>
      </c>
      <c r="C1230" s="356" t="s">
        <v>290</v>
      </c>
      <c r="D1230" s="241" t="s">
        <v>134</v>
      </c>
      <c r="E1230" s="241"/>
      <c r="F1230" s="241"/>
      <c r="G1230" s="261" t="s">
        <v>291</v>
      </c>
      <c r="H1230" s="262" t="s">
        <v>85</v>
      </c>
      <c r="I1230" s="357"/>
      <c r="J1230" s="245" t="s">
        <v>556</v>
      </c>
      <c r="K1230" s="257"/>
      <c r="L1230" s="281"/>
      <c r="M1230" s="281"/>
      <c r="N1230" s="366"/>
      <c r="O1230" s="216" t="s">
        <v>5737</v>
      </c>
      <c r="P1230" s="413" t="s">
        <v>1411</v>
      </c>
      <c r="Q1230" s="373" t="s">
        <v>87</v>
      </c>
      <c r="R1230" s="982" t="s">
        <v>5736</v>
      </c>
      <c r="S1230" s="279">
        <v>33437</v>
      </c>
      <c r="T1230" s="197"/>
      <c r="U1230" s="250"/>
      <c r="V1230" s="245"/>
      <c r="W1230" s="197" t="s">
        <v>4076</v>
      </c>
      <c r="X1230" s="250"/>
      <c r="Y1230" s="197"/>
      <c r="Z1230" s="246"/>
      <c r="AA1230" s="246"/>
      <c r="AB1230" s="361"/>
      <c r="AC1230" s="223"/>
      <c r="AD1230" s="376"/>
      <c r="AE1230" s="494"/>
      <c r="AF1230" s="494"/>
      <c r="AG1230" s="241"/>
      <c r="AH1230" s="283"/>
      <c r="AI1230" s="254"/>
      <c r="AJ1230" s="348" t="s">
        <v>560</v>
      </c>
      <c r="AK1230" s="241">
        <v>4</v>
      </c>
      <c r="AL1230" s="123" t="s">
        <v>496</v>
      </c>
      <c r="AM1230" s="175" t="s">
        <v>492</v>
      </c>
      <c r="AN1230" s="110" t="s">
        <v>4184</v>
      </c>
      <c r="AO1230" s="110"/>
      <c r="AP1230" s="115"/>
      <c r="AQ1230" s="115"/>
      <c r="AR1230" s="115"/>
      <c r="AS1230" s="115"/>
      <c r="AT1230" s="115"/>
    </row>
    <row r="1231" spans="1:46" ht="39" customHeight="1" x14ac:dyDescent="0.25">
      <c r="A1231" s="1468">
        <v>1230</v>
      </c>
      <c r="B1231" s="141">
        <v>3</v>
      </c>
      <c r="C1231" s="358" t="s">
        <v>297</v>
      </c>
      <c r="D1231" s="241" t="s">
        <v>134</v>
      </c>
      <c r="E1231" s="241"/>
      <c r="F1231" s="241"/>
      <c r="G1231" s="261" t="s">
        <v>298</v>
      </c>
      <c r="H1231" s="262" t="s">
        <v>85</v>
      </c>
      <c r="I1231" s="357"/>
      <c r="J1231" s="245" t="s">
        <v>556</v>
      </c>
      <c r="K1231" s="257"/>
      <c r="L1231" s="299"/>
      <c r="M1231" s="412"/>
      <c r="N1231" s="412"/>
      <c r="O1231" s="216" t="s">
        <v>5156</v>
      </c>
      <c r="P1231" s="413"/>
      <c r="Q1231" s="373" t="s">
        <v>567</v>
      </c>
      <c r="R1231" s="982" t="s">
        <v>5155</v>
      </c>
      <c r="S1231" s="279">
        <v>35272</v>
      </c>
      <c r="T1231" s="399"/>
      <c r="U1231" s="251" t="s">
        <v>54</v>
      </c>
      <c r="V1231" s="245" t="s">
        <v>5133</v>
      </c>
      <c r="W1231" s="147" t="s">
        <v>56</v>
      </c>
      <c r="X1231" s="299"/>
      <c r="Y1231" s="288"/>
      <c r="Z1231" s="289"/>
      <c r="AA1231" s="289"/>
      <c r="AB1231" s="299"/>
      <c r="AC1231" s="223"/>
      <c r="AD1231" s="299"/>
      <c r="AE1231" s="494"/>
      <c r="AF1231" s="494"/>
      <c r="AG1231" s="299"/>
      <c r="AH1231" s="299"/>
      <c r="AI1231" s="223"/>
      <c r="AJ1231" s="348" t="s">
        <v>560</v>
      </c>
      <c r="AK1231" s="241">
        <v>4</v>
      </c>
      <c r="AL1231" s="123" t="s">
        <v>496</v>
      </c>
      <c r="AM1231" s="175" t="s">
        <v>492</v>
      </c>
      <c r="AN1231" s="110"/>
      <c r="AO1231" s="110"/>
      <c r="AP1231" s="115"/>
      <c r="AQ1231" s="115"/>
      <c r="AR1231" s="115"/>
      <c r="AS1231" s="115"/>
      <c r="AT1231" s="116"/>
    </row>
    <row r="1232" spans="1:46" ht="39" customHeight="1" x14ac:dyDescent="0.25">
      <c r="A1232" s="1468">
        <v>1231</v>
      </c>
      <c r="B1232" s="141">
        <v>2</v>
      </c>
      <c r="C1232" s="260" t="s">
        <v>311</v>
      </c>
      <c r="D1232" s="241"/>
      <c r="E1232" s="241"/>
      <c r="F1232" s="241"/>
      <c r="G1232" s="261" t="s">
        <v>312</v>
      </c>
      <c r="H1232" s="262" t="s">
        <v>85</v>
      </c>
      <c r="I1232" s="357"/>
      <c r="J1232" s="245" t="s">
        <v>556</v>
      </c>
      <c r="K1232" s="684"/>
      <c r="L1232" s="685"/>
      <c r="M1232" s="685"/>
      <c r="N1232" s="684"/>
      <c r="O1232" s="385" t="s">
        <v>3241</v>
      </c>
      <c r="P1232" s="484" t="s">
        <v>1828</v>
      </c>
      <c r="Q1232" s="373" t="s">
        <v>567</v>
      </c>
      <c r="R1232" s="982" t="s">
        <v>3240</v>
      </c>
      <c r="S1232" s="279">
        <v>31926</v>
      </c>
      <c r="T1232" s="684"/>
      <c r="U1232" s="251" t="s">
        <v>54</v>
      </c>
      <c r="V1232" s="197" t="s">
        <v>5512</v>
      </c>
      <c r="W1232" s="250" t="s">
        <v>56</v>
      </c>
      <c r="X1232" s="197" t="s">
        <v>57</v>
      </c>
      <c r="Y1232" s="197" t="s">
        <v>5726</v>
      </c>
      <c r="Z1232" s="246">
        <v>45272</v>
      </c>
      <c r="AA1232" s="684"/>
      <c r="AB1232" s="1290"/>
      <c r="AC1232" s="684"/>
      <c r="AD1232" s="686"/>
      <c r="AE1232" s="494"/>
      <c r="AF1232" s="494"/>
      <c r="AG1232" s="684"/>
      <c r="AH1232" s="684"/>
      <c r="AI1232" s="685"/>
      <c r="AJ1232" s="348" t="s">
        <v>560</v>
      </c>
      <c r="AK1232" s="241">
        <v>4</v>
      </c>
      <c r="AL1232" s="123" t="s">
        <v>496</v>
      </c>
      <c r="AM1232" s="175" t="s">
        <v>492</v>
      </c>
      <c r="AN1232" s="110"/>
      <c r="AO1232" s="110"/>
      <c r="AP1232" s="115"/>
      <c r="AQ1232" s="115"/>
      <c r="AR1232" s="115"/>
      <c r="AS1232" s="115"/>
      <c r="AT1232" s="115"/>
    </row>
    <row r="1233" spans="1:47" ht="39" customHeight="1" x14ac:dyDescent="0.25">
      <c r="A1233" s="1468">
        <v>1232</v>
      </c>
      <c r="B1233" s="141">
        <v>2</v>
      </c>
      <c r="C1233" s="260" t="s">
        <v>317</v>
      </c>
      <c r="D1233" s="241"/>
      <c r="E1233" s="241"/>
      <c r="F1233" s="241"/>
      <c r="G1233" s="261" t="s">
        <v>318</v>
      </c>
      <c r="H1233" s="262" t="s">
        <v>87</v>
      </c>
      <c r="I1233" s="357"/>
      <c r="J1233" s="245" t="s">
        <v>561</v>
      </c>
      <c r="K1233" s="1456"/>
      <c r="L1233" s="277" t="s">
        <v>5916</v>
      </c>
      <c r="M1233" s="277" t="s">
        <v>5916</v>
      </c>
      <c r="N1233" s="299"/>
      <c r="O1233" s="1470" t="s">
        <v>6014</v>
      </c>
      <c r="P1233" s="300"/>
      <c r="Q1233" s="373" t="s">
        <v>132</v>
      </c>
      <c r="R1233" s="982" t="s">
        <v>6013</v>
      </c>
      <c r="S1233" s="279">
        <v>34975</v>
      </c>
      <c r="T1233" s="640"/>
      <c r="U1233" s="251" t="s">
        <v>54</v>
      </c>
      <c r="V1233" s="1456"/>
      <c r="W1233" s="1456" t="s">
        <v>900</v>
      </c>
      <c r="X1233" s="1456"/>
      <c r="Y1233" s="288"/>
      <c r="Z1233" s="612"/>
      <c r="AA1233" s="640"/>
      <c r="AB1233" s="288"/>
      <c r="AC1233" s="1456"/>
      <c r="AD1233" s="288"/>
      <c r="AE1233" s="494"/>
      <c r="AF1233" s="494"/>
      <c r="AG1233" s="640"/>
      <c r="AH1233" s="640"/>
      <c r="AI1233" s="254"/>
      <c r="AJ1233" s="348" t="s">
        <v>560</v>
      </c>
      <c r="AK1233" s="241">
        <v>4</v>
      </c>
      <c r="AL1233" s="123" t="s">
        <v>496</v>
      </c>
      <c r="AM1233" s="175" t="s">
        <v>492</v>
      </c>
      <c r="AN1233" s="110"/>
      <c r="AO1233" s="110"/>
      <c r="AP1233" s="115"/>
      <c r="AQ1233" s="115"/>
      <c r="AR1233" s="115"/>
      <c r="AS1233" s="115"/>
      <c r="AT1233" s="115"/>
    </row>
    <row r="1234" spans="1:47" ht="39" customHeight="1" x14ac:dyDescent="0.25">
      <c r="A1234" s="1468">
        <v>1233</v>
      </c>
      <c r="B1234" s="146">
        <v>2</v>
      </c>
      <c r="C1234" s="260" t="s">
        <v>319</v>
      </c>
      <c r="D1234" s="241"/>
      <c r="E1234" s="241"/>
      <c r="F1234" s="241"/>
      <c r="G1234" s="261" t="s">
        <v>320</v>
      </c>
      <c r="H1234" s="262" t="s">
        <v>87</v>
      </c>
      <c r="I1234" s="357"/>
      <c r="J1234" s="245" t="s">
        <v>561</v>
      </c>
      <c r="K1234" s="197"/>
      <c r="L1234" s="281" t="s">
        <v>3970</v>
      </c>
      <c r="M1234" s="281" t="s">
        <v>3970</v>
      </c>
      <c r="N1234" s="366"/>
      <c r="O1234" s="392" t="s">
        <v>2315</v>
      </c>
      <c r="P1234" s="595"/>
      <c r="Q1234" s="348" t="s">
        <v>87</v>
      </c>
      <c r="R1234" s="1166" t="s">
        <v>2314</v>
      </c>
      <c r="S1234" s="279">
        <v>28611</v>
      </c>
      <c r="T1234" s="482"/>
      <c r="U1234" s="251" t="s">
        <v>54</v>
      </c>
      <c r="V1234" s="1449" t="s">
        <v>5815</v>
      </c>
      <c r="W1234" s="250" t="s">
        <v>5728</v>
      </c>
      <c r="X1234" s="197" t="s">
        <v>57</v>
      </c>
      <c r="Y1234" s="949" t="s">
        <v>4631</v>
      </c>
      <c r="Z1234" s="246">
        <v>45288</v>
      </c>
      <c r="AA1234" s="289"/>
      <c r="AB1234" s="299"/>
      <c r="AC1234" s="223"/>
      <c r="AD1234" s="299"/>
      <c r="AE1234" s="494"/>
      <c r="AF1234" s="494"/>
      <c r="AG1234" s="299"/>
      <c r="AH1234" s="299"/>
      <c r="AI1234" s="296"/>
      <c r="AJ1234" s="348" t="s">
        <v>560</v>
      </c>
      <c r="AK1234" s="241">
        <v>4</v>
      </c>
      <c r="AL1234" s="123" t="s">
        <v>496</v>
      </c>
      <c r="AM1234" s="175" t="s">
        <v>492</v>
      </c>
      <c r="AN1234" s="110"/>
      <c r="AO1234" s="110"/>
      <c r="AP1234" s="115"/>
      <c r="AQ1234" s="115"/>
      <c r="AR1234" s="115"/>
      <c r="AS1234" s="115"/>
      <c r="AT1234" s="116"/>
    </row>
    <row r="1235" spans="1:47" ht="39" customHeight="1" x14ac:dyDescent="0.3">
      <c r="A1235" s="1468">
        <v>1234</v>
      </c>
      <c r="B1235" s="141">
        <v>2</v>
      </c>
      <c r="C1235" s="378" t="s">
        <v>321</v>
      </c>
      <c r="D1235" s="303"/>
      <c r="E1235" s="241"/>
      <c r="F1235" s="241"/>
      <c r="G1235" s="261" t="s">
        <v>322</v>
      </c>
      <c r="H1235" s="262" t="s">
        <v>87</v>
      </c>
      <c r="I1235" s="357"/>
      <c r="J1235" s="245" t="s">
        <v>561</v>
      </c>
      <c r="K1235" s="257"/>
      <c r="L1235" s="301" t="s">
        <v>5509</v>
      </c>
      <c r="M1235" s="301" t="s">
        <v>5509</v>
      </c>
      <c r="N1235" s="299"/>
      <c r="O1235" s="950" t="s">
        <v>5413</v>
      </c>
      <c r="P1235" s="402"/>
      <c r="Q1235" s="344" t="s">
        <v>87</v>
      </c>
      <c r="R1235" s="982" t="s">
        <v>5412</v>
      </c>
      <c r="S1235" s="279">
        <v>34082</v>
      </c>
      <c r="T1235" s="289"/>
      <c r="U1235" s="197"/>
      <c r="V1235" s="288"/>
      <c r="W1235" s="250"/>
      <c r="X1235" s="197"/>
      <c r="Y1235" s="1126"/>
      <c r="Z1235" s="252"/>
      <c r="AA1235" s="252"/>
      <c r="AB1235" s="299"/>
      <c r="AC1235" s="223"/>
      <c r="AD1235" s="299"/>
      <c r="AE1235" s="494"/>
      <c r="AF1235" s="494"/>
      <c r="AG1235" s="299"/>
      <c r="AH1235" s="299"/>
      <c r="AI1235" s="254"/>
      <c r="AJ1235" s="348" t="s">
        <v>560</v>
      </c>
      <c r="AK1235" s="241">
        <v>4</v>
      </c>
      <c r="AL1235" s="123" t="s">
        <v>496</v>
      </c>
      <c r="AM1235" s="175" t="s">
        <v>492</v>
      </c>
      <c r="AN1235" s="110"/>
      <c r="AO1235" s="110"/>
      <c r="AP1235" s="115"/>
      <c r="AQ1235" s="115"/>
      <c r="AR1235" s="115"/>
      <c r="AS1235" s="115"/>
      <c r="AT1235" s="115"/>
    </row>
    <row r="1236" spans="1:47" ht="39" customHeight="1" x14ac:dyDescent="0.25">
      <c r="A1236" s="1468">
        <v>1235</v>
      </c>
      <c r="B1236" s="141">
        <v>1</v>
      </c>
      <c r="C1236" s="378" t="s">
        <v>323</v>
      </c>
      <c r="D1236" s="303"/>
      <c r="E1236" s="241"/>
      <c r="F1236" s="241"/>
      <c r="G1236" s="261" t="s">
        <v>324</v>
      </c>
      <c r="H1236" s="262" t="s">
        <v>87</v>
      </c>
      <c r="I1236" s="357"/>
      <c r="J1236" s="245" t="s">
        <v>561</v>
      </c>
      <c r="K1236" s="197"/>
      <c r="L1236" s="301" t="s">
        <v>5061</v>
      </c>
      <c r="M1236" s="301" t="s">
        <v>5061</v>
      </c>
      <c r="N1236" s="245"/>
      <c r="O1236" s="385" t="s">
        <v>5060</v>
      </c>
      <c r="P1236" s="385"/>
      <c r="Q1236" s="344" t="s">
        <v>87</v>
      </c>
      <c r="R1236" s="982" t="s">
        <v>5059</v>
      </c>
      <c r="S1236" s="279">
        <v>36645</v>
      </c>
      <c r="T1236" s="250"/>
      <c r="U1236" s="251" t="s">
        <v>54</v>
      </c>
      <c r="V1236" s="197" t="s">
        <v>5955</v>
      </c>
      <c r="W1236" s="197" t="s">
        <v>70</v>
      </c>
      <c r="X1236" s="197" t="s">
        <v>71</v>
      </c>
      <c r="Y1236" s="949" t="s">
        <v>5964</v>
      </c>
      <c r="Z1236" s="612">
        <v>45312</v>
      </c>
      <c r="AA1236" s="698"/>
      <c r="AB1236" s="281"/>
      <c r="AC1236" s="281"/>
      <c r="AD1236" s="281"/>
      <c r="AE1236" s="494"/>
      <c r="AF1236" s="494"/>
      <c r="AG1236" s="282"/>
      <c r="AH1236" s="282"/>
      <c r="AI1236" s="254"/>
      <c r="AJ1236" s="348" t="s">
        <v>560</v>
      </c>
      <c r="AK1236" s="241">
        <v>4</v>
      </c>
      <c r="AL1236" s="123" t="s">
        <v>496</v>
      </c>
      <c r="AM1236" s="175" t="s">
        <v>492</v>
      </c>
      <c r="AN1236" s="110"/>
      <c r="AO1236" s="110"/>
      <c r="AP1236" s="115"/>
      <c r="AQ1236" s="115"/>
      <c r="AR1236" s="115"/>
      <c r="AS1236" s="115"/>
      <c r="AT1236" s="115"/>
      <c r="AU1236" t="s">
        <v>4209</v>
      </c>
    </row>
    <row r="1237" spans="1:47" ht="39" customHeight="1" x14ac:dyDescent="0.25">
      <c r="A1237" s="1468">
        <v>1236</v>
      </c>
      <c r="B1237" s="141">
        <v>1</v>
      </c>
      <c r="C1237" s="260" t="s">
        <v>325</v>
      </c>
      <c r="D1237" s="241"/>
      <c r="E1237" s="241"/>
      <c r="F1237" s="241"/>
      <c r="G1237" s="261" t="s">
        <v>324</v>
      </c>
      <c r="H1237" s="262" t="s">
        <v>87</v>
      </c>
      <c r="I1237" s="357"/>
      <c r="J1237" s="245" t="s">
        <v>561</v>
      </c>
      <c r="K1237" s="216"/>
      <c r="L1237" s="250"/>
      <c r="M1237" s="250"/>
      <c r="N1237" s="366"/>
      <c r="O1237" s="392" t="s">
        <v>3200</v>
      </c>
      <c r="P1237" s="402" t="s">
        <v>1411</v>
      </c>
      <c r="Q1237" s="344" t="s">
        <v>567</v>
      </c>
      <c r="R1237" s="982" t="s">
        <v>1403</v>
      </c>
      <c r="S1237" s="279">
        <v>33731</v>
      </c>
      <c r="T1237" s="223"/>
      <c r="U1237" s="197"/>
      <c r="V1237" s="245"/>
      <c r="W1237" s="197"/>
      <c r="X1237" s="197"/>
      <c r="Y1237" s="197"/>
      <c r="Z1237" s="246"/>
      <c r="AA1237" s="252"/>
      <c r="AB1237" s="223"/>
      <c r="AC1237" s="223"/>
      <c r="AD1237" s="257"/>
      <c r="AE1237" s="494"/>
      <c r="AF1237" s="494"/>
      <c r="AG1237" s="241"/>
      <c r="AH1237" s="299"/>
      <c r="AI1237" s="223"/>
      <c r="AJ1237" s="348" t="s">
        <v>560</v>
      </c>
      <c r="AK1237" s="241">
        <v>4</v>
      </c>
      <c r="AL1237" s="123" t="s">
        <v>496</v>
      </c>
      <c r="AM1237" s="175" t="s">
        <v>492</v>
      </c>
      <c r="AN1237" s="110"/>
      <c r="AO1237" s="110"/>
      <c r="AP1237" s="115"/>
      <c r="AQ1237" s="115"/>
      <c r="AR1237" s="115"/>
      <c r="AS1237" s="115"/>
      <c r="AT1237" s="115"/>
    </row>
    <row r="1238" spans="1:47" ht="39" customHeight="1" x14ac:dyDescent="0.25">
      <c r="A1238" s="1468">
        <v>1237</v>
      </c>
      <c r="B1238" s="117"/>
      <c r="C1238" s="324"/>
      <c r="D1238" s="664"/>
      <c r="E1238" s="664"/>
      <c r="F1238" s="664"/>
      <c r="G1238" s="227"/>
      <c r="H1238" s="228"/>
      <c r="I1238" s="228"/>
      <c r="J1238" s="229"/>
      <c r="K1238" s="227"/>
      <c r="L1238" s="309"/>
      <c r="M1238" s="309"/>
      <c r="N1238" s="229"/>
      <c r="O1238" s="309"/>
      <c r="P1238" s="230" t="s">
        <v>327</v>
      </c>
      <c r="Q1238" s="726"/>
      <c r="R1238" s="1004"/>
      <c r="S1238" s="279"/>
      <c r="T1238" s="232"/>
      <c r="U1238" s="250"/>
      <c r="V1238" s="232"/>
      <c r="W1238" s="232"/>
      <c r="X1238" s="232"/>
      <c r="Y1238" s="232"/>
      <c r="Z1238" s="233"/>
      <c r="AA1238" s="234"/>
      <c r="AB1238" s="235"/>
      <c r="AC1238" s="236"/>
      <c r="AD1238" s="235"/>
      <c r="AE1238" s="494"/>
      <c r="AF1238" s="494"/>
      <c r="AG1238" s="664"/>
      <c r="AH1238" s="238"/>
      <c r="AI1238" s="239"/>
      <c r="AJ1238" s="303"/>
      <c r="AK1238" s="241"/>
      <c r="AL1238" s="122"/>
      <c r="AM1238" s="122"/>
      <c r="AN1238" s="113"/>
      <c r="AO1238" s="114"/>
      <c r="AP1238" s="115"/>
      <c r="AQ1238" s="115"/>
      <c r="AR1238" s="115"/>
      <c r="AS1238" s="115"/>
      <c r="AT1238" s="116"/>
    </row>
    <row r="1239" spans="1:47" ht="39" customHeight="1" x14ac:dyDescent="0.25">
      <c r="A1239" s="1468">
        <v>1238</v>
      </c>
      <c r="B1239" s="141">
        <v>2</v>
      </c>
      <c r="C1239" s="290" t="s">
        <v>288</v>
      </c>
      <c r="D1239" s="291"/>
      <c r="E1239" s="291" t="s">
        <v>47</v>
      </c>
      <c r="F1239" s="291"/>
      <c r="G1239" s="292" t="s">
        <v>289</v>
      </c>
      <c r="H1239" s="293" t="s">
        <v>132</v>
      </c>
      <c r="I1239" s="344">
        <v>144</v>
      </c>
      <c r="J1239" s="256">
        <v>403</v>
      </c>
      <c r="K1239" s="277"/>
      <c r="L1239" s="756"/>
      <c r="M1239" s="756"/>
      <c r="N1239" s="454"/>
      <c r="O1239" s="385" t="s">
        <v>3328</v>
      </c>
      <c r="P1239" s="374"/>
      <c r="Q1239" s="373" t="s">
        <v>519</v>
      </c>
      <c r="R1239" s="982" t="s">
        <v>3327</v>
      </c>
      <c r="S1239" s="279">
        <v>31742</v>
      </c>
      <c r="T1239" s="280"/>
      <c r="U1239" s="250"/>
      <c r="V1239" s="250"/>
      <c r="W1239" s="197" t="s">
        <v>4879</v>
      </c>
      <c r="X1239" s="197"/>
      <c r="Y1239" s="197"/>
      <c r="Z1239" s="246"/>
      <c r="AA1239" s="388"/>
      <c r="AB1239" s="288"/>
      <c r="AC1239" s="223"/>
      <c r="AD1239" s="288"/>
      <c r="AE1239" s="494"/>
      <c r="AF1239" s="494"/>
      <c r="AG1239" s="392"/>
      <c r="AH1239" s="283"/>
      <c r="AI1239" s="254"/>
      <c r="AJ1239" s="348" t="s">
        <v>560</v>
      </c>
      <c r="AK1239" s="348">
        <v>3</v>
      </c>
      <c r="AL1239" s="123" t="s">
        <v>496</v>
      </c>
      <c r="AM1239" s="175" t="s">
        <v>492</v>
      </c>
      <c r="AN1239" s="130"/>
      <c r="AO1239" s="130"/>
      <c r="AP1239" s="115"/>
      <c r="AQ1239" s="115"/>
      <c r="AR1239" s="115"/>
      <c r="AS1239" s="115"/>
      <c r="AT1239" s="115"/>
    </row>
    <row r="1240" spans="1:47" ht="39" customHeight="1" x14ac:dyDescent="0.25">
      <c r="A1240" s="1468">
        <v>1239</v>
      </c>
      <c r="B1240" s="141">
        <v>3</v>
      </c>
      <c r="C1240" s="356" t="s">
        <v>290</v>
      </c>
      <c r="D1240" s="241" t="s">
        <v>134</v>
      </c>
      <c r="E1240" s="241"/>
      <c r="F1240" s="241"/>
      <c r="G1240" s="261" t="s">
        <v>291</v>
      </c>
      <c r="H1240" s="262" t="s">
        <v>85</v>
      </c>
      <c r="I1240" s="346"/>
      <c r="J1240" s="245" t="s">
        <v>556</v>
      </c>
      <c r="K1240" s="216"/>
      <c r="L1240" s="288" t="s">
        <v>5167</v>
      </c>
      <c r="M1240" s="288" t="s">
        <v>5167</v>
      </c>
      <c r="N1240" s="245"/>
      <c r="O1240" s="1463" t="s">
        <v>5349</v>
      </c>
      <c r="P1240" s="287"/>
      <c r="Q1240" s="1463" t="s">
        <v>87</v>
      </c>
      <c r="R1240" s="1528" t="s">
        <v>5348</v>
      </c>
      <c r="S1240" s="279">
        <v>38102</v>
      </c>
      <c r="T1240" s="289"/>
      <c r="U1240" s="250"/>
      <c r="V1240" s="197"/>
      <c r="W1240" s="250"/>
      <c r="X1240" s="197"/>
      <c r="Y1240" s="197"/>
      <c r="Z1240" s="246"/>
      <c r="AA1240" s="252"/>
      <c r="AB1240" s="288" t="s">
        <v>5377</v>
      </c>
      <c r="AC1240" s="223"/>
      <c r="AD1240" s="245" t="s">
        <v>467</v>
      </c>
      <c r="AE1240" s="494">
        <v>45258</v>
      </c>
      <c r="AF1240" s="494">
        <v>45623</v>
      </c>
      <c r="AG1240" s="301"/>
      <c r="AH1240" s="301"/>
      <c r="AI1240" s="254" t="s">
        <v>4208</v>
      </c>
      <c r="AJ1240" s="303" t="s">
        <v>136</v>
      </c>
      <c r="AK1240" s="241">
        <v>4</v>
      </c>
      <c r="AL1240" s="123" t="s">
        <v>496</v>
      </c>
      <c r="AM1240" s="175" t="s">
        <v>492</v>
      </c>
      <c r="AN1240" s="110" t="s">
        <v>4184</v>
      </c>
      <c r="AO1240" s="130"/>
      <c r="AP1240" s="115"/>
      <c r="AQ1240" s="115"/>
      <c r="AR1240" s="115"/>
      <c r="AS1240" s="115"/>
      <c r="AT1240" s="115"/>
    </row>
    <row r="1241" spans="1:47" ht="39" customHeight="1" x14ac:dyDescent="0.25">
      <c r="A1241" s="1468">
        <v>1240</v>
      </c>
      <c r="B1241" s="141">
        <v>3</v>
      </c>
      <c r="C1241" s="358" t="s">
        <v>297</v>
      </c>
      <c r="D1241" s="241" t="s">
        <v>134</v>
      </c>
      <c r="E1241" s="241"/>
      <c r="F1241" s="241"/>
      <c r="G1241" s="261" t="s">
        <v>298</v>
      </c>
      <c r="H1241" s="262" t="s">
        <v>85</v>
      </c>
      <c r="I1241" s="346"/>
      <c r="J1241" s="245" t="s">
        <v>556</v>
      </c>
      <c r="K1241" s="257"/>
      <c r="L1241" s="281" t="s">
        <v>5022</v>
      </c>
      <c r="M1241" s="281" t="s">
        <v>5022</v>
      </c>
      <c r="N1241" s="374"/>
      <c r="O1241" s="385" t="s">
        <v>5436</v>
      </c>
      <c r="P1241" s="374"/>
      <c r="Q1241" s="373" t="s">
        <v>87</v>
      </c>
      <c r="R1241" s="982" t="s">
        <v>5435</v>
      </c>
      <c r="S1241" s="279">
        <v>29195</v>
      </c>
      <c r="T1241" s="197"/>
      <c r="U1241" s="251" t="s">
        <v>54</v>
      </c>
      <c r="V1241" s="197"/>
      <c r="W1241" s="1425" t="s">
        <v>56</v>
      </c>
      <c r="X1241" s="819"/>
      <c r="Y1241" s="949"/>
      <c r="Z1241" s="246"/>
      <c r="AA1241" s="388"/>
      <c r="AB1241" s="288"/>
      <c r="AC1241" s="223"/>
      <c r="AD1241" s="288"/>
      <c r="AE1241" s="494"/>
      <c r="AF1241" s="494"/>
      <c r="AG1241" s="392"/>
      <c r="AH1241" s="283"/>
      <c r="AI1241" s="254"/>
      <c r="AJ1241" s="348" t="s">
        <v>560</v>
      </c>
      <c r="AK1241" s="241">
        <v>4</v>
      </c>
      <c r="AL1241" s="123" t="s">
        <v>496</v>
      </c>
      <c r="AM1241" s="175" t="s">
        <v>492</v>
      </c>
      <c r="AN1241" s="130"/>
      <c r="AO1241" s="130"/>
      <c r="AP1241" s="115"/>
      <c r="AQ1241" s="115"/>
      <c r="AR1241" s="115"/>
      <c r="AS1241" s="115"/>
      <c r="AT1241" s="116"/>
    </row>
    <row r="1242" spans="1:47" ht="39" customHeight="1" x14ac:dyDescent="0.25">
      <c r="A1242" s="1468">
        <v>1241</v>
      </c>
      <c r="B1242" s="141">
        <v>2</v>
      </c>
      <c r="C1242" s="260" t="s">
        <v>311</v>
      </c>
      <c r="D1242" s="241"/>
      <c r="E1242" s="241"/>
      <c r="F1242" s="241"/>
      <c r="G1242" s="261" t="s">
        <v>312</v>
      </c>
      <c r="H1242" s="262" t="s">
        <v>85</v>
      </c>
      <c r="I1242" s="346"/>
      <c r="J1242" s="245" t="s">
        <v>556</v>
      </c>
      <c r="K1242" s="216"/>
      <c r="L1242" s="299" t="s">
        <v>5916</v>
      </c>
      <c r="M1242" s="299" t="s">
        <v>5916</v>
      </c>
      <c r="N1242" s="245"/>
      <c r="O1242" s="1470" t="s">
        <v>6008</v>
      </c>
      <c r="P1242" s="287"/>
      <c r="Q1242" s="373" t="s">
        <v>87</v>
      </c>
      <c r="R1242" s="982" t="s">
        <v>6007</v>
      </c>
      <c r="S1242" s="279">
        <v>37857</v>
      </c>
      <c r="T1242" s="289"/>
      <c r="U1242" s="197"/>
      <c r="V1242" s="197"/>
      <c r="W1242" s="250"/>
      <c r="X1242" s="197"/>
      <c r="Y1242" s="197"/>
      <c r="Z1242" s="246"/>
      <c r="AA1242" s="252"/>
      <c r="AB1242" s="245"/>
      <c r="AC1242" s="223"/>
      <c r="AD1242" s="245"/>
      <c r="AE1242" s="494"/>
      <c r="AF1242" s="494"/>
      <c r="AG1242" s="241"/>
      <c r="AH1242" s="253"/>
      <c r="AI1242" s="284"/>
      <c r="AJ1242" s="348" t="s">
        <v>560</v>
      </c>
      <c r="AK1242" s="241">
        <v>4</v>
      </c>
      <c r="AL1242" s="123" t="s">
        <v>496</v>
      </c>
      <c r="AM1242" s="175" t="s">
        <v>492</v>
      </c>
      <c r="AN1242" s="130"/>
      <c r="AO1242" s="130"/>
      <c r="AP1242" s="115"/>
      <c r="AQ1242" s="115"/>
      <c r="AR1242" s="115"/>
      <c r="AS1242" s="115"/>
      <c r="AT1242" s="115"/>
    </row>
    <row r="1243" spans="1:47" ht="39" customHeight="1" x14ac:dyDescent="0.25">
      <c r="A1243" s="1468">
        <v>1242</v>
      </c>
      <c r="B1243" s="141">
        <v>2</v>
      </c>
      <c r="C1243" s="260" t="s">
        <v>317</v>
      </c>
      <c r="D1243" s="241"/>
      <c r="E1243" s="241"/>
      <c r="F1243" s="241"/>
      <c r="G1243" s="261" t="s">
        <v>318</v>
      </c>
      <c r="H1243" s="262" t="s">
        <v>87</v>
      </c>
      <c r="I1243" s="364"/>
      <c r="J1243" s="245" t="s">
        <v>561</v>
      </c>
      <c r="K1243" s="216"/>
      <c r="L1243" s="288" t="s">
        <v>5167</v>
      </c>
      <c r="M1243" s="288" t="s">
        <v>5167</v>
      </c>
      <c r="N1243" s="245"/>
      <c r="O1243" s="1457" t="s">
        <v>5347</v>
      </c>
      <c r="P1243" s="374"/>
      <c r="Q1243" s="1457" t="s">
        <v>87</v>
      </c>
      <c r="R1243" s="1201" t="s">
        <v>5346</v>
      </c>
      <c r="S1243" s="279">
        <v>37877</v>
      </c>
      <c r="T1243" s="289"/>
      <c r="U1243" s="1487" t="s">
        <v>54</v>
      </c>
      <c r="V1243" s="245" t="s">
        <v>6155</v>
      </c>
      <c r="W1243" s="414" t="s">
        <v>6158</v>
      </c>
      <c r="X1243" s="268" t="s">
        <v>6157</v>
      </c>
      <c r="Y1243" s="1108" t="s">
        <v>6156</v>
      </c>
      <c r="Z1243" s="405">
        <v>45323</v>
      </c>
      <c r="AA1243" s="252"/>
      <c r="AB1243" s="301" t="s">
        <v>5376</v>
      </c>
      <c r="AC1243" s="223"/>
      <c r="AD1243" s="245" t="s">
        <v>467</v>
      </c>
      <c r="AE1243" s="494">
        <v>45259</v>
      </c>
      <c r="AF1243" s="494">
        <v>45624</v>
      </c>
      <c r="AG1243" s="301"/>
      <c r="AH1243" s="301"/>
      <c r="AI1243" s="254" t="s">
        <v>4208</v>
      </c>
      <c r="AJ1243" s="303" t="s">
        <v>136</v>
      </c>
      <c r="AK1243" s="241">
        <v>4</v>
      </c>
      <c r="AL1243" s="123" t="s">
        <v>496</v>
      </c>
      <c r="AM1243" s="175" t="s">
        <v>492</v>
      </c>
      <c r="AN1243" s="110"/>
      <c r="AO1243" s="110"/>
      <c r="AP1243" s="115"/>
      <c r="AQ1243" s="115"/>
      <c r="AR1243" s="115"/>
      <c r="AS1243" s="115"/>
      <c r="AT1243" s="115"/>
    </row>
    <row r="1244" spans="1:47" ht="39" customHeight="1" x14ac:dyDescent="0.25">
      <c r="A1244" s="1468">
        <v>1243</v>
      </c>
      <c r="B1244" s="146">
        <v>2</v>
      </c>
      <c r="C1244" s="260" t="s">
        <v>319</v>
      </c>
      <c r="D1244" s="241"/>
      <c r="E1244" s="241"/>
      <c r="F1244" s="241"/>
      <c r="G1244" s="261" t="s">
        <v>320</v>
      </c>
      <c r="H1244" s="262" t="s">
        <v>87</v>
      </c>
      <c r="I1244" s="357"/>
      <c r="J1244" s="245" t="s">
        <v>561</v>
      </c>
      <c r="K1244" s="684"/>
      <c r="L1244" s="685"/>
      <c r="M1244" s="685"/>
      <c r="N1244" s="684"/>
      <c r="O1244" s="950" t="s">
        <v>2435</v>
      </c>
      <c r="P1244" s="402" t="s">
        <v>1828</v>
      </c>
      <c r="Q1244" s="344" t="s">
        <v>570</v>
      </c>
      <c r="R1244" s="982" t="s">
        <v>3292</v>
      </c>
      <c r="S1244" s="279">
        <v>29787</v>
      </c>
      <c r="T1244" s="684"/>
      <c r="U1244" s="251" t="s">
        <v>54</v>
      </c>
      <c r="V1244" s="197" t="s">
        <v>3959</v>
      </c>
      <c r="W1244" s="197" t="s">
        <v>70</v>
      </c>
      <c r="X1244" s="289" t="s">
        <v>71</v>
      </c>
      <c r="Y1244" s="280" t="s">
        <v>4351</v>
      </c>
      <c r="Z1244" s="486">
        <v>45226</v>
      </c>
      <c r="AA1244" s="252"/>
      <c r="AB1244" s="1290"/>
      <c r="AC1244" s="684"/>
      <c r="AD1244" s="686"/>
      <c r="AE1244" s="494"/>
      <c r="AF1244" s="494"/>
      <c r="AG1244" s="684"/>
      <c r="AH1244" s="684"/>
      <c r="AI1244" s="685"/>
      <c r="AJ1244" s="348" t="s">
        <v>560</v>
      </c>
      <c r="AK1244" s="241">
        <v>4</v>
      </c>
      <c r="AL1244" s="123" t="s">
        <v>496</v>
      </c>
      <c r="AM1244" s="175" t="s">
        <v>492</v>
      </c>
      <c r="AN1244" s="110"/>
      <c r="AO1244" s="110"/>
      <c r="AP1244" s="115"/>
      <c r="AQ1244" s="115"/>
      <c r="AR1244" s="115"/>
      <c r="AS1244" s="115"/>
      <c r="AT1244" s="116"/>
    </row>
    <row r="1245" spans="1:47" ht="39" customHeight="1" x14ac:dyDescent="0.25">
      <c r="A1245" s="1468">
        <v>1244</v>
      </c>
      <c r="B1245" s="141">
        <v>2</v>
      </c>
      <c r="C1245" s="378" t="s">
        <v>321</v>
      </c>
      <c r="D1245" s="303"/>
      <c r="E1245" s="241"/>
      <c r="F1245" s="241"/>
      <c r="G1245" s="261" t="s">
        <v>322</v>
      </c>
      <c r="H1245" s="262" t="s">
        <v>87</v>
      </c>
      <c r="I1245" s="357"/>
      <c r="J1245" s="245" t="s">
        <v>561</v>
      </c>
      <c r="K1245" s="250"/>
      <c r="L1245" s="281" t="s">
        <v>6000</v>
      </c>
      <c r="M1245" s="281" t="s">
        <v>6000</v>
      </c>
      <c r="N1245" s="366"/>
      <c r="O1245" s="216" t="s">
        <v>6115</v>
      </c>
      <c r="P1245" s="402"/>
      <c r="Q1245" s="373" t="s">
        <v>2067</v>
      </c>
      <c r="R1245" s="982" t="s">
        <v>6114</v>
      </c>
      <c r="S1245" s="279"/>
      <c r="T1245" s="306"/>
      <c r="U1245" s="197" t="s">
        <v>2866</v>
      </c>
      <c r="V1245" s="197" t="s">
        <v>6193</v>
      </c>
      <c r="W1245" s="250" t="s">
        <v>2381</v>
      </c>
      <c r="X1245" s="197" t="s">
        <v>2002</v>
      </c>
      <c r="Y1245" s="197" t="s">
        <v>6179</v>
      </c>
      <c r="Z1245" s="246">
        <v>45322</v>
      </c>
      <c r="AA1245" s="252">
        <v>45326</v>
      </c>
      <c r="AB1245" s="307"/>
      <c r="AC1245" s="223"/>
      <c r="AD1245" s="306"/>
      <c r="AE1245" s="494"/>
      <c r="AF1245" s="494"/>
      <c r="AG1245" s="385"/>
      <c r="AH1245" s="283"/>
      <c r="AI1245" s="296"/>
      <c r="AJ1245" s="348" t="s">
        <v>560</v>
      </c>
      <c r="AK1245" s="241">
        <v>4</v>
      </c>
      <c r="AL1245" s="123" t="s">
        <v>496</v>
      </c>
      <c r="AM1245" s="175" t="s">
        <v>492</v>
      </c>
      <c r="AN1245" s="110"/>
      <c r="AO1245" s="110"/>
      <c r="AP1245" s="115"/>
      <c r="AQ1245" s="115"/>
      <c r="AR1245" s="115"/>
      <c r="AS1245" s="115"/>
      <c r="AT1245" s="115"/>
    </row>
    <row r="1246" spans="1:47" ht="39" customHeight="1" x14ac:dyDescent="0.25">
      <c r="A1246" s="1468">
        <v>1245</v>
      </c>
      <c r="B1246" s="141">
        <v>1</v>
      </c>
      <c r="C1246" s="378" t="s">
        <v>323</v>
      </c>
      <c r="D1246" s="303"/>
      <c r="E1246" s="241"/>
      <c r="F1246" s="241"/>
      <c r="G1246" s="261" t="s">
        <v>324</v>
      </c>
      <c r="H1246" s="262" t="s">
        <v>87</v>
      </c>
      <c r="I1246" s="357"/>
      <c r="J1246" s="245" t="s">
        <v>561</v>
      </c>
      <c r="K1246" s="257"/>
      <c r="L1246" s="281" t="s">
        <v>1527</v>
      </c>
      <c r="M1246" s="281" t="s">
        <v>2783</v>
      </c>
      <c r="N1246" s="366"/>
      <c r="O1246" s="1520" t="s">
        <v>3089</v>
      </c>
      <c r="P1246" s="402"/>
      <c r="Q1246" s="380" t="s">
        <v>87</v>
      </c>
      <c r="R1246" s="427" t="s">
        <v>1748</v>
      </c>
      <c r="S1246" s="279">
        <v>37659</v>
      </c>
      <c r="T1246" s="197"/>
      <c r="U1246" s="251" t="s">
        <v>54</v>
      </c>
      <c r="V1246" s="306" t="s">
        <v>4047</v>
      </c>
      <c r="W1246" s="949" t="s">
        <v>4050</v>
      </c>
      <c r="X1246" s="250" t="s">
        <v>5135</v>
      </c>
      <c r="Y1246" s="288" t="s">
        <v>4051</v>
      </c>
      <c r="Z1246" s="289">
        <v>45231</v>
      </c>
      <c r="AA1246" s="246"/>
      <c r="AB1246" s="288" t="s">
        <v>4523</v>
      </c>
      <c r="AC1246" s="223" t="s">
        <v>4229</v>
      </c>
      <c r="AD1246" s="376"/>
      <c r="AE1246" s="494">
        <v>45112</v>
      </c>
      <c r="AF1246" s="494">
        <v>45477</v>
      </c>
      <c r="AG1246" s="241"/>
      <c r="AH1246" s="283"/>
      <c r="AI1246" s="254" t="s">
        <v>1351</v>
      </c>
      <c r="AJ1246" s="303" t="s">
        <v>136</v>
      </c>
      <c r="AK1246" s="241">
        <v>4</v>
      </c>
      <c r="AL1246" s="123" t="s">
        <v>496</v>
      </c>
      <c r="AM1246" s="175" t="s">
        <v>492</v>
      </c>
      <c r="AN1246" s="110"/>
      <c r="AO1246" s="110"/>
      <c r="AP1246" s="115"/>
      <c r="AQ1246" s="115"/>
      <c r="AR1246" s="115"/>
      <c r="AS1246" s="115"/>
      <c r="AT1246" s="115"/>
    </row>
    <row r="1247" spans="1:47" ht="39" customHeight="1" x14ac:dyDescent="0.25">
      <c r="A1247" s="1468">
        <v>1246</v>
      </c>
      <c r="B1247" s="141">
        <v>1</v>
      </c>
      <c r="C1247" s="260" t="s">
        <v>325</v>
      </c>
      <c r="D1247" s="241"/>
      <c r="E1247" s="241"/>
      <c r="F1247" s="241"/>
      <c r="G1247" s="261" t="s">
        <v>324</v>
      </c>
      <c r="H1247" s="262" t="s">
        <v>87</v>
      </c>
      <c r="I1247" s="473"/>
      <c r="J1247" s="245" t="s">
        <v>561</v>
      </c>
      <c r="K1247" s="257"/>
      <c r="L1247" s="281" t="s">
        <v>1527</v>
      </c>
      <c r="M1247" s="281" t="s">
        <v>1676</v>
      </c>
      <c r="N1247" s="366"/>
      <c r="O1247" s="392" t="s">
        <v>3022</v>
      </c>
      <c r="P1247" s="402"/>
      <c r="Q1247" s="380" t="s">
        <v>87</v>
      </c>
      <c r="R1247" s="427" t="s">
        <v>4053</v>
      </c>
      <c r="S1247" s="279">
        <v>37716</v>
      </c>
      <c r="T1247" s="197"/>
      <c r="U1247" s="250"/>
      <c r="V1247" s="245"/>
      <c r="W1247" s="250" t="s">
        <v>4353</v>
      </c>
      <c r="X1247" s="250"/>
      <c r="Y1247" s="245"/>
      <c r="Z1247" s="246"/>
      <c r="AA1247" s="246"/>
      <c r="AB1247" s="288" t="s">
        <v>4390</v>
      </c>
      <c r="AC1247" s="223" t="s">
        <v>946</v>
      </c>
      <c r="AD1247" s="376"/>
      <c r="AE1247" s="494">
        <v>45112</v>
      </c>
      <c r="AF1247" s="494">
        <v>45477</v>
      </c>
      <c r="AG1247" s="241"/>
      <c r="AH1247" s="283"/>
      <c r="AI1247" s="254" t="s">
        <v>1351</v>
      </c>
      <c r="AJ1247" s="303" t="s">
        <v>136</v>
      </c>
      <c r="AK1247" s="241">
        <v>4</v>
      </c>
      <c r="AL1247" s="123" t="s">
        <v>496</v>
      </c>
      <c r="AM1247" s="175" t="s">
        <v>492</v>
      </c>
      <c r="AN1247" s="110"/>
      <c r="AO1247" s="110"/>
      <c r="AP1247" s="115"/>
      <c r="AQ1247" s="115"/>
      <c r="AR1247" s="115"/>
      <c r="AS1247" s="115"/>
      <c r="AT1247" s="115"/>
    </row>
    <row r="1248" spans="1:47" ht="39" customHeight="1" x14ac:dyDescent="0.25">
      <c r="A1248" s="1468">
        <v>1247</v>
      </c>
      <c r="B1248" s="117"/>
      <c r="C1248" s="324"/>
      <c r="D1248" s="664"/>
      <c r="E1248" s="664"/>
      <c r="F1248" s="664"/>
      <c r="G1248" s="227"/>
      <c r="H1248" s="228"/>
      <c r="I1248" s="228"/>
      <c r="J1248" s="229"/>
      <c r="K1248" s="227"/>
      <c r="L1248" s="229"/>
      <c r="M1248" s="229"/>
      <c r="N1248" s="229"/>
      <c r="O1248" s="309"/>
      <c r="P1248" s="230" t="s">
        <v>330</v>
      </c>
      <c r="Q1248" s="726"/>
      <c r="R1248" s="1004"/>
      <c r="S1248" s="279"/>
      <c r="T1248" s="232"/>
      <c r="U1248" s="250"/>
      <c r="V1248" s="232"/>
      <c r="W1248" s="232"/>
      <c r="X1248" s="232"/>
      <c r="Y1248" s="232"/>
      <c r="Z1248" s="233"/>
      <c r="AA1248" s="234"/>
      <c r="AB1248" s="235"/>
      <c r="AC1248" s="236"/>
      <c r="AD1248" s="235"/>
      <c r="AE1248" s="494"/>
      <c r="AF1248" s="494"/>
      <c r="AG1248" s="664"/>
      <c r="AH1248" s="238"/>
      <c r="AI1248" s="239"/>
      <c r="AJ1248" s="303"/>
      <c r="AK1248" s="241"/>
      <c r="AL1248" s="122"/>
      <c r="AM1248" s="122"/>
      <c r="AN1248" s="113"/>
      <c r="AO1248" s="114"/>
      <c r="AP1248" s="115"/>
      <c r="AQ1248" s="115"/>
      <c r="AR1248" s="115"/>
      <c r="AS1248" s="115"/>
      <c r="AT1248" s="116"/>
    </row>
    <row r="1249" spans="1:46" ht="39" customHeight="1" x14ac:dyDescent="0.25">
      <c r="A1249" s="1468">
        <v>1248</v>
      </c>
      <c r="B1249" s="141">
        <v>10</v>
      </c>
      <c r="C1249" s="240" t="s">
        <v>305</v>
      </c>
      <c r="D1249" s="242"/>
      <c r="E1249" s="242" t="s">
        <v>47</v>
      </c>
      <c r="F1249" s="242"/>
      <c r="G1249" s="243" t="s">
        <v>91</v>
      </c>
      <c r="H1249" s="244" t="s">
        <v>83</v>
      </c>
      <c r="I1249" s="733"/>
      <c r="J1249" s="245">
        <v>302</v>
      </c>
      <c r="K1249" s="277"/>
      <c r="L1249" s="734"/>
      <c r="M1249" s="734"/>
      <c r="N1249" s="649"/>
      <c r="O1249" s="952"/>
      <c r="P1249" s="555"/>
      <c r="Q1249" s="338"/>
      <c r="R1249" s="990" t="s">
        <v>66</v>
      </c>
      <c r="S1249" s="279"/>
      <c r="T1249" s="250"/>
      <c r="U1249" s="250"/>
      <c r="V1249" s="280"/>
      <c r="W1249" s="197"/>
      <c r="X1249" s="197"/>
      <c r="Y1249" s="981"/>
      <c r="Z1249" s="612"/>
      <c r="AA1249" s="486"/>
      <c r="AB1249" s="1293"/>
      <c r="AC1249" s="642"/>
      <c r="AD1249" s="661"/>
      <c r="AE1249" s="642"/>
      <c r="AF1249" s="642"/>
      <c r="AG1249" s="642"/>
      <c r="AH1249" s="642"/>
      <c r="AI1249" s="1473"/>
      <c r="AJ1249" s="755"/>
      <c r="AK1249" s="242">
        <v>1</v>
      </c>
      <c r="AL1249" s="123" t="s">
        <v>496</v>
      </c>
      <c r="AM1249" s="175" t="s">
        <v>492</v>
      </c>
      <c r="AN1249" s="124"/>
      <c r="AO1249" s="124"/>
      <c r="AP1249" s="115"/>
      <c r="AQ1249" s="115"/>
      <c r="AR1249" s="115"/>
      <c r="AS1249" s="115"/>
      <c r="AT1249" s="115"/>
    </row>
    <row r="1250" spans="1:46" ht="39" customHeight="1" x14ac:dyDescent="0.25">
      <c r="A1250" s="1468">
        <v>1249</v>
      </c>
      <c r="B1250" s="117"/>
      <c r="C1250" s="324"/>
      <c r="D1250" s="664"/>
      <c r="E1250" s="664"/>
      <c r="F1250" s="664"/>
      <c r="G1250" s="227"/>
      <c r="H1250" s="228"/>
      <c r="I1250" s="228"/>
      <c r="J1250" s="229"/>
      <c r="K1250" s="227"/>
      <c r="L1250" s="229"/>
      <c r="M1250" s="229"/>
      <c r="N1250" s="229"/>
      <c r="O1250" s="309"/>
      <c r="P1250" s="230" t="s">
        <v>306</v>
      </c>
      <c r="Q1250" s="726"/>
      <c r="R1250" s="1004"/>
      <c r="S1250" s="279"/>
      <c r="T1250" s="232"/>
      <c r="U1250" s="250"/>
      <c r="V1250" s="232"/>
      <c r="W1250" s="232"/>
      <c r="X1250" s="232"/>
      <c r="Y1250" s="232"/>
      <c r="Z1250" s="233"/>
      <c r="AA1250" s="234"/>
      <c r="AB1250" s="235"/>
      <c r="AC1250" s="236"/>
      <c r="AD1250" s="235"/>
      <c r="AE1250" s="494"/>
      <c r="AF1250" s="494"/>
      <c r="AG1250" s="664"/>
      <c r="AH1250" s="238"/>
      <c r="AI1250" s="239"/>
      <c r="AJ1250" s="303"/>
      <c r="AK1250" s="241"/>
      <c r="AL1250" s="122"/>
      <c r="AM1250" s="122"/>
      <c r="AN1250" s="113"/>
      <c r="AO1250" s="114"/>
      <c r="AP1250" s="115"/>
      <c r="AQ1250" s="115"/>
      <c r="AR1250" s="115"/>
      <c r="AS1250" s="115"/>
      <c r="AT1250" s="116"/>
    </row>
    <row r="1251" spans="1:46" ht="39" customHeight="1" x14ac:dyDescent="0.25">
      <c r="A1251" s="1468">
        <v>1250</v>
      </c>
      <c r="B1251" s="146">
        <v>7</v>
      </c>
      <c r="C1251" s="290" t="s">
        <v>307</v>
      </c>
      <c r="D1251" s="291"/>
      <c r="E1251" s="291" t="s">
        <v>47</v>
      </c>
      <c r="F1251" s="291"/>
      <c r="G1251" s="292" t="s">
        <v>308</v>
      </c>
      <c r="H1251" s="370" t="s">
        <v>132</v>
      </c>
      <c r="I1251" s="371" t="s">
        <v>309</v>
      </c>
      <c r="J1251" s="256">
        <v>403</v>
      </c>
      <c r="K1251" s="277"/>
      <c r="L1251" s="277" t="s">
        <v>3518</v>
      </c>
      <c r="M1251" s="277" t="s">
        <v>3518</v>
      </c>
      <c r="N1251" s="277"/>
      <c r="O1251" s="385" t="s">
        <v>3554</v>
      </c>
      <c r="P1251" s="374"/>
      <c r="Q1251" s="344" t="s">
        <v>3555</v>
      </c>
      <c r="R1251" s="982" t="s">
        <v>3553</v>
      </c>
      <c r="S1251" s="279">
        <v>30103</v>
      </c>
      <c r="T1251" s="280"/>
      <c r="U1251" s="250" t="s">
        <v>886</v>
      </c>
      <c r="V1251" s="197" t="s">
        <v>6220</v>
      </c>
      <c r="W1251" s="197" t="s">
        <v>886</v>
      </c>
      <c r="X1251" s="197" t="s">
        <v>886</v>
      </c>
      <c r="Y1251" s="197"/>
      <c r="Z1251" s="246">
        <v>45324</v>
      </c>
      <c r="AA1251" s="246"/>
      <c r="AB1251" s="281"/>
      <c r="AC1251" s="223"/>
      <c r="AD1251" s="281"/>
      <c r="AE1251" s="494"/>
      <c r="AF1251" s="494"/>
      <c r="AG1251" s="241"/>
      <c r="AH1251" s="283"/>
      <c r="AI1251" s="254"/>
      <c r="AJ1251" s="348" t="s">
        <v>560</v>
      </c>
      <c r="AK1251" s="291">
        <v>3</v>
      </c>
      <c r="AL1251" s="123" t="s">
        <v>496</v>
      </c>
      <c r="AM1251" s="175" t="s">
        <v>492</v>
      </c>
      <c r="AN1251" s="130"/>
      <c r="AO1251" s="130"/>
      <c r="AP1251" s="115"/>
      <c r="AQ1251" s="115"/>
      <c r="AR1251" s="115"/>
      <c r="AS1251" s="115"/>
      <c r="AT1251" s="115"/>
    </row>
    <row r="1252" spans="1:46" ht="39" customHeight="1" x14ac:dyDescent="0.25">
      <c r="A1252" s="1468">
        <v>1251</v>
      </c>
      <c r="B1252" s="141">
        <v>3</v>
      </c>
      <c r="C1252" s="356" t="s">
        <v>290</v>
      </c>
      <c r="D1252" s="241" t="s">
        <v>134</v>
      </c>
      <c r="E1252" s="241"/>
      <c r="F1252" s="241"/>
      <c r="G1252" s="261" t="s">
        <v>291</v>
      </c>
      <c r="H1252" s="262" t="s">
        <v>85</v>
      </c>
      <c r="I1252" s="371"/>
      <c r="J1252" s="245" t="s">
        <v>556</v>
      </c>
      <c r="K1252" s="216"/>
      <c r="L1252" s="288" t="s">
        <v>5415</v>
      </c>
      <c r="M1252" s="288" t="s">
        <v>5415</v>
      </c>
      <c r="N1252" s="305"/>
      <c r="O1252" s="1459" t="s">
        <v>5491</v>
      </c>
      <c r="P1252" s="372"/>
      <c r="Q1252" s="1459" t="s">
        <v>87</v>
      </c>
      <c r="R1252" s="1201" t="s">
        <v>5490</v>
      </c>
      <c r="S1252" s="279">
        <v>37534</v>
      </c>
      <c r="T1252" s="684"/>
      <c r="U1252" s="250"/>
      <c r="V1252" s="299"/>
      <c r="W1252" s="197"/>
      <c r="X1252" s="197"/>
      <c r="Y1252" s="197"/>
      <c r="Z1252" s="246"/>
      <c r="AA1252" s="252"/>
      <c r="AB1252" s="288" t="s">
        <v>4910</v>
      </c>
      <c r="AC1252" s="684"/>
      <c r="AD1252" s="686"/>
      <c r="AE1252" s="494">
        <v>45261</v>
      </c>
      <c r="AF1252" s="494">
        <v>45626</v>
      </c>
      <c r="AG1252" s="282"/>
      <c r="AH1252" s="283"/>
      <c r="AI1252" s="307" t="s">
        <v>4208</v>
      </c>
      <c r="AJ1252" s="303" t="s">
        <v>136</v>
      </c>
      <c r="AK1252" s="241">
        <v>4</v>
      </c>
      <c r="AL1252" s="123" t="s">
        <v>496</v>
      </c>
      <c r="AM1252" s="175" t="s">
        <v>492</v>
      </c>
      <c r="AN1252" s="110" t="s">
        <v>4184</v>
      </c>
      <c r="AO1252" s="130"/>
      <c r="AP1252" s="115"/>
      <c r="AQ1252" s="115"/>
      <c r="AR1252" s="115"/>
      <c r="AS1252" s="115"/>
      <c r="AT1252" s="115"/>
    </row>
    <row r="1253" spans="1:46" ht="39" customHeight="1" x14ac:dyDescent="0.25">
      <c r="A1253" s="1468">
        <v>1252</v>
      </c>
      <c r="B1253" s="141">
        <v>3</v>
      </c>
      <c r="C1253" s="358" t="s">
        <v>297</v>
      </c>
      <c r="D1253" s="241" t="s">
        <v>134</v>
      </c>
      <c r="E1253" s="241"/>
      <c r="F1253" s="241"/>
      <c r="G1253" s="261" t="s">
        <v>298</v>
      </c>
      <c r="H1253" s="262" t="s">
        <v>85</v>
      </c>
      <c r="I1253" s="371"/>
      <c r="J1253" s="245" t="s">
        <v>556</v>
      </c>
      <c r="K1253" s="216"/>
      <c r="L1253" s="281" t="s">
        <v>5022</v>
      </c>
      <c r="M1253" s="281" t="s">
        <v>5022</v>
      </c>
      <c r="N1253" s="366"/>
      <c r="O1253" s="385" t="s">
        <v>5438</v>
      </c>
      <c r="P1253" s="374"/>
      <c r="Q1253" s="344" t="s">
        <v>87</v>
      </c>
      <c r="R1253" s="982" t="s">
        <v>5437</v>
      </c>
      <c r="S1253" s="279">
        <v>25167</v>
      </c>
      <c r="T1253" s="257"/>
      <c r="U1253" s="251" t="s">
        <v>54</v>
      </c>
      <c r="V1253" s="197"/>
      <c r="W1253" s="1425" t="s">
        <v>5728</v>
      </c>
      <c r="X1253" s="197"/>
      <c r="Y1253" s="197"/>
      <c r="Z1253" s="246"/>
      <c r="AA1253" s="252"/>
      <c r="AB1253" s="257"/>
      <c r="AC1253" s="223"/>
      <c r="AD1253" s="257"/>
      <c r="AE1253" s="494"/>
      <c r="AF1253" s="494"/>
      <c r="AG1253" s="385"/>
      <c r="AH1253" s="281"/>
      <c r="AI1253" s="254"/>
      <c r="AJ1253" s="348" t="s">
        <v>560</v>
      </c>
      <c r="AK1253" s="241">
        <v>4</v>
      </c>
      <c r="AL1253" s="123" t="s">
        <v>496</v>
      </c>
      <c r="AM1253" s="175" t="s">
        <v>492</v>
      </c>
      <c r="AN1253" s="130"/>
      <c r="AO1253" s="130"/>
      <c r="AP1253" s="115"/>
      <c r="AQ1253" s="115"/>
      <c r="AR1253" s="115"/>
      <c r="AS1253" s="115"/>
      <c r="AT1253" s="116"/>
    </row>
    <row r="1254" spans="1:46" ht="39" customHeight="1" x14ac:dyDescent="0.25">
      <c r="A1254" s="1468">
        <v>1253</v>
      </c>
      <c r="B1254" s="141">
        <v>2</v>
      </c>
      <c r="C1254" s="260" t="s">
        <v>311</v>
      </c>
      <c r="D1254" s="241"/>
      <c r="E1254" s="241"/>
      <c r="F1254" s="241"/>
      <c r="G1254" s="261" t="s">
        <v>312</v>
      </c>
      <c r="H1254" s="262" t="s">
        <v>85</v>
      </c>
      <c r="I1254" s="371"/>
      <c r="J1254" s="245" t="s">
        <v>556</v>
      </c>
      <c r="K1254" s="216"/>
      <c r="L1254" s="281"/>
      <c r="M1254" s="281"/>
      <c r="N1254" s="245"/>
      <c r="O1254" s="385" t="s">
        <v>3682</v>
      </c>
      <c r="P1254" s="374"/>
      <c r="Q1254" s="373" t="s">
        <v>85</v>
      </c>
      <c r="R1254" s="982" t="s">
        <v>3681</v>
      </c>
      <c r="S1254" s="279">
        <v>37875</v>
      </c>
      <c r="T1254" s="448"/>
      <c r="U1254" s="251" t="s">
        <v>886</v>
      </c>
      <c r="V1254" s="443" t="s">
        <v>5969</v>
      </c>
      <c r="W1254" s="197" t="s">
        <v>886</v>
      </c>
      <c r="X1254" s="197" t="s">
        <v>886</v>
      </c>
      <c r="Y1254" s="1108"/>
      <c r="Z1254" s="252">
        <v>45310</v>
      </c>
      <c r="AA1254" s="449"/>
      <c r="AB1254" s="281"/>
      <c r="AC1254" s="223"/>
      <c r="AD1254" s="281"/>
      <c r="AE1254" s="494"/>
      <c r="AF1254" s="494"/>
      <c r="AG1254" s="241"/>
      <c r="AH1254" s="283"/>
      <c r="AI1254" s="296"/>
      <c r="AJ1254" s="348" t="s">
        <v>560</v>
      </c>
      <c r="AK1254" s="241">
        <v>4</v>
      </c>
      <c r="AL1254" s="123" t="s">
        <v>496</v>
      </c>
      <c r="AM1254" s="175" t="s">
        <v>492</v>
      </c>
      <c r="AN1254" s="130"/>
      <c r="AO1254" s="130"/>
      <c r="AP1254" s="115"/>
      <c r="AQ1254" s="115"/>
      <c r="AR1254" s="115"/>
      <c r="AS1254" s="115"/>
      <c r="AT1254" s="115"/>
    </row>
    <row r="1255" spans="1:46" ht="39" customHeight="1" x14ac:dyDescent="0.25">
      <c r="A1255" s="1468">
        <v>1254</v>
      </c>
      <c r="B1255" s="141">
        <v>2</v>
      </c>
      <c r="C1255" s="260" t="s">
        <v>317</v>
      </c>
      <c r="D1255" s="241"/>
      <c r="E1255" s="241"/>
      <c r="F1255" s="241"/>
      <c r="G1255" s="261" t="s">
        <v>318</v>
      </c>
      <c r="H1255" s="262" t="s">
        <v>87</v>
      </c>
      <c r="I1255" s="357"/>
      <c r="J1255" s="245" t="s">
        <v>561</v>
      </c>
      <c r="K1255" s="404"/>
      <c r="L1255" s="626"/>
      <c r="M1255" s="626"/>
      <c r="N1255" s="404"/>
      <c r="O1255" s="392" t="s">
        <v>3177</v>
      </c>
      <c r="P1255" s="609" t="s">
        <v>1411</v>
      </c>
      <c r="Q1255" s="373" t="s">
        <v>293</v>
      </c>
      <c r="R1255" s="982" t="s">
        <v>562</v>
      </c>
      <c r="S1255" s="279">
        <v>35281</v>
      </c>
      <c r="T1255" s="366"/>
      <c r="U1255" s="251" t="s">
        <v>54</v>
      </c>
      <c r="V1255" s="197"/>
      <c r="W1255" s="197" t="s">
        <v>70</v>
      </c>
      <c r="X1255" s="197" t="s">
        <v>71</v>
      </c>
      <c r="Y1255" s="366"/>
      <c r="Z1255" s="366"/>
      <c r="AA1255" s="366"/>
      <c r="AB1255" s="1289"/>
      <c r="AC1255" s="366"/>
      <c r="AD1255" s="658"/>
      <c r="AE1255" s="494"/>
      <c r="AF1255" s="494"/>
      <c r="AG1255" s="366"/>
      <c r="AH1255" s="366"/>
      <c r="AI1255" s="392"/>
      <c r="AJ1255" s="348" t="s">
        <v>560</v>
      </c>
      <c r="AK1255" s="241">
        <v>4</v>
      </c>
      <c r="AL1255" s="123" t="s">
        <v>496</v>
      </c>
      <c r="AM1255" s="175" t="s">
        <v>492</v>
      </c>
      <c r="AN1255" s="110"/>
      <c r="AO1255" s="110"/>
      <c r="AP1255" s="115"/>
      <c r="AQ1255" s="115"/>
      <c r="AR1255" s="115"/>
      <c r="AS1255" s="115"/>
      <c r="AT1255" s="115"/>
    </row>
    <row r="1256" spans="1:46" ht="39" customHeight="1" x14ac:dyDescent="0.25">
      <c r="A1256" s="1468">
        <v>1255</v>
      </c>
      <c r="B1256" s="146">
        <v>2</v>
      </c>
      <c r="C1256" s="260" t="s">
        <v>319</v>
      </c>
      <c r="D1256" s="241"/>
      <c r="E1256" s="241"/>
      <c r="F1256" s="241"/>
      <c r="G1256" s="261" t="s">
        <v>320</v>
      </c>
      <c r="H1256" s="262" t="s">
        <v>87</v>
      </c>
      <c r="I1256" s="364"/>
      <c r="J1256" s="245" t="s">
        <v>561</v>
      </c>
      <c r="K1256" s="216"/>
      <c r="L1256" s="288" t="s">
        <v>5415</v>
      </c>
      <c r="M1256" s="288" t="s">
        <v>5415</v>
      </c>
      <c r="N1256" s="299"/>
      <c r="O1256" s="1534" t="s">
        <v>5480</v>
      </c>
      <c r="P1256" s="300"/>
      <c r="Q1256" s="1534" t="s">
        <v>87</v>
      </c>
      <c r="R1256" s="1201" t="s">
        <v>5479</v>
      </c>
      <c r="S1256" s="279">
        <v>38434</v>
      </c>
      <c r="T1256" s="289"/>
      <c r="U1256" s="250"/>
      <c r="V1256" s="299"/>
      <c r="W1256" s="197"/>
      <c r="X1256" s="197"/>
      <c r="Y1256" s="197"/>
      <c r="Z1256" s="246"/>
      <c r="AA1256" s="289"/>
      <c r="AB1256" s="288" t="s">
        <v>5481</v>
      </c>
      <c r="AC1256" s="223"/>
      <c r="AD1256" s="299"/>
      <c r="AE1256" s="494">
        <v>45261</v>
      </c>
      <c r="AF1256" s="494">
        <v>45626</v>
      </c>
      <c r="AG1256" s="299"/>
      <c r="AH1256" s="299"/>
      <c r="AI1256" s="307" t="s">
        <v>4208</v>
      </c>
      <c r="AJ1256" s="303" t="s">
        <v>136</v>
      </c>
      <c r="AK1256" s="241">
        <v>4</v>
      </c>
      <c r="AL1256" s="123" t="s">
        <v>496</v>
      </c>
      <c r="AM1256" s="175" t="s">
        <v>492</v>
      </c>
      <c r="AN1256" s="110"/>
      <c r="AO1256" s="110"/>
      <c r="AP1256" s="115"/>
      <c r="AQ1256" s="115"/>
      <c r="AR1256" s="115"/>
      <c r="AS1256" s="115"/>
      <c r="AT1256" s="116"/>
    </row>
    <row r="1257" spans="1:46" ht="39" customHeight="1" x14ac:dyDescent="0.25">
      <c r="A1257" s="1468">
        <v>1256</v>
      </c>
      <c r="B1257" s="141">
        <v>2</v>
      </c>
      <c r="C1257" s="378" t="s">
        <v>321</v>
      </c>
      <c r="D1257" s="303"/>
      <c r="E1257" s="241"/>
      <c r="F1257" s="241"/>
      <c r="G1257" s="261" t="s">
        <v>322</v>
      </c>
      <c r="H1257" s="262" t="s">
        <v>87</v>
      </c>
      <c r="I1257" s="357"/>
      <c r="J1257" s="245" t="s">
        <v>561</v>
      </c>
      <c r="K1257" s="301"/>
      <c r="L1257" s="216" t="s">
        <v>4637</v>
      </c>
      <c r="M1257" s="216" t="s">
        <v>4637</v>
      </c>
      <c r="N1257" s="366"/>
      <c r="O1257" s="634" t="s">
        <v>3175</v>
      </c>
      <c r="P1257" s="247"/>
      <c r="Q1257" s="375" t="s">
        <v>293</v>
      </c>
      <c r="R1257" s="996" t="s">
        <v>993</v>
      </c>
      <c r="S1257" s="279">
        <v>37880</v>
      </c>
      <c r="T1257" s="289"/>
      <c r="U1257" s="251" t="s">
        <v>54</v>
      </c>
      <c r="V1257" s="299" t="s">
        <v>991</v>
      </c>
      <c r="W1257" s="197" t="s">
        <v>70</v>
      </c>
      <c r="X1257" s="197" t="s">
        <v>71</v>
      </c>
      <c r="Y1257" s="299" t="s">
        <v>992</v>
      </c>
      <c r="Z1257" s="289">
        <v>45075</v>
      </c>
      <c r="AA1257" s="246"/>
      <c r="AB1257" s="301"/>
      <c r="AC1257" s="223"/>
      <c r="AD1257" s="299"/>
      <c r="AE1257" s="494"/>
      <c r="AF1257" s="494"/>
      <c r="AG1257" s="282"/>
      <c r="AH1257" s="253"/>
      <c r="AI1257" s="296"/>
      <c r="AJ1257" s="348" t="s">
        <v>560</v>
      </c>
      <c r="AK1257" s="241">
        <v>4</v>
      </c>
      <c r="AL1257" s="123" t="s">
        <v>496</v>
      </c>
      <c r="AM1257" s="175" t="s">
        <v>492</v>
      </c>
      <c r="AN1257" s="110"/>
      <c r="AO1257" s="110"/>
      <c r="AP1257" s="115"/>
      <c r="AQ1257" s="115"/>
      <c r="AR1257" s="115"/>
      <c r="AS1257" s="115"/>
      <c r="AT1257" s="115"/>
    </row>
    <row r="1258" spans="1:46" ht="39" customHeight="1" x14ac:dyDescent="0.25">
      <c r="A1258" s="1468">
        <v>1257</v>
      </c>
      <c r="B1258" s="141">
        <v>1</v>
      </c>
      <c r="C1258" s="378" t="s">
        <v>323</v>
      </c>
      <c r="D1258" s="303"/>
      <c r="E1258" s="241"/>
      <c r="F1258" s="241"/>
      <c r="G1258" s="261" t="s">
        <v>324</v>
      </c>
      <c r="H1258" s="262" t="s">
        <v>87</v>
      </c>
      <c r="I1258" s="357"/>
      <c r="J1258" s="245" t="s">
        <v>561</v>
      </c>
      <c r="K1258" s="216"/>
      <c r="L1258" s="299" t="s">
        <v>5408</v>
      </c>
      <c r="M1258" s="299" t="s">
        <v>5408</v>
      </c>
      <c r="N1258" s="245"/>
      <c r="O1258" s="385" t="s">
        <v>5407</v>
      </c>
      <c r="P1258" s="609"/>
      <c r="Q1258" s="344" t="s">
        <v>293</v>
      </c>
      <c r="R1258" s="982" t="s">
        <v>5406</v>
      </c>
      <c r="S1258" s="279">
        <v>28448</v>
      </c>
      <c r="T1258" s="289"/>
      <c r="U1258" s="251" t="s">
        <v>54</v>
      </c>
      <c r="V1258" s="197" t="s">
        <v>5955</v>
      </c>
      <c r="W1258" s="197" t="s">
        <v>70</v>
      </c>
      <c r="X1258" s="197" t="s">
        <v>71</v>
      </c>
      <c r="Y1258" s="949" t="s">
        <v>5964</v>
      </c>
      <c r="Z1258" s="612">
        <v>45312</v>
      </c>
      <c r="AA1258" s="281"/>
      <c r="AB1258" s="245"/>
      <c r="AC1258" s="223"/>
      <c r="AD1258" s="245"/>
      <c r="AE1258" s="494"/>
      <c r="AF1258" s="494"/>
      <c r="AG1258" s="241"/>
      <c r="AH1258" s="253"/>
      <c r="AI1258" s="284"/>
      <c r="AJ1258" s="348" t="s">
        <v>560</v>
      </c>
      <c r="AK1258" s="241">
        <v>4</v>
      </c>
      <c r="AL1258" s="123" t="s">
        <v>496</v>
      </c>
      <c r="AM1258" s="175" t="s">
        <v>492</v>
      </c>
      <c r="AN1258" s="110"/>
      <c r="AO1258" s="110"/>
      <c r="AP1258" s="115"/>
      <c r="AQ1258" s="115"/>
      <c r="AR1258" s="115"/>
      <c r="AS1258" s="115"/>
      <c r="AT1258" s="115"/>
    </row>
    <row r="1259" spans="1:46" ht="39" customHeight="1" x14ac:dyDescent="0.25">
      <c r="A1259" s="1468">
        <v>1258</v>
      </c>
      <c r="B1259" s="141">
        <v>1</v>
      </c>
      <c r="C1259" s="260" t="s">
        <v>325</v>
      </c>
      <c r="D1259" s="241"/>
      <c r="E1259" s="241"/>
      <c r="F1259" s="241"/>
      <c r="G1259" s="261" t="s">
        <v>324</v>
      </c>
      <c r="H1259" s="262" t="s">
        <v>87</v>
      </c>
      <c r="I1259" s="357"/>
      <c r="J1259" s="245" t="s">
        <v>561</v>
      </c>
      <c r="K1259" s="250" t="s">
        <v>313</v>
      </c>
      <c r="L1259" s="301" t="s">
        <v>976</v>
      </c>
      <c r="M1259" s="301" t="s">
        <v>976</v>
      </c>
      <c r="N1259" s="245"/>
      <c r="O1259" s="216" t="s">
        <v>983</v>
      </c>
      <c r="P1259" s="305"/>
      <c r="Q1259" s="379" t="s">
        <v>570</v>
      </c>
      <c r="R1259" s="982" t="s">
        <v>984</v>
      </c>
      <c r="S1259" s="279">
        <v>36744</v>
      </c>
      <c r="T1259" s="250"/>
      <c r="U1259" s="251" t="s">
        <v>54</v>
      </c>
      <c r="V1259" s="289"/>
      <c r="W1259" s="197" t="s">
        <v>3577</v>
      </c>
      <c r="X1259" s="289"/>
      <c r="Y1259" s="289"/>
      <c r="Z1259" s="289"/>
      <c r="AA1259" s="305"/>
      <c r="AB1259" s="250"/>
      <c r="AC1259" s="223" t="s">
        <v>946</v>
      </c>
      <c r="AD1259" s="307" t="s">
        <v>985</v>
      </c>
      <c r="AE1259" s="494" t="s">
        <v>986</v>
      </c>
      <c r="AF1259" s="494" t="s">
        <v>470</v>
      </c>
      <c r="AG1259" s="305" t="s">
        <v>61</v>
      </c>
      <c r="AH1259" s="305"/>
      <c r="AI1259" s="296"/>
      <c r="AJ1259" s="348" t="s">
        <v>560</v>
      </c>
      <c r="AK1259" s="241">
        <v>4</v>
      </c>
      <c r="AL1259" s="123" t="s">
        <v>496</v>
      </c>
      <c r="AM1259" s="175" t="s">
        <v>492</v>
      </c>
      <c r="AN1259" s="110"/>
      <c r="AO1259" s="110"/>
      <c r="AP1259" s="115"/>
      <c r="AQ1259" s="115"/>
      <c r="AR1259" s="115"/>
      <c r="AS1259" s="115"/>
      <c r="AT1259" s="115"/>
    </row>
    <row r="1260" spans="1:46" ht="39" customHeight="1" x14ac:dyDescent="0.25">
      <c r="A1260" s="1468">
        <v>1259</v>
      </c>
      <c r="B1260" s="117"/>
      <c r="C1260" s="324"/>
      <c r="D1260" s="664"/>
      <c r="E1260" s="664"/>
      <c r="F1260" s="664"/>
      <c r="G1260" s="227"/>
      <c r="H1260" s="228"/>
      <c r="I1260" s="228"/>
      <c r="J1260" s="229"/>
      <c r="K1260" s="227"/>
      <c r="L1260" s="229"/>
      <c r="M1260" s="229"/>
      <c r="N1260" s="229"/>
      <c r="O1260" s="309"/>
      <c r="P1260" s="230" t="s">
        <v>326</v>
      </c>
      <c r="Q1260" s="726"/>
      <c r="R1260" s="1004"/>
      <c r="S1260" s="279"/>
      <c r="T1260" s="232"/>
      <c r="U1260" s="250"/>
      <c r="V1260" s="232"/>
      <c r="W1260" s="232"/>
      <c r="X1260" s="232"/>
      <c r="Y1260" s="232"/>
      <c r="Z1260" s="233"/>
      <c r="AA1260" s="234"/>
      <c r="AB1260" s="235"/>
      <c r="AC1260" s="236"/>
      <c r="AD1260" s="235"/>
      <c r="AE1260" s="494"/>
      <c r="AF1260" s="494"/>
      <c r="AG1260" s="664"/>
      <c r="AH1260" s="238"/>
      <c r="AI1260" s="239"/>
      <c r="AJ1260" s="303"/>
      <c r="AK1260" s="241"/>
      <c r="AL1260" s="122"/>
      <c r="AM1260" s="122"/>
      <c r="AN1260" s="113"/>
      <c r="AO1260" s="114"/>
      <c r="AP1260" s="115"/>
      <c r="AQ1260" s="115"/>
      <c r="AR1260" s="115"/>
      <c r="AS1260" s="115"/>
      <c r="AT1260" s="116"/>
    </row>
    <row r="1261" spans="1:46" ht="39" customHeight="1" x14ac:dyDescent="0.25">
      <c r="A1261" s="1468">
        <v>1260</v>
      </c>
      <c r="B1261" s="141">
        <v>5</v>
      </c>
      <c r="C1261" s="290" t="s">
        <v>288</v>
      </c>
      <c r="D1261" s="291"/>
      <c r="E1261" s="291" t="s">
        <v>47</v>
      </c>
      <c r="F1261" s="291"/>
      <c r="G1261" s="292" t="s">
        <v>289</v>
      </c>
      <c r="H1261" s="293" t="s">
        <v>132</v>
      </c>
      <c r="I1261" s="344">
        <v>144</v>
      </c>
      <c r="J1261" s="256">
        <v>403</v>
      </c>
      <c r="K1261" s="277"/>
      <c r="L1261" s="756" t="s">
        <v>1526</v>
      </c>
      <c r="M1261" s="756" t="s">
        <v>1526</v>
      </c>
      <c r="N1261" s="454"/>
      <c r="O1261" s="906" t="s">
        <v>3305</v>
      </c>
      <c r="P1261" s="454"/>
      <c r="Q1261" s="485" t="s">
        <v>87</v>
      </c>
      <c r="R1261" s="998" t="s">
        <v>1596</v>
      </c>
      <c r="S1261" s="279">
        <v>35207</v>
      </c>
      <c r="T1261" s="280"/>
      <c r="U1261" s="251" t="s">
        <v>54</v>
      </c>
      <c r="V1261" s="250" t="s">
        <v>2793</v>
      </c>
      <c r="W1261" s="197" t="s">
        <v>56</v>
      </c>
      <c r="X1261" s="197" t="s">
        <v>57</v>
      </c>
      <c r="Y1261" s="197" t="s">
        <v>2609</v>
      </c>
      <c r="Z1261" s="246">
        <v>45141</v>
      </c>
      <c r="AA1261" s="388"/>
      <c r="AB1261" s="288"/>
      <c r="AC1261" s="223"/>
      <c r="AD1261" s="288"/>
      <c r="AE1261" s="384"/>
      <c r="AF1261" s="384"/>
      <c r="AG1261" s="1459"/>
      <c r="AH1261" s="283"/>
      <c r="AI1261" s="254"/>
      <c r="AJ1261" s="348" t="s">
        <v>560</v>
      </c>
      <c r="AK1261" s="348">
        <v>3</v>
      </c>
      <c r="AL1261" s="123" t="s">
        <v>496</v>
      </c>
      <c r="AM1261" s="175" t="s">
        <v>492</v>
      </c>
      <c r="AN1261" s="130"/>
      <c r="AO1261" s="130"/>
      <c r="AP1261" s="115"/>
      <c r="AQ1261" s="115"/>
      <c r="AR1261" s="115"/>
      <c r="AS1261" s="115"/>
      <c r="AT1261" s="115"/>
    </row>
    <row r="1262" spans="1:46" ht="39" customHeight="1" x14ac:dyDescent="0.25">
      <c r="A1262" s="1468">
        <v>1261</v>
      </c>
      <c r="B1262" s="141">
        <v>3</v>
      </c>
      <c r="C1262" s="356" t="s">
        <v>290</v>
      </c>
      <c r="D1262" s="241" t="s">
        <v>134</v>
      </c>
      <c r="E1262" s="241"/>
      <c r="F1262" s="241"/>
      <c r="G1262" s="261" t="s">
        <v>291</v>
      </c>
      <c r="H1262" s="262" t="s">
        <v>85</v>
      </c>
      <c r="I1262" s="346"/>
      <c r="J1262" s="245" t="s">
        <v>556</v>
      </c>
      <c r="K1262" s="216"/>
      <c r="L1262" s="288" t="s">
        <v>5144</v>
      </c>
      <c r="M1262" s="288" t="s">
        <v>5144</v>
      </c>
      <c r="N1262" s="245"/>
      <c r="O1262" s="1459" t="s">
        <v>5341</v>
      </c>
      <c r="P1262" s="374"/>
      <c r="Q1262" s="1459" t="s">
        <v>87</v>
      </c>
      <c r="R1262" s="1003" t="s">
        <v>5339</v>
      </c>
      <c r="S1262" s="279">
        <v>37732</v>
      </c>
      <c r="T1262" s="289"/>
      <c r="U1262" s="250"/>
      <c r="V1262" s="197"/>
      <c r="W1262" s="250"/>
      <c r="X1262" s="197"/>
      <c r="Y1262" s="197"/>
      <c r="Z1262" s="246"/>
      <c r="AA1262" s="252"/>
      <c r="AB1262" s="288" t="s">
        <v>5378</v>
      </c>
      <c r="AC1262" s="223" t="s">
        <v>566</v>
      </c>
      <c r="AD1262" s="245" t="s">
        <v>467</v>
      </c>
      <c r="AE1262" s="494">
        <v>45257</v>
      </c>
      <c r="AF1262" s="494">
        <v>45622</v>
      </c>
      <c r="AG1262" s="301"/>
      <c r="AH1262" s="301"/>
      <c r="AI1262" s="254" t="s">
        <v>4208</v>
      </c>
      <c r="AJ1262" s="303" t="s">
        <v>136</v>
      </c>
      <c r="AK1262" s="241">
        <v>4</v>
      </c>
      <c r="AL1262" s="123" t="s">
        <v>496</v>
      </c>
      <c r="AM1262" s="175" t="s">
        <v>492</v>
      </c>
      <c r="AN1262" s="110" t="s">
        <v>4184</v>
      </c>
      <c r="AO1262" s="130"/>
      <c r="AP1262" s="115"/>
      <c r="AQ1262" s="115"/>
      <c r="AR1262" s="115"/>
      <c r="AS1262" s="115"/>
      <c r="AT1262" s="115"/>
    </row>
    <row r="1263" spans="1:46" ht="39" customHeight="1" x14ac:dyDescent="0.25">
      <c r="A1263" s="1468">
        <v>1262</v>
      </c>
      <c r="B1263" s="141">
        <v>3</v>
      </c>
      <c r="C1263" s="358" t="s">
        <v>297</v>
      </c>
      <c r="D1263" s="241" t="s">
        <v>134</v>
      </c>
      <c r="E1263" s="241"/>
      <c r="F1263" s="241"/>
      <c r="G1263" s="261" t="s">
        <v>298</v>
      </c>
      <c r="H1263" s="262" t="s">
        <v>85</v>
      </c>
      <c r="I1263" s="346"/>
      <c r="J1263" s="245" t="s">
        <v>556</v>
      </c>
      <c r="K1263" s="250" t="s">
        <v>144</v>
      </c>
      <c r="L1263" s="299" t="s">
        <v>5027</v>
      </c>
      <c r="M1263" s="299" t="s">
        <v>5027</v>
      </c>
      <c r="N1263" s="245"/>
      <c r="O1263" s="1443" t="s">
        <v>5050</v>
      </c>
      <c r="P1263" s="627"/>
      <c r="Q1263" s="197" t="s">
        <v>87</v>
      </c>
      <c r="R1263" s="1188" t="s">
        <v>5049</v>
      </c>
      <c r="S1263" s="279">
        <v>36910</v>
      </c>
      <c r="T1263" s="289"/>
      <c r="U1263" s="250"/>
      <c r="V1263" s="197"/>
      <c r="W1263" s="197"/>
      <c r="X1263" s="197"/>
      <c r="Y1263" s="197"/>
      <c r="Z1263" s="246"/>
      <c r="AA1263" s="245"/>
      <c r="AB1263" s="296" t="s">
        <v>5039</v>
      </c>
      <c r="AC1263" s="223" t="s">
        <v>946</v>
      </c>
      <c r="AD1263" s="299" t="s">
        <v>467</v>
      </c>
      <c r="AE1263" s="494">
        <v>45251</v>
      </c>
      <c r="AF1263" s="494">
        <v>45616</v>
      </c>
      <c r="AG1263" s="241"/>
      <c r="AH1263" s="253"/>
      <c r="AI1263" s="307" t="s">
        <v>4208</v>
      </c>
      <c r="AJ1263" s="303" t="s">
        <v>136</v>
      </c>
      <c r="AK1263" s="241">
        <v>4</v>
      </c>
      <c r="AL1263" s="123" t="s">
        <v>496</v>
      </c>
      <c r="AM1263" s="175" t="s">
        <v>492</v>
      </c>
      <c r="AN1263" s="130"/>
      <c r="AO1263" s="130"/>
      <c r="AP1263" s="115"/>
      <c r="AQ1263" s="115"/>
      <c r="AR1263" s="115"/>
      <c r="AS1263" s="115"/>
      <c r="AT1263" s="116"/>
    </row>
    <row r="1264" spans="1:46" ht="39" customHeight="1" x14ac:dyDescent="0.25">
      <c r="A1264" s="1468">
        <v>1263</v>
      </c>
      <c r="B1264" s="141">
        <v>2</v>
      </c>
      <c r="C1264" s="260" t="s">
        <v>311</v>
      </c>
      <c r="D1264" s="241"/>
      <c r="E1264" s="241"/>
      <c r="F1264" s="241"/>
      <c r="G1264" s="261" t="s">
        <v>312</v>
      </c>
      <c r="H1264" s="262" t="s">
        <v>85</v>
      </c>
      <c r="I1264" s="346"/>
      <c r="J1264" s="245" t="s">
        <v>556</v>
      </c>
      <c r="K1264" s="216"/>
      <c r="L1264" s="288"/>
      <c r="M1264" s="288"/>
      <c r="N1264" s="245"/>
      <c r="O1264" s="1463" t="s">
        <v>5867</v>
      </c>
      <c r="P1264" s="609" t="s">
        <v>1411</v>
      </c>
      <c r="Q1264" s="485" t="s">
        <v>85</v>
      </c>
      <c r="R1264" s="998" t="s">
        <v>5866</v>
      </c>
      <c r="S1264" s="279">
        <v>34341</v>
      </c>
      <c r="T1264" s="289"/>
      <c r="U1264" s="250"/>
      <c r="V1264" s="197"/>
      <c r="W1264" s="250" t="s">
        <v>4076</v>
      </c>
      <c r="X1264" s="197"/>
      <c r="Y1264" s="197"/>
      <c r="Z1264" s="246"/>
      <c r="AA1264" s="252"/>
      <c r="AB1264" s="288"/>
      <c r="AC1264" s="223"/>
      <c r="AD1264" s="245"/>
      <c r="AE1264" s="494"/>
      <c r="AF1264" s="494"/>
      <c r="AG1264" s="301"/>
      <c r="AH1264" s="301"/>
      <c r="AI1264" s="254"/>
      <c r="AJ1264" s="348" t="s">
        <v>560</v>
      </c>
      <c r="AK1264" s="241">
        <v>4</v>
      </c>
      <c r="AL1264" s="123" t="s">
        <v>496</v>
      </c>
      <c r="AM1264" s="175" t="s">
        <v>492</v>
      </c>
      <c r="AN1264" s="130"/>
      <c r="AO1264" s="130"/>
      <c r="AP1264" s="115"/>
      <c r="AQ1264" s="115"/>
      <c r="AR1264" s="115"/>
      <c r="AS1264" s="115"/>
      <c r="AT1264" s="115"/>
    </row>
    <row r="1265" spans="1:46" ht="39" customHeight="1" x14ac:dyDescent="0.25">
      <c r="A1265" s="1468">
        <v>1264</v>
      </c>
      <c r="B1265" s="141">
        <v>2</v>
      </c>
      <c r="C1265" s="260" t="s">
        <v>317</v>
      </c>
      <c r="D1265" s="241"/>
      <c r="E1265" s="241"/>
      <c r="F1265" s="241"/>
      <c r="G1265" s="261" t="s">
        <v>318</v>
      </c>
      <c r="H1265" s="262" t="s">
        <v>87</v>
      </c>
      <c r="I1265" s="357"/>
      <c r="J1265" s="245" t="s">
        <v>561</v>
      </c>
      <c r="K1265" s="216"/>
      <c r="L1265" s="288" t="s">
        <v>5144</v>
      </c>
      <c r="M1265" s="288" t="s">
        <v>5144</v>
      </c>
      <c r="N1265" s="366"/>
      <c r="O1265" s="1399" t="s">
        <v>5340</v>
      </c>
      <c r="P1265" s="304"/>
      <c r="Q1265" s="1399" t="s">
        <v>87</v>
      </c>
      <c r="R1265" s="1003" t="s">
        <v>5338</v>
      </c>
      <c r="S1265" s="279">
        <v>37621</v>
      </c>
      <c r="T1265" s="197"/>
      <c r="U1265" s="250"/>
      <c r="V1265" s="197"/>
      <c r="W1265" s="250"/>
      <c r="X1265" s="197"/>
      <c r="Y1265" s="197"/>
      <c r="Z1265" s="246"/>
      <c r="AA1265" s="252"/>
      <c r="AB1265" s="288" t="s">
        <v>5298</v>
      </c>
      <c r="AC1265" s="223"/>
      <c r="AD1265" s="245" t="s">
        <v>467</v>
      </c>
      <c r="AE1265" s="494">
        <v>45256</v>
      </c>
      <c r="AF1265" s="494">
        <v>45621</v>
      </c>
      <c r="AG1265" s="301"/>
      <c r="AH1265" s="301"/>
      <c r="AI1265" s="254" t="s">
        <v>4208</v>
      </c>
      <c r="AJ1265" s="303" t="s">
        <v>136</v>
      </c>
      <c r="AK1265" s="241">
        <v>4</v>
      </c>
      <c r="AL1265" s="123" t="s">
        <v>496</v>
      </c>
      <c r="AM1265" s="175" t="s">
        <v>492</v>
      </c>
      <c r="AN1265" s="110"/>
      <c r="AO1265" s="110"/>
      <c r="AP1265" s="115"/>
      <c r="AQ1265" s="115"/>
      <c r="AR1265" s="115"/>
      <c r="AS1265" s="115"/>
      <c r="AT1265" s="115"/>
    </row>
    <row r="1266" spans="1:46" ht="39" customHeight="1" x14ac:dyDescent="0.25">
      <c r="A1266" s="1468">
        <v>1265</v>
      </c>
      <c r="B1266" s="146">
        <v>2</v>
      </c>
      <c r="C1266" s="260" t="s">
        <v>319</v>
      </c>
      <c r="D1266" s="241"/>
      <c r="E1266" s="241"/>
      <c r="F1266" s="241"/>
      <c r="G1266" s="261" t="s">
        <v>320</v>
      </c>
      <c r="H1266" s="262" t="s">
        <v>87</v>
      </c>
      <c r="I1266" s="357"/>
      <c r="J1266" s="245" t="s">
        <v>561</v>
      </c>
      <c r="K1266" s="216"/>
      <c r="L1266" s="281" t="s">
        <v>3970</v>
      </c>
      <c r="M1266" s="281" t="s">
        <v>3970</v>
      </c>
      <c r="N1266" s="366"/>
      <c r="O1266" s="950" t="s">
        <v>2705</v>
      </c>
      <c r="P1266" s="287"/>
      <c r="Q1266" s="344" t="s">
        <v>87</v>
      </c>
      <c r="R1266" s="982" t="s">
        <v>2704</v>
      </c>
      <c r="S1266" s="279">
        <v>31264</v>
      </c>
      <c r="T1266" s="197"/>
      <c r="U1266" s="251" t="s">
        <v>54</v>
      </c>
      <c r="V1266" s="250" t="s">
        <v>3952</v>
      </c>
      <c r="W1266" s="197" t="s">
        <v>3953</v>
      </c>
      <c r="X1266" s="197" t="s">
        <v>4844</v>
      </c>
      <c r="Y1266" s="197"/>
      <c r="Z1266" s="246">
        <v>45218</v>
      </c>
      <c r="AA1266" s="246"/>
      <c r="AB1266" s="361"/>
      <c r="AC1266" s="223"/>
      <c r="AD1266" s="376"/>
      <c r="AE1266" s="258"/>
      <c r="AF1266" s="258"/>
      <c r="AG1266" s="241"/>
      <c r="AH1266" s="283"/>
      <c r="AI1266" s="254"/>
      <c r="AJ1266" s="348" t="s">
        <v>560</v>
      </c>
      <c r="AK1266" s="241">
        <v>4</v>
      </c>
      <c r="AL1266" s="123" t="s">
        <v>496</v>
      </c>
      <c r="AM1266" s="175" t="s">
        <v>492</v>
      </c>
      <c r="AN1266" s="110"/>
      <c r="AO1266" s="110"/>
      <c r="AP1266" s="115"/>
      <c r="AQ1266" s="115"/>
      <c r="AR1266" s="115"/>
      <c r="AS1266" s="115"/>
      <c r="AT1266" s="116"/>
    </row>
    <row r="1267" spans="1:46" ht="39" customHeight="1" x14ac:dyDescent="0.25">
      <c r="A1267" s="1468">
        <v>1266</v>
      </c>
      <c r="B1267" s="141">
        <v>2</v>
      </c>
      <c r="C1267" s="378" t="s">
        <v>321</v>
      </c>
      <c r="D1267" s="303"/>
      <c r="E1267" s="241"/>
      <c r="F1267" s="241"/>
      <c r="G1267" s="261" t="s">
        <v>322</v>
      </c>
      <c r="H1267" s="262" t="s">
        <v>87</v>
      </c>
      <c r="I1267" s="364"/>
      <c r="J1267" s="245" t="s">
        <v>561</v>
      </c>
      <c r="K1267" s="216"/>
      <c r="L1267" s="289" t="s">
        <v>6090</v>
      </c>
      <c r="M1267" s="289" t="s">
        <v>6090</v>
      </c>
      <c r="N1267" s="245"/>
      <c r="O1267" s="1457" t="s">
        <v>6125</v>
      </c>
      <c r="P1267" s="402"/>
      <c r="Q1267" s="373" t="s">
        <v>567</v>
      </c>
      <c r="R1267" s="982" t="s">
        <v>6124</v>
      </c>
      <c r="S1267" s="279"/>
      <c r="T1267" s="197"/>
      <c r="U1267" s="197"/>
      <c r="V1267" s="197"/>
      <c r="W1267" s="250"/>
      <c r="X1267" s="197"/>
      <c r="Y1267" s="197"/>
      <c r="Z1267" s="246"/>
      <c r="AA1267" s="252"/>
      <c r="AB1267" s="282"/>
      <c r="AC1267" s="223"/>
      <c r="AD1267" s="281"/>
      <c r="AE1267" s="494"/>
      <c r="AF1267" s="494"/>
      <c r="AG1267" s="241"/>
      <c r="AH1267" s="283"/>
      <c r="AI1267" s="254"/>
      <c r="AJ1267" s="348" t="s">
        <v>560</v>
      </c>
      <c r="AK1267" s="241">
        <v>4</v>
      </c>
      <c r="AL1267" s="123" t="s">
        <v>496</v>
      </c>
      <c r="AM1267" s="175" t="s">
        <v>492</v>
      </c>
      <c r="AN1267" s="110"/>
      <c r="AO1267" s="110"/>
      <c r="AP1267" s="115"/>
      <c r="AQ1267" s="115"/>
      <c r="AR1267" s="115"/>
      <c r="AS1267" s="115"/>
      <c r="AT1267" s="115"/>
    </row>
    <row r="1268" spans="1:46" ht="39" customHeight="1" x14ac:dyDescent="0.25">
      <c r="A1268" s="1468">
        <v>1267</v>
      </c>
      <c r="B1268" s="141">
        <v>1</v>
      </c>
      <c r="C1268" s="378" t="s">
        <v>323</v>
      </c>
      <c r="D1268" s="303"/>
      <c r="E1268" s="241"/>
      <c r="F1268" s="241"/>
      <c r="G1268" s="261" t="s">
        <v>324</v>
      </c>
      <c r="H1268" s="262" t="s">
        <v>87</v>
      </c>
      <c r="I1268" s="357"/>
      <c r="J1268" s="245" t="s">
        <v>561</v>
      </c>
      <c r="K1268" s="277"/>
      <c r="L1268" s="397"/>
      <c r="M1268" s="397"/>
      <c r="N1268" s="276"/>
      <c r="O1268" s="385" t="s">
        <v>3394</v>
      </c>
      <c r="P1268" s="374"/>
      <c r="Q1268" s="344" t="s">
        <v>293</v>
      </c>
      <c r="R1268" s="982" t="s">
        <v>3393</v>
      </c>
      <c r="S1268" s="279">
        <v>36497</v>
      </c>
      <c r="T1268" s="280"/>
      <c r="U1268" s="251" t="s">
        <v>886</v>
      </c>
      <c r="V1268" s="197" t="s">
        <v>5973</v>
      </c>
      <c r="W1268" s="197" t="s">
        <v>886</v>
      </c>
      <c r="X1268" s="197" t="s">
        <v>886</v>
      </c>
      <c r="Y1268" s="642"/>
      <c r="Z1268" s="1042">
        <v>45310</v>
      </c>
      <c r="AA1268" s="711"/>
      <c r="AB1268" s="487"/>
      <c r="AC1268" s="488"/>
      <c r="AD1268" s="441"/>
      <c r="AE1268" s="494"/>
      <c r="AF1268" s="494"/>
      <c r="AG1268" s="476"/>
      <c r="AH1268" s="489"/>
      <c r="AI1268" s="712"/>
      <c r="AJ1268" s="348" t="s">
        <v>560</v>
      </c>
      <c r="AK1268" s="241">
        <v>4</v>
      </c>
      <c r="AL1268" s="123" t="s">
        <v>496</v>
      </c>
      <c r="AM1268" s="175" t="s">
        <v>492</v>
      </c>
      <c r="AN1268" s="110"/>
      <c r="AO1268" s="110"/>
      <c r="AP1268" s="115"/>
      <c r="AQ1268" s="115"/>
      <c r="AR1268" s="115"/>
      <c r="AS1268" s="115"/>
      <c r="AT1268" s="115"/>
    </row>
    <row r="1269" spans="1:46" ht="39" customHeight="1" x14ac:dyDescent="0.25">
      <c r="A1269" s="1468">
        <v>1268</v>
      </c>
      <c r="B1269" s="141">
        <v>1</v>
      </c>
      <c r="C1269" s="260" t="s">
        <v>325</v>
      </c>
      <c r="D1269" s="241"/>
      <c r="E1269" s="241"/>
      <c r="F1269" s="241"/>
      <c r="G1269" s="261" t="s">
        <v>324</v>
      </c>
      <c r="H1269" s="262" t="s">
        <v>87</v>
      </c>
      <c r="I1269" s="357"/>
      <c r="J1269" s="245" t="s">
        <v>561</v>
      </c>
      <c r="K1269" s="257"/>
      <c r="L1269" s="301" t="s">
        <v>1860</v>
      </c>
      <c r="M1269" s="301" t="s">
        <v>1860</v>
      </c>
      <c r="N1269" s="299"/>
      <c r="O1269" s="950" t="s">
        <v>1948</v>
      </c>
      <c r="P1269" s="484" t="s">
        <v>1828</v>
      </c>
      <c r="Q1269" s="344" t="s">
        <v>567</v>
      </c>
      <c r="R1269" s="982" t="s">
        <v>1947</v>
      </c>
      <c r="S1269" s="279">
        <v>34021</v>
      </c>
      <c r="T1269" s="289"/>
      <c r="U1269" s="251" t="s">
        <v>2866</v>
      </c>
      <c r="V1269" s="250" t="s">
        <v>5955</v>
      </c>
      <c r="W1269" s="288" t="s">
        <v>2381</v>
      </c>
      <c r="X1269" s="197" t="s">
        <v>2002</v>
      </c>
      <c r="Y1269" s="949" t="s">
        <v>6098</v>
      </c>
      <c r="Z1269" s="252">
        <v>45311</v>
      </c>
      <c r="AA1269" s="289">
        <v>45327</v>
      </c>
      <c r="AB1269" s="299"/>
      <c r="AC1269" s="223"/>
      <c r="AD1269" s="299"/>
      <c r="AE1269" s="494"/>
      <c r="AF1269" s="494"/>
      <c r="AG1269" s="299"/>
      <c r="AH1269" s="299"/>
      <c r="AI1269" s="254"/>
      <c r="AJ1269" s="348" t="s">
        <v>560</v>
      </c>
      <c r="AK1269" s="241">
        <v>4</v>
      </c>
      <c r="AL1269" s="123" t="s">
        <v>496</v>
      </c>
      <c r="AM1269" s="175" t="s">
        <v>492</v>
      </c>
      <c r="AN1269" s="110"/>
      <c r="AO1269" s="110"/>
      <c r="AP1269" s="115"/>
      <c r="AQ1269" s="115"/>
      <c r="AR1269" s="115"/>
      <c r="AS1269" s="115"/>
      <c r="AT1269" s="115"/>
    </row>
    <row r="1270" spans="1:46" ht="39" customHeight="1" x14ac:dyDescent="0.25">
      <c r="A1270" s="1468">
        <v>1269</v>
      </c>
      <c r="B1270" s="117"/>
      <c r="C1270" s="324"/>
      <c r="D1270" s="664"/>
      <c r="E1270" s="664"/>
      <c r="F1270" s="664"/>
      <c r="G1270" s="227"/>
      <c r="H1270" s="228"/>
      <c r="I1270" s="228"/>
      <c r="J1270" s="229"/>
      <c r="K1270" s="227"/>
      <c r="L1270" s="229"/>
      <c r="M1270" s="229"/>
      <c r="N1270" s="229"/>
      <c r="O1270" s="309"/>
      <c r="P1270" s="230" t="s">
        <v>327</v>
      </c>
      <c r="Q1270" s="726"/>
      <c r="R1270" s="1004"/>
      <c r="S1270" s="279"/>
      <c r="T1270" s="232"/>
      <c r="U1270" s="250"/>
      <c r="V1270" s="232"/>
      <c r="W1270" s="232"/>
      <c r="X1270" s="232"/>
      <c r="Y1270" s="232"/>
      <c r="Z1270" s="233"/>
      <c r="AA1270" s="234"/>
      <c r="AB1270" s="235"/>
      <c r="AC1270" s="236"/>
      <c r="AD1270" s="235"/>
      <c r="AE1270" s="494"/>
      <c r="AF1270" s="494"/>
      <c r="AG1270" s="664"/>
      <c r="AH1270" s="238"/>
      <c r="AI1270" s="239"/>
      <c r="AJ1270" s="303"/>
      <c r="AK1270" s="241"/>
      <c r="AL1270" s="122"/>
      <c r="AM1270" s="122"/>
      <c r="AN1270" s="113"/>
      <c r="AO1270" s="114"/>
      <c r="AP1270" s="115"/>
      <c r="AQ1270" s="115"/>
      <c r="AR1270" s="115"/>
      <c r="AS1270" s="115"/>
      <c r="AT1270" s="116"/>
    </row>
    <row r="1271" spans="1:46" ht="39" customHeight="1" x14ac:dyDescent="0.25">
      <c r="A1271" s="1468">
        <v>1270</v>
      </c>
      <c r="B1271" s="141">
        <v>5</v>
      </c>
      <c r="C1271" s="290" t="s">
        <v>288</v>
      </c>
      <c r="D1271" s="291"/>
      <c r="E1271" s="291" t="s">
        <v>47</v>
      </c>
      <c r="F1271" s="291"/>
      <c r="G1271" s="292" t="s">
        <v>289</v>
      </c>
      <c r="H1271" s="293" t="s">
        <v>132</v>
      </c>
      <c r="I1271" s="344">
        <v>144</v>
      </c>
      <c r="J1271" s="256">
        <v>403</v>
      </c>
      <c r="K1271" s="257"/>
      <c r="L1271" s="299"/>
      <c r="M1271" s="299"/>
      <c r="N1271" s="299"/>
      <c r="O1271" s="392" t="s">
        <v>3184</v>
      </c>
      <c r="P1271" s="300"/>
      <c r="Q1271" s="291" t="s">
        <v>570</v>
      </c>
      <c r="R1271" s="996" t="s">
        <v>3276</v>
      </c>
      <c r="S1271" s="279">
        <v>35370</v>
      </c>
      <c r="T1271" s="289"/>
      <c r="U1271" s="251" t="s">
        <v>54</v>
      </c>
      <c r="V1271" s="299" t="s">
        <v>2617</v>
      </c>
      <c r="W1271" s="197" t="s">
        <v>2362</v>
      </c>
      <c r="X1271" s="197" t="s">
        <v>71</v>
      </c>
      <c r="Y1271" s="299" t="s">
        <v>992</v>
      </c>
      <c r="Z1271" s="289">
        <v>45075</v>
      </c>
      <c r="AA1271" s="289"/>
      <c r="AB1271" s="299"/>
      <c r="AC1271" s="223"/>
      <c r="AD1271" s="299"/>
      <c r="AE1271" s="494"/>
      <c r="AF1271" s="494"/>
      <c r="AG1271" s="299"/>
      <c r="AH1271" s="299"/>
      <c r="AI1271" s="223"/>
      <c r="AJ1271" s="348" t="s">
        <v>560</v>
      </c>
      <c r="AK1271" s="348">
        <v>3</v>
      </c>
      <c r="AL1271" s="123" t="s">
        <v>496</v>
      </c>
      <c r="AM1271" s="175" t="s">
        <v>492</v>
      </c>
      <c r="AN1271" s="130"/>
      <c r="AO1271" s="130"/>
      <c r="AP1271" s="115"/>
      <c r="AQ1271" s="115"/>
      <c r="AR1271" s="115"/>
      <c r="AS1271" s="115"/>
      <c r="AT1271" s="115"/>
    </row>
    <row r="1272" spans="1:46" ht="39" customHeight="1" x14ac:dyDescent="0.25">
      <c r="A1272" s="1468">
        <v>1271</v>
      </c>
      <c r="B1272" s="141">
        <v>3</v>
      </c>
      <c r="C1272" s="356" t="s">
        <v>290</v>
      </c>
      <c r="D1272" s="241" t="s">
        <v>134</v>
      </c>
      <c r="E1272" s="241"/>
      <c r="F1272" s="241"/>
      <c r="G1272" s="261" t="s">
        <v>291</v>
      </c>
      <c r="H1272" s="262" t="s">
        <v>85</v>
      </c>
      <c r="I1272" s="346"/>
      <c r="J1272" s="245" t="s">
        <v>556</v>
      </c>
      <c r="K1272" s="250"/>
      <c r="L1272" s="281" t="s">
        <v>1685</v>
      </c>
      <c r="M1272" s="281" t="s">
        <v>1527</v>
      </c>
      <c r="N1272" s="366"/>
      <c r="O1272" s="1407" t="s">
        <v>2925</v>
      </c>
      <c r="P1272" s="402"/>
      <c r="Q1272" s="301" t="s">
        <v>87</v>
      </c>
      <c r="R1272" s="381" t="s">
        <v>1690</v>
      </c>
      <c r="S1272" s="279">
        <v>38202</v>
      </c>
      <c r="T1272" s="713"/>
      <c r="U1272" s="250"/>
      <c r="V1272" s="197"/>
      <c r="W1272" s="197" t="s">
        <v>4021</v>
      </c>
      <c r="X1272" s="197"/>
      <c r="Y1272" s="245"/>
      <c r="Z1272" s="246"/>
      <c r="AA1272" s="246"/>
      <c r="AB1272" s="288" t="s">
        <v>4524</v>
      </c>
      <c r="AC1272" s="223" t="s">
        <v>946</v>
      </c>
      <c r="AD1272" s="376"/>
      <c r="AE1272" s="494">
        <v>45112</v>
      </c>
      <c r="AF1272" s="494">
        <v>45477</v>
      </c>
      <c r="AG1272" s="241"/>
      <c r="AH1272" s="283"/>
      <c r="AI1272" s="254" t="s">
        <v>1351</v>
      </c>
      <c r="AJ1272" s="303" t="s">
        <v>136</v>
      </c>
      <c r="AK1272" s="241">
        <v>4</v>
      </c>
      <c r="AL1272" s="123" t="s">
        <v>496</v>
      </c>
      <c r="AM1272" s="175" t="s">
        <v>492</v>
      </c>
      <c r="AN1272" s="110" t="s">
        <v>4184</v>
      </c>
      <c r="AO1272" s="130"/>
      <c r="AP1272" s="115"/>
      <c r="AQ1272" s="115"/>
      <c r="AR1272" s="115"/>
      <c r="AS1272" s="115"/>
      <c r="AT1272" s="115"/>
    </row>
    <row r="1273" spans="1:46" ht="39" customHeight="1" x14ac:dyDescent="0.25">
      <c r="A1273" s="1468">
        <v>1272</v>
      </c>
      <c r="B1273" s="141">
        <v>3</v>
      </c>
      <c r="C1273" s="358" t="s">
        <v>297</v>
      </c>
      <c r="D1273" s="241" t="s">
        <v>134</v>
      </c>
      <c r="E1273" s="241"/>
      <c r="F1273" s="241"/>
      <c r="G1273" s="261" t="s">
        <v>298</v>
      </c>
      <c r="H1273" s="262" t="s">
        <v>85</v>
      </c>
      <c r="I1273" s="346"/>
      <c r="J1273" s="245" t="s">
        <v>556</v>
      </c>
      <c r="K1273" s="257"/>
      <c r="L1273" s="299"/>
      <c r="M1273" s="299"/>
      <c r="N1273" s="299"/>
      <c r="O1273" s="950" t="s">
        <v>2262</v>
      </c>
      <c r="P1273" s="287" t="s">
        <v>1411</v>
      </c>
      <c r="Q1273" s="344" t="s">
        <v>85</v>
      </c>
      <c r="R1273" s="982" t="s">
        <v>2261</v>
      </c>
      <c r="S1273" s="279">
        <v>34831</v>
      </c>
      <c r="T1273" s="289"/>
      <c r="U1273" s="251" t="s">
        <v>54</v>
      </c>
      <c r="V1273" s="306"/>
      <c r="W1273" s="197" t="s">
        <v>70</v>
      </c>
      <c r="X1273" s="197" t="s">
        <v>71</v>
      </c>
      <c r="Y1273" s="252"/>
      <c r="Z1273" s="252"/>
      <c r="AA1273" s="289"/>
      <c r="AB1273" s="299"/>
      <c r="AC1273" s="223"/>
      <c r="AD1273" s="299"/>
      <c r="AE1273" s="494"/>
      <c r="AF1273" s="494"/>
      <c r="AG1273" s="299"/>
      <c r="AH1273" s="299"/>
      <c r="AI1273" s="223"/>
      <c r="AJ1273" s="348" t="s">
        <v>560</v>
      </c>
      <c r="AK1273" s="241">
        <v>4</v>
      </c>
      <c r="AL1273" s="123" t="s">
        <v>496</v>
      </c>
      <c r="AM1273" s="175" t="s">
        <v>492</v>
      </c>
      <c r="AN1273" s="130"/>
      <c r="AO1273" s="130"/>
      <c r="AP1273" s="115"/>
      <c r="AQ1273" s="115"/>
      <c r="AR1273" s="115"/>
      <c r="AS1273" s="115"/>
      <c r="AT1273" s="116"/>
    </row>
    <row r="1274" spans="1:46" ht="39" customHeight="1" x14ac:dyDescent="0.25">
      <c r="A1274" s="1468">
        <v>1273</v>
      </c>
      <c r="B1274" s="141">
        <v>2</v>
      </c>
      <c r="C1274" s="260" t="s">
        <v>311</v>
      </c>
      <c r="D1274" s="241"/>
      <c r="E1274" s="241"/>
      <c r="F1274" s="241"/>
      <c r="G1274" s="261" t="s">
        <v>312</v>
      </c>
      <c r="H1274" s="262" t="s">
        <v>85</v>
      </c>
      <c r="I1274" s="346"/>
      <c r="J1274" s="245" t="s">
        <v>556</v>
      </c>
      <c r="K1274" s="277"/>
      <c r="L1274" s="250" t="s">
        <v>5167</v>
      </c>
      <c r="M1274" s="250" t="s">
        <v>5167</v>
      </c>
      <c r="N1274" s="276"/>
      <c r="O1274" s="1397" t="s">
        <v>5344</v>
      </c>
      <c r="P1274" s="1402"/>
      <c r="Q1274" s="1397" t="s">
        <v>87</v>
      </c>
      <c r="R1274" s="1201" t="s">
        <v>5342</v>
      </c>
      <c r="S1274" s="279">
        <v>38433</v>
      </c>
      <c r="T1274" s="280"/>
      <c r="U1274" s="250"/>
      <c r="V1274" s="197"/>
      <c r="W1274" s="197"/>
      <c r="X1274" s="197"/>
      <c r="Y1274" s="197"/>
      <c r="Z1274" s="246"/>
      <c r="AA1274" s="711"/>
      <c r="AB1274" s="487" t="s">
        <v>5375</v>
      </c>
      <c r="AC1274" s="488"/>
      <c r="AD1274" s="245" t="s">
        <v>467</v>
      </c>
      <c r="AE1274" s="494">
        <v>45259</v>
      </c>
      <c r="AF1274" s="494">
        <v>45624</v>
      </c>
      <c r="AG1274" s="476"/>
      <c r="AH1274" s="489"/>
      <c r="AI1274" s="712" t="s">
        <v>4208</v>
      </c>
      <c r="AJ1274" s="303" t="s">
        <v>136</v>
      </c>
      <c r="AK1274" s="241">
        <v>4</v>
      </c>
      <c r="AL1274" s="123" t="s">
        <v>496</v>
      </c>
      <c r="AM1274" s="175" t="s">
        <v>492</v>
      </c>
      <c r="AN1274" s="130"/>
      <c r="AO1274" s="130"/>
      <c r="AP1274" s="115"/>
      <c r="AQ1274" s="115"/>
      <c r="AR1274" s="115"/>
      <c r="AS1274" s="115"/>
      <c r="AT1274" s="115"/>
    </row>
    <row r="1275" spans="1:46" ht="39" customHeight="1" x14ac:dyDescent="0.25">
      <c r="A1275" s="1468">
        <v>1274</v>
      </c>
      <c r="B1275" s="141">
        <v>2</v>
      </c>
      <c r="C1275" s="260" t="s">
        <v>317</v>
      </c>
      <c r="D1275" s="241"/>
      <c r="E1275" s="241"/>
      <c r="F1275" s="241"/>
      <c r="G1275" s="261" t="s">
        <v>318</v>
      </c>
      <c r="H1275" s="262" t="s">
        <v>87</v>
      </c>
      <c r="I1275" s="357"/>
      <c r="J1275" s="245" t="s">
        <v>561</v>
      </c>
      <c r="K1275" s="571"/>
      <c r="L1275" s="250" t="s">
        <v>5167</v>
      </c>
      <c r="M1275" s="250" t="s">
        <v>5167</v>
      </c>
      <c r="N1275" s="571"/>
      <c r="O1275" s="1400" t="s">
        <v>5345</v>
      </c>
      <c r="P1275" s="571"/>
      <c r="Q1275" s="1400" t="s">
        <v>87</v>
      </c>
      <c r="R1275" s="1201" t="s">
        <v>5343</v>
      </c>
      <c r="S1275" s="279">
        <v>38669</v>
      </c>
      <c r="T1275" s="571"/>
      <c r="U1275" s="197"/>
      <c r="V1275" s="197"/>
      <c r="W1275" s="197"/>
      <c r="X1275" s="289"/>
      <c r="Y1275" s="981"/>
      <c r="Z1275" s="486"/>
      <c r="AA1275" s="571"/>
      <c r="AB1275" s="571" t="s">
        <v>5376</v>
      </c>
      <c r="AC1275" s="571"/>
      <c r="AD1275" s="245" t="s">
        <v>467</v>
      </c>
      <c r="AE1275" s="494">
        <v>45259</v>
      </c>
      <c r="AF1275" s="494">
        <v>45624</v>
      </c>
      <c r="AG1275" s="571"/>
      <c r="AH1275" s="571"/>
      <c r="AI1275" s="712" t="s">
        <v>4208</v>
      </c>
      <c r="AJ1275" s="303" t="s">
        <v>136</v>
      </c>
      <c r="AK1275" s="241">
        <v>4</v>
      </c>
      <c r="AL1275" s="123" t="s">
        <v>496</v>
      </c>
      <c r="AM1275" s="175" t="s">
        <v>492</v>
      </c>
      <c r="AN1275" s="110"/>
      <c r="AO1275" s="110"/>
      <c r="AP1275" s="115"/>
      <c r="AQ1275" s="115"/>
      <c r="AR1275" s="115"/>
      <c r="AS1275" s="115"/>
      <c r="AT1275" s="115"/>
    </row>
    <row r="1276" spans="1:46" ht="39" customHeight="1" x14ac:dyDescent="0.3">
      <c r="A1276" s="1468">
        <v>1275</v>
      </c>
      <c r="B1276" s="146">
        <v>2</v>
      </c>
      <c r="C1276" s="260" t="s">
        <v>319</v>
      </c>
      <c r="D1276" s="241"/>
      <c r="E1276" s="241"/>
      <c r="F1276" s="241"/>
      <c r="G1276" s="261" t="s">
        <v>320</v>
      </c>
      <c r="H1276" s="262" t="s">
        <v>87</v>
      </c>
      <c r="I1276" s="357"/>
      <c r="J1276" s="245" t="s">
        <v>561</v>
      </c>
      <c r="K1276" s="216"/>
      <c r="L1276" s="301"/>
      <c r="M1276" s="216"/>
      <c r="N1276" s="366"/>
      <c r="O1276" s="216" t="s">
        <v>3432</v>
      </c>
      <c r="P1276" s="287" t="s">
        <v>1828</v>
      </c>
      <c r="Q1276" s="373" t="s">
        <v>87</v>
      </c>
      <c r="R1276" s="982" t="s">
        <v>3431</v>
      </c>
      <c r="S1276" s="279">
        <v>28762</v>
      </c>
      <c r="T1276" s="306"/>
      <c r="U1276" s="197"/>
      <c r="V1276" s="280"/>
      <c r="W1276" s="1126"/>
      <c r="X1276" s="819"/>
      <c r="Y1276" s="197"/>
      <c r="Z1276" s="246"/>
      <c r="AA1276" s="252"/>
      <c r="AB1276" s="301"/>
      <c r="AC1276" s="223"/>
      <c r="AD1276" s="301"/>
      <c r="AE1276" s="494"/>
      <c r="AF1276" s="494"/>
      <c r="AG1276" s="301"/>
      <c r="AH1276" s="301"/>
      <c r="AI1276" s="386"/>
      <c r="AJ1276" s="348" t="s">
        <v>560</v>
      </c>
      <c r="AK1276" s="241">
        <v>4</v>
      </c>
      <c r="AL1276" s="123" t="s">
        <v>496</v>
      </c>
      <c r="AM1276" s="175" t="s">
        <v>492</v>
      </c>
      <c r="AN1276" s="110"/>
      <c r="AO1276" s="110"/>
      <c r="AP1276" s="115"/>
      <c r="AQ1276" s="115"/>
      <c r="AR1276" s="115"/>
      <c r="AS1276" s="115"/>
      <c r="AT1276" s="116"/>
    </row>
    <row r="1277" spans="1:46" ht="39" customHeight="1" x14ac:dyDescent="0.25">
      <c r="A1277" s="1468">
        <v>1276</v>
      </c>
      <c r="B1277" s="141">
        <v>2</v>
      </c>
      <c r="C1277" s="378" t="s">
        <v>321</v>
      </c>
      <c r="D1277" s="303"/>
      <c r="E1277" s="241"/>
      <c r="F1277" s="241"/>
      <c r="G1277" s="261" t="s">
        <v>322</v>
      </c>
      <c r="H1277" s="262" t="s">
        <v>87</v>
      </c>
      <c r="I1277" s="357"/>
      <c r="J1277" s="245" t="s">
        <v>561</v>
      </c>
      <c r="K1277" s="437"/>
      <c r="L1277" s="440"/>
      <c r="M1277" s="440"/>
      <c r="N1277" s="404"/>
      <c r="O1277" s="216" t="s">
        <v>2843</v>
      </c>
      <c r="P1277" s="402" t="s">
        <v>1828</v>
      </c>
      <c r="Q1277" s="298" t="s">
        <v>87</v>
      </c>
      <c r="R1277" s="982" t="s">
        <v>2842</v>
      </c>
      <c r="S1277" s="279">
        <v>31052</v>
      </c>
      <c r="T1277" s="223"/>
      <c r="U1277" s="251" t="s">
        <v>886</v>
      </c>
      <c r="V1277" s="280" t="s">
        <v>5901</v>
      </c>
      <c r="W1277" s="197" t="s">
        <v>886</v>
      </c>
      <c r="X1277" s="197" t="s">
        <v>886</v>
      </c>
      <c r="Y1277" s="280"/>
      <c r="Z1277" s="486">
        <v>45288</v>
      </c>
      <c r="AA1277" s="252"/>
      <c r="AB1277" s="474"/>
      <c r="AC1277" s="474"/>
      <c r="AD1277" s="434"/>
      <c r="AE1277" s="494"/>
      <c r="AF1277" s="494"/>
      <c r="AG1277" s="471"/>
      <c r="AH1277" s="496"/>
      <c r="AI1277" s="719"/>
      <c r="AJ1277" s="348" t="s">
        <v>560</v>
      </c>
      <c r="AK1277" s="241">
        <v>4</v>
      </c>
      <c r="AL1277" s="123" t="s">
        <v>496</v>
      </c>
      <c r="AM1277" s="175" t="s">
        <v>492</v>
      </c>
      <c r="AN1277" s="110"/>
      <c r="AO1277" s="110"/>
      <c r="AP1277" s="115"/>
      <c r="AQ1277" s="115"/>
      <c r="AR1277" s="115"/>
      <c r="AS1277" s="115"/>
      <c r="AT1277" s="115"/>
    </row>
    <row r="1278" spans="1:46" ht="39" customHeight="1" x14ac:dyDescent="0.25">
      <c r="A1278" s="1468">
        <v>1277</v>
      </c>
      <c r="B1278" s="141">
        <v>1</v>
      </c>
      <c r="C1278" s="378" t="s">
        <v>323</v>
      </c>
      <c r="D1278" s="303"/>
      <c r="E1278" s="241"/>
      <c r="F1278" s="241"/>
      <c r="G1278" s="261" t="s">
        <v>324</v>
      </c>
      <c r="H1278" s="262" t="s">
        <v>87</v>
      </c>
      <c r="I1278" s="364"/>
      <c r="J1278" s="245" t="s">
        <v>561</v>
      </c>
      <c r="K1278" s="250"/>
      <c r="L1278" s="281" t="s">
        <v>5022</v>
      </c>
      <c r="M1278" s="281" t="s">
        <v>5022</v>
      </c>
      <c r="N1278" s="366"/>
      <c r="O1278" s="216" t="s">
        <v>5433</v>
      </c>
      <c r="P1278" s="402"/>
      <c r="Q1278" s="298" t="s">
        <v>87</v>
      </c>
      <c r="R1278" s="982" t="s">
        <v>5432</v>
      </c>
      <c r="S1278" s="279">
        <v>34512</v>
      </c>
      <c r="T1278" s="713"/>
      <c r="U1278" s="251" t="s">
        <v>54</v>
      </c>
      <c r="V1278" s="197"/>
      <c r="W1278" s="1425" t="s">
        <v>56</v>
      </c>
      <c r="X1278" s="197"/>
      <c r="Y1278" s="245"/>
      <c r="Z1278" s="246"/>
      <c r="AA1278" s="246"/>
      <c r="AB1278" s="288"/>
      <c r="AC1278" s="223"/>
      <c r="AD1278" s="376"/>
      <c r="AE1278" s="494"/>
      <c r="AF1278" s="494"/>
      <c r="AG1278" s="241"/>
      <c r="AH1278" s="283"/>
      <c r="AI1278" s="254"/>
      <c r="AJ1278" s="348" t="s">
        <v>560</v>
      </c>
      <c r="AK1278" s="241">
        <v>4</v>
      </c>
      <c r="AL1278" s="123" t="s">
        <v>496</v>
      </c>
      <c r="AM1278" s="175" t="s">
        <v>492</v>
      </c>
      <c r="AN1278" s="110"/>
      <c r="AO1278" s="110"/>
      <c r="AP1278" s="115"/>
      <c r="AQ1278" s="115"/>
      <c r="AR1278" s="115"/>
      <c r="AS1278" s="115"/>
      <c r="AT1278" s="115"/>
    </row>
    <row r="1279" spans="1:46" ht="39" customHeight="1" x14ac:dyDescent="0.25">
      <c r="A1279" s="1468">
        <v>1278</v>
      </c>
      <c r="B1279" s="141">
        <v>1</v>
      </c>
      <c r="C1279" s="260" t="s">
        <v>325</v>
      </c>
      <c r="D1279" s="241"/>
      <c r="E1279" s="241"/>
      <c r="F1279" s="241"/>
      <c r="G1279" s="261" t="s">
        <v>324</v>
      </c>
      <c r="H1279" s="262" t="s">
        <v>87</v>
      </c>
      <c r="I1279" s="357"/>
      <c r="J1279" s="245" t="s">
        <v>561</v>
      </c>
      <c r="K1279" s="216"/>
      <c r="L1279" s="281" t="s">
        <v>5061</v>
      </c>
      <c r="M1279" s="281" t="s">
        <v>5061</v>
      </c>
      <c r="N1279" s="366"/>
      <c r="O1279" s="385" t="s">
        <v>5062</v>
      </c>
      <c r="P1279" s="385"/>
      <c r="Q1279" s="344" t="s">
        <v>87</v>
      </c>
      <c r="R1279" s="982" t="s">
        <v>5506</v>
      </c>
      <c r="S1279" s="279">
        <v>35866</v>
      </c>
      <c r="T1279" s="250"/>
      <c r="U1279" s="251" t="s">
        <v>54</v>
      </c>
      <c r="V1279" s="197" t="s">
        <v>5955</v>
      </c>
      <c r="W1279" s="197" t="s">
        <v>70</v>
      </c>
      <c r="X1279" s="197" t="s">
        <v>71</v>
      </c>
      <c r="Y1279" s="949" t="s">
        <v>5964</v>
      </c>
      <c r="Z1279" s="612">
        <v>45312</v>
      </c>
      <c r="AA1279" s="289"/>
      <c r="AB1279" s="299"/>
      <c r="AC1279" s="223"/>
      <c r="AD1279" s="299"/>
      <c r="AE1279" s="494"/>
      <c r="AF1279" s="494"/>
      <c r="AG1279" s="299"/>
      <c r="AH1279" s="299"/>
      <c r="AI1279" s="296"/>
      <c r="AJ1279" s="348" t="s">
        <v>560</v>
      </c>
      <c r="AK1279" s="241">
        <v>4</v>
      </c>
      <c r="AL1279" s="123" t="s">
        <v>496</v>
      </c>
      <c r="AM1279" s="175" t="s">
        <v>492</v>
      </c>
      <c r="AN1279" s="110"/>
      <c r="AO1279" s="110"/>
      <c r="AP1279" s="115"/>
      <c r="AQ1279" s="115"/>
      <c r="AR1279" s="115"/>
      <c r="AS1279" s="115"/>
      <c r="AT1279" s="115"/>
    </row>
    <row r="1280" spans="1:46" ht="39" customHeight="1" x14ac:dyDescent="0.25">
      <c r="A1280" s="1468">
        <v>1279</v>
      </c>
      <c r="B1280" s="117"/>
      <c r="C1280" s="324"/>
      <c r="D1280" s="664"/>
      <c r="E1280" s="664"/>
      <c r="F1280" s="664"/>
      <c r="G1280" s="227"/>
      <c r="H1280" s="228"/>
      <c r="I1280" s="228"/>
      <c r="J1280" s="229"/>
      <c r="K1280" s="227"/>
      <c r="L1280" s="229"/>
      <c r="M1280" s="229"/>
      <c r="N1280" s="229"/>
      <c r="O1280" s="309"/>
      <c r="P1280" s="230" t="s">
        <v>2781</v>
      </c>
      <c r="Q1280" s="726"/>
      <c r="R1280" s="1004"/>
      <c r="S1280" s="279"/>
      <c r="T1280" s="232"/>
      <c r="U1280" s="197"/>
      <c r="V1280" s="232"/>
      <c r="W1280" s="232"/>
      <c r="X1280" s="232"/>
      <c r="Y1280" s="232"/>
      <c r="Z1280" s="233"/>
      <c r="AA1280" s="234"/>
      <c r="AB1280" s="235"/>
      <c r="AC1280" s="236"/>
      <c r="AD1280" s="235"/>
      <c r="AE1280" s="494"/>
      <c r="AF1280" s="494"/>
      <c r="AG1280" s="664"/>
      <c r="AH1280" s="238"/>
      <c r="AI1280" s="239"/>
      <c r="AJ1280" s="303"/>
      <c r="AK1280" s="241"/>
      <c r="AL1280" s="122"/>
      <c r="AM1280" s="122"/>
      <c r="AN1280" s="113"/>
      <c r="AO1280" s="114"/>
      <c r="AP1280" s="115"/>
      <c r="AQ1280" s="115"/>
      <c r="AR1280" s="115"/>
      <c r="AS1280" s="115"/>
      <c r="AT1280" s="116"/>
    </row>
    <row r="1281" spans="1:46" ht="39" customHeight="1" x14ac:dyDescent="0.25">
      <c r="A1281" s="1468">
        <v>1280</v>
      </c>
      <c r="B1281" s="119" t="s">
        <v>276</v>
      </c>
      <c r="C1281" s="240" t="s">
        <v>277</v>
      </c>
      <c r="D1281" s="282"/>
      <c r="E1281" s="338" t="s">
        <v>47</v>
      </c>
      <c r="F1281" s="282"/>
      <c r="G1281" s="339" t="s">
        <v>91</v>
      </c>
      <c r="H1281" s="340" t="s">
        <v>78</v>
      </c>
      <c r="I1281" s="340"/>
      <c r="J1281" s="245">
        <v>300</v>
      </c>
      <c r="K1281" s="197" t="s">
        <v>50</v>
      </c>
      <c r="L1281" s="281"/>
      <c r="M1281" s="281"/>
      <c r="N1281" s="245"/>
      <c r="O1281" s="1476" t="s">
        <v>3201</v>
      </c>
      <c r="P1281" s="708"/>
      <c r="Q1281" s="978" t="s">
        <v>78</v>
      </c>
      <c r="R1281" s="995" t="s">
        <v>2033</v>
      </c>
      <c r="S1281" s="279">
        <v>29260</v>
      </c>
      <c r="T1281" s="280"/>
      <c r="U1281" s="251" t="s">
        <v>54</v>
      </c>
      <c r="V1281" s="443" t="s">
        <v>6131</v>
      </c>
      <c r="W1281" s="241" t="s">
        <v>56</v>
      </c>
      <c r="X1281" s="197" t="s">
        <v>57</v>
      </c>
      <c r="Y1281" s="241" t="s">
        <v>4631</v>
      </c>
      <c r="Z1281" s="252">
        <v>45322</v>
      </c>
      <c r="AA1281" s="252"/>
      <c r="AB1281" s="282"/>
      <c r="AC1281" s="223"/>
      <c r="AD1281" s="282"/>
      <c r="AE1281" s="494"/>
      <c r="AF1281" s="494"/>
      <c r="AG1281" s="241"/>
      <c r="AH1281" s="283"/>
      <c r="AI1281" s="254"/>
      <c r="AJ1281" s="255" t="s">
        <v>62</v>
      </c>
      <c r="AK1281" s="242">
        <v>1</v>
      </c>
      <c r="AL1281" s="123" t="s">
        <v>497</v>
      </c>
      <c r="AM1281" s="175" t="s">
        <v>492</v>
      </c>
      <c r="AN1281" s="124"/>
      <c r="AO1281" s="124"/>
      <c r="AP1281" s="115"/>
      <c r="AQ1281" s="115"/>
      <c r="AR1281" s="115"/>
      <c r="AS1281" s="115"/>
      <c r="AT1281" s="115"/>
    </row>
    <row r="1282" spans="1:46" ht="39" customHeight="1" x14ac:dyDescent="0.3">
      <c r="A1282" s="1468">
        <v>1281</v>
      </c>
      <c r="B1282" s="119">
        <v>12</v>
      </c>
      <c r="C1282" s="240" t="s">
        <v>279</v>
      </c>
      <c r="D1282" s="282"/>
      <c r="E1282" s="338" t="s">
        <v>47</v>
      </c>
      <c r="F1282" s="282"/>
      <c r="G1282" s="339" t="s">
        <v>280</v>
      </c>
      <c r="H1282" s="244" t="s">
        <v>83</v>
      </c>
      <c r="I1282" s="340"/>
      <c r="J1282" s="245">
        <v>302</v>
      </c>
      <c r="K1282" s="197" t="s">
        <v>50</v>
      </c>
      <c r="L1282" s="281" t="s">
        <v>2564</v>
      </c>
      <c r="M1282" s="281" t="s">
        <v>2564</v>
      </c>
      <c r="N1282" s="245"/>
      <c r="O1282" s="952" t="s">
        <v>2615</v>
      </c>
      <c r="P1282" s="708" t="s">
        <v>1411</v>
      </c>
      <c r="Q1282" s="978" t="s">
        <v>78</v>
      </c>
      <c r="R1282" s="995" t="s">
        <v>2614</v>
      </c>
      <c r="S1282" s="279">
        <v>27506</v>
      </c>
      <c r="T1282" s="280"/>
      <c r="U1282" s="251" t="s">
        <v>54</v>
      </c>
      <c r="V1282" s="250"/>
      <c r="W1282" s="197" t="s">
        <v>6067</v>
      </c>
      <c r="X1282" s="197"/>
      <c r="Y1282" s="1130"/>
      <c r="Z1282" s="252"/>
      <c r="AA1282" s="252"/>
      <c r="AB1282" s="282"/>
      <c r="AC1282" s="223"/>
      <c r="AD1282" s="282"/>
      <c r="AE1282" s="494"/>
      <c r="AF1282" s="494"/>
      <c r="AG1282" s="241"/>
      <c r="AH1282" s="283"/>
      <c r="AI1282" s="254"/>
      <c r="AJ1282" s="255" t="s">
        <v>62</v>
      </c>
      <c r="AK1282" s="242">
        <v>1</v>
      </c>
      <c r="AL1282" s="123" t="s">
        <v>497</v>
      </c>
      <c r="AM1282" s="175" t="s">
        <v>492</v>
      </c>
      <c r="AN1282" s="124"/>
      <c r="AO1282" s="124"/>
      <c r="AP1282" s="115"/>
      <c r="AQ1282" s="115"/>
      <c r="AR1282" s="115"/>
      <c r="AS1282" s="115"/>
      <c r="AT1282" s="115"/>
    </row>
    <row r="1283" spans="1:46" ht="39" customHeight="1" x14ac:dyDescent="0.25">
      <c r="A1283" s="1468">
        <v>1282</v>
      </c>
      <c r="B1283" s="131">
        <v>9</v>
      </c>
      <c r="C1283" s="311" t="s">
        <v>281</v>
      </c>
      <c r="D1283" s="282"/>
      <c r="E1283" s="353" t="s">
        <v>47</v>
      </c>
      <c r="F1283" s="282"/>
      <c r="G1283" s="445" t="s">
        <v>282</v>
      </c>
      <c r="H1283" s="350" t="s">
        <v>283</v>
      </c>
      <c r="I1283" s="350"/>
      <c r="J1283" s="281">
        <v>410</v>
      </c>
      <c r="K1283" s="216" t="s">
        <v>158</v>
      </c>
      <c r="L1283" s="281" t="s">
        <v>1030</v>
      </c>
      <c r="M1283" s="281" t="s">
        <v>1030</v>
      </c>
      <c r="N1283" s="281"/>
      <c r="O1283" s="216" t="s">
        <v>1031</v>
      </c>
      <c r="P1283" s="325"/>
      <c r="Q1283" s="353" t="s">
        <v>153</v>
      </c>
      <c r="R1283" s="1140" t="s">
        <v>1032</v>
      </c>
      <c r="S1283" s="279">
        <v>37260</v>
      </c>
      <c r="T1283" s="252"/>
      <c r="U1283" s="251" t="s">
        <v>54</v>
      </c>
      <c r="V1283" s="197" t="s">
        <v>6054</v>
      </c>
      <c r="W1283" s="1127" t="s">
        <v>6058</v>
      </c>
      <c r="X1283" s="197" t="s">
        <v>5135</v>
      </c>
      <c r="Y1283" s="981" t="s">
        <v>5513</v>
      </c>
      <c r="Z1283" s="306">
        <v>45315</v>
      </c>
      <c r="AA1283" s="252"/>
      <c r="AB1283" s="282"/>
      <c r="AC1283" s="223" t="s">
        <v>946</v>
      </c>
      <c r="AD1283" s="282"/>
      <c r="AE1283" s="494"/>
      <c r="AF1283" s="494"/>
      <c r="AG1283" s="282" t="s">
        <v>61</v>
      </c>
      <c r="AH1283" s="283"/>
      <c r="AI1283" s="328"/>
      <c r="AJ1283" s="317" t="s">
        <v>47</v>
      </c>
      <c r="AK1283" s="312">
        <v>2</v>
      </c>
      <c r="AL1283" s="123" t="s">
        <v>497</v>
      </c>
      <c r="AM1283" s="175" t="s">
        <v>492</v>
      </c>
      <c r="AN1283" s="144"/>
      <c r="AO1283" s="144"/>
      <c r="AP1283" s="115"/>
      <c r="AQ1283" s="115"/>
      <c r="AR1283" s="115"/>
      <c r="AS1283" s="115"/>
      <c r="AT1283" s="115"/>
    </row>
    <row r="1284" spans="1:46" ht="39" customHeight="1" x14ac:dyDescent="0.25">
      <c r="A1284" s="1468">
        <v>1283</v>
      </c>
      <c r="B1284" s="131">
        <v>9</v>
      </c>
      <c r="C1284" s="311" t="s">
        <v>284</v>
      </c>
      <c r="D1284" s="282"/>
      <c r="E1284" s="353" t="s">
        <v>47</v>
      </c>
      <c r="F1284" s="282"/>
      <c r="G1284" s="445" t="s">
        <v>285</v>
      </c>
      <c r="H1284" s="350" t="s">
        <v>283</v>
      </c>
      <c r="I1284" s="350"/>
      <c r="J1284" s="281">
        <v>410</v>
      </c>
      <c r="K1284" s="216"/>
      <c r="L1284" s="281" t="s">
        <v>1856</v>
      </c>
      <c r="M1284" s="281" t="s">
        <v>1856</v>
      </c>
      <c r="N1284" s="245"/>
      <c r="O1284" s="216" t="s">
        <v>1855</v>
      </c>
      <c r="P1284" s="446"/>
      <c r="Q1284" s="353" t="s">
        <v>283</v>
      </c>
      <c r="R1284" s="1140" t="s">
        <v>2020</v>
      </c>
      <c r="S1284" s="279">
        <v>29863</v>
      </c>
      <c r="T1284" s="250"/>
      <c r="U1284" s="251" t="s">
        <v>54</v>
      </c>
      <c r="V1284" s="280"/>
      <c r="W1284" s="197" t="s">
        <v>6067</v>
      </c>
      <c r="X1284" s="280"/>
      <c r="Y1284" s="288"/>
      <c r="Z1284" s="486"/>
      <c r="AA1284" s="252"/>
      <c r="AB1284" s="281"/>
      <c r="AC1284" s="223"/>
      <c r="AD1284" s="376"/>
      <c r="AE1284" s="494"/>
      <c r="AF1284" s="494"/>
      <c r="AG1284" s="282"/>
      <c r="AH1284" s="283"/>
      <c r="AI1284" s="284"/>
      <c r="AJ1284" s="317" t="s">
        <v>47</v>
      </c>
      <c r="AK1284" s="312">
        <v>2</v>
      </c>
      <c r="AL1284" s="123" t="s">
        <v>497</v>
      </c>
      <c r="AM1284" s="175" t="s">
        <v>492</v>
      </c>
      <c r="AN1284" s="133"/>
      <c r="AO1284" s="133"/>
      <c r="AP1284" s="115"/>
      <c r="AQ1284" s="115"/>
      <c r="AR1284" s="115"/>
      <c r="AS1284" s="115"/>
      <c r="AT1284" s="115"/>
    </row>
    <row r="1285" spans="1:46" ht="39" customHeight="1" x14ac:dyDescent="0.25">
      <c r="A1285" s="1468">
        <v>1284</v>
      </c>
      <c r="B1285" s="131">
        <v>6</v>
      </c>
      <c r="C1285" s="311" t="s">
        <v>286</v>
      </c>
      <c r="D1285" s="282"/>
      <c r="E1285" s="353" t="s">
        <v>47</v>
      </c>
      <c r="F1285" s="282"/>
      <c r="G1285" s="445" t="s">
        <v>287</v>
      </c>
      <c r="H1285" s="350" t="s">
        <v>153</v>
      </c>
      <c r="I1285" s="350"/>
      <c r="J1285" s="256">
        <v>400</v>
      </c>
      <c r="K1285" s="216"/>
      <c r="L1285" s="281"/>
      <c r="M1285" s="281"/>
      <c r="N1285" s="281"/>
      <c r="O1285" s="216"/>
      <c r="P1285" s="325"/>
      <c r="Q1285" s="353"/>
      <c r="R1285" s="1140" t="s">
        <v>66</v>
      </c>
      <c r="S1285" s="279"/>
      <c r="T1285" s="252"/>
      <c r="U1285" s="250"/>
      <c r="V1285" s="197"/>
      <c r="W1285" s="1127"/>
      <c r="X1285" s="197"/>
      <c r="Y1285" s="981"/>
      <c r="Z1285" s="306"/>
      <c r="AA1285" s="252"/>
      <c r="AB1285" s="282"/>
      <c r="AC1285" s="223"/>
      <c r="AD1285" s="282"/>
      <c r="AE1285" s="494"/>
      <c r="AF1285" s="494"/>
      <c r="AG1285" s="282"/>
      <c r="AH1285" s="283"/>
      <c r="AI1285" s="328"/>
      <c r="AJ1285" s="317"/>
      <c r="AK1285" s="312">
        <v>2</v>
      </c>
      <c r="AL1285" s="123" t="s">
        <v>497</v>
      </c>
      <c r="AM1285" s="175" t="s">
        <v>492</v>
      </c>
      <c r="AN1285" s="133"/>
      <c r="AO1285" s="133"/>
      <c r="AP1285" s="115"/>
      <c r="AQ1285" s="115"/>
      <c r="AR1285" s="115"/>
      <c r="AS1285" s="115"/>
      <c r="AT1285" s="115"/>
    </row>
    <row r="1286" spans="1:46" ht="39" customHeight="1" x14ac:dyDescent="0.25">
      <c r="A1286" s="1468">
        <v>1285</v>
      </c>
      <c r="B1286" s="158">
        <v>5</v>
      </c>
      <c r="C1286" s="290" t="s">
        <v>288</v>
      </c>
      <c r="D1286" s="344"/>
      <c r="E1286" s="344" t="s">
        <v>47</v>
      </c>
      <c r="F1286" s="344"/>
      <c r="G1286" s="292" t="s">
        <v>289</v>
      </c>
      <c r="H1286" s="371" t="s">
        <v>132</v>
      </c>
      <c r="I1286" s="344">
        <v>144</v>
      </c>
      <c r="J1286" s="256">
        <v>403</v>
      </c>
      <c r="K1286" s="301" t="s">
        <v>158</v>
      </c>
      <c r="L1286" s="301" t="s">
        <v>466</v>
      </c>
      <c r="M1286" s="301" t="s">
        <v>466</v>
      </c>
      <c r="N1286" s="305"/>
      <c r="O1286" s="216" t="s">
        <v>1005</v>
      </c>
      <c r="P1286" s="301"/>
      <c r="Q1286" s="344" t="s">
        <v>567</v>
      </c>
      <c r="R1286" s="982" t="s">
        <v>1006</v>
      </c>
      <c r="S1286" s="279">
        <v>37408</v>
      </c>
      <c r="T1286" s="306"/>
      <c r="U1286" s="251" t="s">
        <v>54</v>
      </c>
      <c r="V1286" s="306" t="s">
        <v>968</v>
      </c>
      <c r="W1286" s="197" t="s">
        <v>56</v>
      </c>
      <c r="X1286" s="197" t="s">
        <v>57</v>
      </c>
      <c r="Y1286" s="306" t="s">
        <v>969</v>
      </c>
      <c r="Z1286" s="306">
        <v>44960</v>
      </c>
      <c r="AA1286" s="301"/>
      <c r="AB1286" s="301" t="s">
        <v>1007</v>
      </c>
      <c r="AC1286" s="223" t="s">
        <v>946</v>
      </c>
      <c r="AD1286" s="306" t="s">
        <v>467</v>
      </c>
      <c r="AE1286" s="306">
        <v>44740</v>
      </c>
      <c r="AF1286" s="306">
        <v>45104</v>
      </c>
      <c r="AG1286" s="305" t="s">
        <v>61</v>
      </c>
      <c r="AH1286" s="283"/>
      <c r="AI1286" s="296"/>
      <c r="AJ1286" s="348" t="s">
        <v>560</v>
      </c>
      <c r="AK1286" s="348">
        <v>3</v>
      </c>
      <c r="AL1286" s="123" t="s">
        <v>497</v>
      </c>
      <c r="AM1286" s="175" t="s">
        <v>492</v>
      </c>
      <c r="AN1286" s="130"/>
      <c r="AO1286" s="130"/>
      <c r="AP1286" s="115"/>
      <c r="AQ1286" s="115"/>
      <c r="AR1286" s="115"/>
      <c r="AS1286" s="115"/>
      <c r="AT1286" s="115"/>
    </row>
    <row r="1287" spans="1:46" ht="39" customHeight="1" x14ac:dyDescent="0.25">
      <c r="A1287" s="1468">
        <v>1286</v>
      </c>
      <c r="B1287" s="141">
        <v>3</v>
      </c>
      <c r="C1287" s="356" t="s">
        <v>290</v>
      </c>
      <c r="D1287" s="282" t="s">
        <v>134</v>
      </c>
      <c r="E1287" s="282"/>
      <c r="F1287" s="282"/>
      <c r="G1287" s="261" t="s">
        <v>291</v>
      </c>
      <c r="H1287" s="262" t="s">
        <v>85</v>
      </c>
      <c r="I1287" s="357"/>
      <c r="J1287" s="245" t="s">
        <v>556</v>
      </c>
      <c r="K1287" s="216"/>
      <c r="L1287" s="250" t="s">
        <v>1490</v>
      </c>
      <c r="M1287" s="250" t="s">
        <v>1490</v>
      </c>
      <c r="N1287" s="366"/>
      <c r="O1287" s="216" t="s">
        <v>2572</v>
      </c>
      <c r="P1287" s="351"/>
      <c r="Q1287" s="375" t="s">
        <v>293</v>
      </c>
      <c r="R1287" s="982" t="s">
        <v>1400</v>
      </c>
      <c r="S1287" s="279">
        <v>37952</v>
      </c>
      <c r="T1287" s="257"/>
      <c r="U1287" s="251" t="s">
        <v>54</v>
      </c>
      <c r="V1287" s="197"/>
      <c r="W1287" s="197" t="s">
        <v>2363</v>
      </c>
      <c r="X1287" s="197" t="s">
        <v>71</v>
      </c>
      <c r="Y1287" s="306"/>
      <c r="Z1287" s="306">
        <v>45139</v>
      </c>
      <c r="AA1287" s="388"/>
      <c r="AB1287" s="257"/>
      <c r="AC1287" s="223"/>
      <c r="AD1287" s="257"/>
      <c r="AE1287" s="494"/>
      <c r="AF1287" s="494"/>
      <c r="AG1287" s="392"/>
      <c r="AH1287" s="281"/>
      <c r="AI1287" s="254"/>
      <c r="AJ1287" s="348" t="s">
        <v>560</v>
      </c>
      <c r="AK1287" s="241">
        <v>4</v>
      </c>
      <c r="AL1287" s="123" t="s">
        <v>497</v>
      </c>
      <c r="AM1287" s="175" t="s">
        <v>492</v>
      </c>
      <c r="AN1287" s="110" t="s">
        <v>4184</v>
      </c>
      <c r="AO1287" s="110"/>
      <c r="AP1287" s="115"/>
      <c r="AQ1287" s="115"/>
      <c r="AR1287" s="115"/>
      <c r="AS1287" s="115"/>
      <c r="AT1287" s="115"/>
    </row>
    <row r="1288" spans="1:46" ht="39" customHeight="1" x14ac:dyDescent="0.25">
      <c r="A1288" s="1468">
        <v>1287</v>
      </c>
      <c r="B1288" s="141" t="s">
        <v>337</v>
      </c>
      <c r="C1288" s="358" t="s">
        <v>297</v>
      </c>
      <c r="D1288" s="282" t="s">
        <v>134</v>
      </c>
      <c r="E1288" s="282"/>
      <c r="F1288" s="282"/>
      <c r="G1288" s="447" t="s">
        <v>298</v>
      </c>
      <c r="H1288" s="262" t="s">
        <v>85</v>
      </c>
      <c r="I1288" s="364"/>
      <c r="J1288" s="245" t="s">
        <v>556</v>
      </c>
      <c r="K1288" s="216"/>
      <c r="L1288" s="281"/>
      <c r="M1288" s="281"/>
      <c r="N1288" s="245"/>
      <c r="O1288" s="385" t="s">
        <v>2252</v>
      </c>
      <c r="P1288" s="374"/>
      <c r="Q1288" s="344" t="s">
        <v>85</v>
      </c>
      <c r="R1288" s="982" t="s">
        <v>2251</v>
      </c>
      <c r="S1288" s="279">
        <v>35168</v>
      </c>
      <c r="T1288" s="250"/>
      <c r="U1288" s="250"/>
      <c r="V1288" s="299"/>
      <c r="W1288" s="250"/>
      <c r="X1288" s="197"/>
      <c r="Y1288" s="981"/>
      <c r="Z1288" s="258"/>
      <c r="AA1288" s="258"/>
      <c r="AB1288" s="281"/>
      <c r="AC1288" s="223"/>
      <c r="AD1288" s="281"/>
      <c r="AE1288" s="494"/>
      <c r="AF1288" s="494"/>
      <c r="AG1288" s="241"/>
      <c r="AH1288" s="283"/>
      <c r="AI1288" s="296"/>
      <c r="AJ1288" s="348" t="s">
        <v>560</v>
      </c>
      <c r="AK1288" s="241">
        <v>4</v>
      </c>
      <c r="AL1288" s="123" t="s">
        <v>497</v>
      </c>
      <c r="AM1288" s="175" t="s">
        <v>492</v>
      </c>
      <c r="AN1288" s="110"/>
      <c r="AO1288" s="110"/>
      <c r="AP1288" s="115"/>
      <c r="AQ1288" s="115"/>
      <c r="AR1288" s="115"/>
      <c r="AS1288" s="115"/>
      <c r="AT1288" s="116"/>
    </row>
    <row r="1289" spans="1:46" ht="39" customHeight="1" x14ac:dyDescent="0.25">
      <c r="A1289" s="1468">
        <v>1288</v>
      </c>
      <c r="B1289" s="117">
        <v>2</v>
      </c>
      <c r="C1289" s="260" t="s">
        <v>299</v>
      </c>
      <c r="D1289" s="282"/>
      <c r="E1289" s="282"/>
      <c r="F1289" s="282"/>
      <c r="G1289" s="447" t="s">
        <v>300</v>
      </c>
      <c r="H1289" s="262" t="s">
        <v>87</v>
      </c>
      <c r="I1289" s="357"/>
      <c r="J1289" s="245" t="s">
        <v>561</v>
      </c>
      <c r="K1289" s="571"/>
      <c r="L1289" s="288" t="s">
        <v>5415</v>
      </c>
      <c r="M1289" s="288" t="s">
        <v>5415</v>
      </c>
      <c r="N1289" s="571"/>
      <c r="O1289" s="1414" t="s">
        <v>5483</v>
      </c>
      <c r="P1289" s="571"/>
      <c r="Q1289" s="1414" t="s">
        <v>87</v>
      </c>
      <c r="R1289" s="1201" t="s">
        <v>5482</v>
      </c>
      <c r="S1289" s="279">
        <v>37715</v>
      </c>
      <c r="T1289" s="571"/>
      <c r="U1289" s="250"/>
      <c r="V1289" s="299"/>
      <c r="W1289" s="197"/>
      <c r="X1289" s="197"/>
      <c r="Y1289" s="197"/>
      <c r="Z1289" s="246"/>
      <c r="AA1289" s="571"/>
      <c r="AB1289" s="288" t="s">
        <v>5484</v>
      </c>
      <c r="AC1289" s="571"/>
      <c r="AD1289" s="571"/>
      <c r="AE1289" s="494">
        <v>45261</v>
      </c>
      <c r="AF1289" s="494">
        <v>45626</v>
      </c>
      <c r="AG1289" s="571"/>
      <c r="AH1289" s="571"/>
      <c r="AI1289" s="307" t="s">
        <v>4208</v>
      </c>
      <c r="AJ1289" s="303" t="s">
        <v>136</v>
      </c>
      <c r="AK1289" s="241">
        <v>4</v>
      </c>
      <c r="AL1289" s="123" t="s">
        <v>497</v>
      </c>
      <c r="AM1289" s="175" t="s">
        <v>492</v>
      </c>
      <c r="AN1289" s="110"/>
      <c r="AO1289" s="110"/>
      <c r="AP1289" s="115"/>
      <c r="AQ1289" s="115"/>
      <c r="AR1289" s="115"/>
      <c r="AS1289" s="115"/>
      <c r="AT1289" s="115"/>
    </row>
    <row r="1290" spans="1:46" ht="39" customHeight="1" x14ac:dyDescent="0.25">
      <c r="A1290" s="1468">
        <v>1289</v>
      </c>
      <c r="B1290" s="117">
        <v>2</v>
      </c>
      <c r="C1290" s="260" t="s">
        <v>86</v>
      </c>
      <c r="D1290" s="282"/>
      <c r="E1290" s="282"/>
      <c r="F1290" s="282"/>
      <c r="G1290" s="447" t="s">
        <v>303</v>
      </c>
      <c r="H1290" s="262" t="s">
        <v>87</v>
      </c>
      <c r="I1290" s="357"/>
      <c r="J1290" s="245" t="s">
        <v>561</v>
      </c>
      <c r="K1290" s="288"/>
      <c r="L1290" s="438"/>
      <c r="M1290" s="438"/>
      <c r="N1290" s="404"/>
      <c r="O1290" s="906" t="s">
        <v>2467</v>
      </c>
      <c r="P1290" s="454"/>
      <c r="Q1290" s="485" t="s">
        <v>293</v>
      </c>
      <c r="R1290" s="998" t="s">
        <v>2466</v>
      </c>
      <c r="S1290" s="279">
        <v>31657</v>
      </c>
      <c r="T1290" s="197"/>
      <c r="U1290" s="250"/>
      <c r="V1290" s="405" t="s">
        <v>6155</v>
      </c>
      <c r="W1290" s="250" t="s">
        <v>2381</v>
      </c>
      <c r="X1290" s="1127" t="s">
        <v>6180</v>
      </c>
      <c r="Y1290" s="981" t="s">
        <v>6181</v>
      </c>
      <c r="Z1290" s="246">
        <v>45329</v>
      </c>
      <c r="AA1290" s="246">
        <v>45343</v>
      </c>
      <c r="AB1290" s="361"/>
      <c r="AC1290" s="223"/>
      <c r="AD1290" s="376"/>
      <c r="AE1290" s="494"/>
      <c r="AF1290" s="494"/>
      <c r="AG1290" s="241"/>
      <c r="AH1290" s="283"/>
      <c r="AI1290" s="254"/>
      <c r="AJ1290" s="491" t="s">
        <v>560</v>
      </c>
      <c r="AK1290" s="241">
        <v>4</v>
      </c>
      <c r="AL1290" s="123" t="s">
        <v>497</v>
      </c>
      <c r="AM1290" s="175" t="s">
        <v>492</v>
      </c>
      <c r="AN1290" s="110"/>
      <c r="AO1290" s="110"/>
      <c r="AP1290" s="115"/>
      <c r="AQ1290" s="115"/>
      <c r="AR1290" s="115"/>
      <c r="AS1290" s="115"/>
      <c r="AT1290" s="115"/>
    </row>
    <row r="1291" spans="1:46" ht="39" customHeight="1" x14ac:dyDescent="0.25">
      <c r="A1291" s="1468">
        <v>1290</v>
      </c>
      <c r="B1291" s="117"/>
      <c r="C1291" s="324"/>
      <c r="D1291" s="664"/>
      <c r="E1291" s="664"/>
      <c r="F1291" s="664"/>
      <c r="G1291" s="227"/>
      <c r="H1291" s="228"/>
      <c r="I1291" s="228"/>
      <c r="J1291" s="229"/>
      <c r="K1291" s="227"/>
      <c r="L1291" s="229"/>
      <c r="M1291" s="229"/>
      <c r="N1291" s="229"/>
      <c r="O1291" s="952"/>
      <c r="P1291" s="708" t="s">
        <v>304</v>
      </c>
      <c r="Q1291" s="978"/>
      <c r="R1291" s="995"/>
      <c r="S1291" s="279"/>
      <c r="T1291" s="280"/>
      <c r="U1291" s="250"/>
      <c r="V1291" s="232"/>
      <c r="W1291" s="232"/>
      <c r="X1291" s="232"/>
      <c r="Y1291" s="1137"/>
      <c r="Z1291" s="233"/>
      <c r="AA1291" s="234"/>
      <c r="AB1291" s="235"/>
      <c r="AC1291" s="236"/>
      <c r="AD1291" s="235"/>
      <c r="AE1291" s="494"/>
      <c r="AF1291" s="494"/>
      <c r="AG1291" s="664"/>
      <c r="AH1291" s="238"/>
      <c r="AI1291" s="239"/>
      <c r="AJ1291" s="303"/>
      <c r="AK1291" s="241"/>
      <c r="AL1291" s="122"/>
      <c r="AM1291" s="122"/>
      <c r="AN1291" s="113"/>
      <c r="AO1291" s="114"/>
      <c r="AP1291" s="115"/>
      <c r="AQ1291" s="115"/>
      <c r="AR1291" s="115"/>
      <c r="AS1291" s="115"/>
      <c r="AT1291" s="116"/>
    </row>
    <row r="1292" spans="1:46" ht="39" customHeight="1" x14ac:dyDescent="0.3">
      <c r="A1292" s="1468">
        <v>1291</v>
      </c>
      <c r="B1292" s="119">
        <v>10</v>
      </c>
      <c r="C1292" s="240" t="s">
        <v>305</v>
      </c>
      <c r="D1292" s="282"/>
      <c r="E1292" s="338" t="s">
        <v>47</v>
      </c>
      <c r="F1292" s="282"/>
      <c r="G1292" s="339" t="s">
        <v>91</v>
      </c>
      <c r="H1292" s="244" t="s">
        <v>83</v>
      </c>
      <c r="I1292" s="340"/>
      <c r="J1292" s="245">
        <v>302</v>
      </c>
      <c r="K1292" s="216"/>
      <c r="L1292" s="282"/>
      <c r="M1292" s="282" t="s">
        <v>6054</v>
      </c>
      <c r="N1292" s="245"/>
      <c r="O1292" s="216" t="s">
        <v>3349</v>
      </c>
      <c r="P1292" s="247"/>
      <c r="Q1292" s="978" t="s">
        <v>2053</v>
      </c>
      <c r="R1292" s="259" t="s">
        <v>2784</v>
      </c>
      <c r="S1292" s="279">
        <v>34310</v>
      </c>
      <c r="T1292" s="250"/>
      <c r="U1292" s="250"/>
      <c r="V1292" s="250"/>
      <c r="W1292" s="1521"/>
      <c r="X1292" s="1521"/>
      <c r="Y1292" s="1130"/>
      <c r="Z1292" s="252"/>
      <c r="AA1292" s="252"/>
      <c r="AB1292" s="281"/>
      <c r="AC1292" s="223"/>
      <c r="AD1292" s="281"/>
      <c r="AE1292" s="494"/>
      <c r="AF1292" s="494"/>
      <c r="AG1292" s="241"/>
      <c r="AH1292" s="283"/>
      <c r="AI1292" s="296"/>
      <c r="AJ1292" s="255" t="s">
        <v>62</v>
      </c>
      <c r="AK1292" s="242">
        <v>1</v>
      </c>
      <c r="AL1292" s="123" t="s">
        <v>497</v>
      </c>
      <c r="AM1292" s="175" t="s">
        <v>492</v>
      </c>
      <c r="AN1292" s="124"/>
      <c r="AO1292" s="124"/>
      <c r="AP1292" s="115"/>
      <c r="AQ1292" s="115"/>
      <c r="AR1292" s="115"/>
      <c r="AS1292" s="115"/>
      <c r="AT1292" s="115"/>
    </row>
    <row r="1293" spans="1:46" ht="39" customHeight="1" x14ac:dyDescent="0.25">
      <c r="A1293" s="1468">
        <v>1292</v>
      </c>
      <c r="B1293" s="117"/>
      <c r="C1293" s="324"/>
      <c r="D1293" s="664"/>
      <c r="E1293" s="664"/>
      <c r="F1293" s="664"/>
      <c r="G1293" s="227"/>
      <c r="H1293" s="228"/>
      <c r="I1293" s="228"/>
      <c r="J1293" s="229"/>
      <c r="K1293" s="227"/>
      <c r="L1293" s="229"/>
      <c r="M1293" s="229"/>
      <c r="N1293" s="229"/>
      <c r="O1293" s="309"/>
      <c r="P1293" s="230" t="s">
        <v>306</v>
      </c>
      <c r="Q1293" s="726"/>
      <c r="R1293" s="1004"/>
      <c r="S1293" s="279"/>
      <c r="T1293" s="232"/>
      <c r="U1293" s="250"/>
      <c r="V1293" s="232"/>
      <c r="W1293" s="232"/>
      <c r="X1293" s="232"/>
      <c r="Y1293" s="232"/>
      <c r="Z1293" s="233"/>
      <c r="AA1293" s="234"/>
      <c r="AB1293" s="235"/>
      <c r="AC1293" s="236"/>
      <c r="AD1293" s="235"/>
      <c r="AE1293" s="494"/>
      <c r="AF1293" s="494"/>
      <c r="AG1293" s="664"/>
      <c r="AH1293" s="238"/>
      <c r="AI1293" s="239"/>
      <c r="AJ1293" s="303"/>
      <c r="AK1293" s="241"/>
      <c r="AL1293" s="122"/>
      <c r="AM1293" s="122"/>
      <c r="AN1293" s="113"/>
      <c r="AO1293" s="114"/>
      <c r="AP1293" s="115"/>
      <c r="AQ1293" s="115"/>
      <c r="AR1293" s="115"/>
      <c r="AS1293" s="115"/>
      <c r="AT1293" s="116"/>
    </row>
    <row r="1294" spans="1:46" ht="39" customHeight="1" x14ac:dyDescent="0.25">
      <c r="A1294" s="1468">
        <v>1293</v>
      </c>
      <c r="B1294" s="128">
        <v>7</v>
      </c>
      <c r="C1294" s="290" t="s">
        <v>307</v>
      </c>
      <c r="D1294" s="344"/>
      <c r="E1294" s="344" t="s">
        <v>47</v>
      </c>
      <c r="F1294" s="344"/>
      <c r="G1294" s="345" t="s">
        <v>308</v>
      </c>
      <c r="H1294" s="346" t="s">
        <v>132</v>
      </c>
      <c r="I1294" s="371" t="s">
        <v>309</v>
      </c>
      <c r="J1294" s="256">
        <v>403</v>
      </c>
      <c r="K1294" s="216" t="s">
        <v>158</v>
      </c>
      <c r="L1294" s="281" t="s">
        <v>999</v>
      </c>
      <c r="M1294" s="281" t="s">
        <v>999</v>
      </c>
      <c r="N1294" s="197"/>
      <c r="O1294" s="216" t="s">
        <v>1000</v>
      </c>
      <c r="P1294" s="372"/>
      <c r="Q1294" s="344" t="s">
        <v>132</v>
      </c>
      <c r="R1294" s="982" t="s">
        <v>1001</v>
      </c>
      <c r="S1294" s="279">
        <v>33458</v>
      </c>
      <c r="T1294" s="197"/>
      <c r="U1294" s="251" t="s">
        <v>54</v>
      </c>
      <c r="V1294" s="241" t="s">
        <v>1002</v>
      </c>
      <c r="W1294" s="250" t="s">
        <v>1003</v>
      </c>
      <c r="X1294" s="250" t="s">
        <v>900</v>
      </c>
      <c r="Y1294" s="241" t="s">
        <v>1004</v>
      </c>
      <c r="Z1294" s="258">
        <v>45062</v>
      </c>
      <c r="AA1294" s="246"/>
      <c r="AB1294" s="245"/>
      <c r="AC1294" s="223" t="s">
        <v>946</v>
      </c>
      <c r="AD1294" s="281"/>
      <c r="AE1294" s="494"/>
      <c r="AF1294" s="494">
        <v>44853</v>
      </c>
      <c r="AG1294" s="241" t="s">
        <v>61</v>
      </c>
      <c r="AH1294" s="283"/>
      <c r="AI1294" s="296"/>
      <c r="AJ1294" s="348" t="s">
        <v>560</v>
      </c>
      <c r="AK1294" s="348">
        <v>3</v>
      </c>
      <c r="AL1294" s="123" t="s">
        <v>497</v>
      </c>
      <c r="AM1294" s="175" t="s">
        <v>492</v>
      </c>
      <c r="AN1294" s="130"/>
      <c r="AO1294" s="130"/>
      <c r="AP1294" s="115"/>
      <c r="AQ1294" s="115"/>
      <c r="AR1294" s="115"/>
      <c r="AS1294" s="115"/>
      <c r="AT1294" s="115"/>
    </row>
    <row r="1295" spans="1:46" ht="39" customHeight="1" x14ac:dyDescent="0.25">
      <c r="A1295" s="1468">
        <v>1294</v>
      </c>
      <c r="B1295" s="141">
        <v>3</v>
      </c>
      <c r="C1295" s="356" t="s">
        <v>290</v>
      </c>
      <c r="D1295" s="241" t="s">
        <v>134</v>
      </c>
      <c r="E1295" s="241"/>
      <c r="F1295" s="241"/>
      <c r="G1295" s="261" t="s">
        <v>291</v>
      </c>
      <c r="H1295" s="262" t="s">
        <v>85</v>
      </c>
      <c r="I1295" s="346"/>
      <c r="J1295" s="245" t="s">
        <v>556</v>
      </c>
      <c r="K1295" s="257"/>
      <c r="L1295" s="250" t="s">
        <v>5167</v>
      </c>
      <c r="M1295" s="250" t="s">
        <v>5167</v>
      </c>
      <c r="N1295" s="245"/>
      <c r="O1295" s="1459" t="s">
        <v>5351</v>
      </c>
      <c r="P1295" s="402"/>
      <c r="Q1295" s="1459" t="s">
        <v>87</v>
      </c>
      <c r="R1295" s="1201" t="s">
        <v>5350</v>
      </c>
      <c r="S1295" s="279">
        <v>38568</v>
      </c>
      <c r="T1295" s="289"/>
      <c r="U1295" s="197"/>
      <c r="V1295" s="250"/>
      <c r="W1295" s="197"/>
      <c r="X1295" s="289"/>
      <c r="Y1295" s="949"/>
      <c r="Z1295" s="246"/>
      <c r="AA1295" s="281"/>
      <c r="AB1295" s="288" t="s">
        <v>4696</v>
      </c>
      <c r="AC1295" s="223"/>
      <c r="AD1295" s="245" t="s">
        <v>467</v>
      </c>
      <c r="AE1295" s="494">
        <v>45259</v>
      </c>
      <c r="AF1295" s="494">
        <v>45624</v>
      </c>
      <c r="AG1295" s="241"/>
      <c r="AH1295" s="253"/>
      <c r="AI1295" s="712" t="s">
        <v>4208</v>
      </c>
      <c r="AJ1295" s="303" t="s">
        <v>136</v>
      </c>
      <c r="AK1295" s="241">
        <v>4</v>
      </c>
      <c r="AL1295" s="123" t="s">
        <v>497</v>
      </c>
      <c r="AM1295" s="175" t="s">
        <v>492</v>
      </c>
      <c r="AN1295" s="110" t="s">
        <v>4184</v>
      </c>
      <c r="AO1295" s="130"/>
      <c r="AP1295" s="115"/>
      <c r="AQ1295" s="115"/>
      <c r="AR1295" s="115"/>
      <c r="AS1295" s="115"/>
      <c r="AT1295" s="115"/>
    </row>
    <row r="1296" spans="1:46" ht="39" customHeight="1" x14ac:dyDescent="0.25">
      <c r="A1296" s="1468">
        <v>1295</v>
      </c>
      <c r="B1296" s="141">
        <v>3</v>
      </c>
      <c r="C1296" s="358" t="s">
        <v>297</v>
      </c>
      <c r="D1296" s="241" t="s">
        <v>134</v>
      </c>
      <c r="E1296" s="241"/>
      <c r="F1296" s="241"/>
      <c r="G1296" s="261" t="s">
        <v>298</v>
      </c>
      <c r="H1296" s="262" t="s">
        <v>85</v>
      </c>
      <c r="I1296" s="346"/>
      <c r="J1296" s="245" t="s">
        <v>556</v>
      </c>
      <c r="K1296" s="288"/>
      <c r="L1296" s="250" t="s">
        <v>5163</v>
      </c>
      <c r="M1296" s="250" t="s">
        <v>5163</v>
      </c>
      <c r="N1296" s="264"/>
      <c r="O1296" s="1535" t="s">
        <v>5373</v>
      </c>
      <c r="P1296" s="266"/>
      <c r="Q1296" s="1535" t="s">
        <v>87</v>
      </c>
      <c r="R1296" s="1003" t="s">
        <v>5371</v>
      </c>
      <c r="S1296" s="279">
        <v>37606</v>
      </c>
      <c r="T1296" s="414"/>
      <c r="U1296" s="250"/>
      <c r="V1296" s="250"/>
      <c r="W1296" s="197"/>
      <c r="X1296" s="289"/>
      <c r="Y1296" s="949"/>
      <c r="Z1296" s="246"/>
      <c r="AA1296" s="281"/>
      <c r="AB1296" s="288" t="s">
        <v>5383</v>
      </c>
      <c r="AC1296" s="223"/>
      <c r="AD1296" s="245" t="s">
        <v>467</v>
      </c>
      <c r="AE1296" s="494">
        <v>45258</v>
      </c>
      <c r="AF1296" s="494">
        <v>45623</v>
      </c>
      <c r="AG1296" s="241"/>
      <c r="AH1296" s="253"/>
      <c r="AI1296" s="712" t="s">
        <v>4208</v>
      </c>
      <c r="AJ1296" s="303" t="s">
        <v>136</v>
      </c>
      <c r="AK1296" s="241">
        <v>4</v>
      </c>
      <c r="AL1296" s="123" t="s">
        <v>497</v>
      </c>
      <c r="AM1296" s="175" t="s">
        <v>492</v>
      </c>
      <c r="AN1296" s="130"/>
      <c r="AO1296" s="130"/>
      <c r="AP1296" s="115"/>
      <c r="AQ1296" s="115"/>
      <c r="AR1296" s="115"/>
      <c r="AS1296" s="115"/>
      <c r="AT1296" s="116"/>
    </row>
    <row r="1297" spans="1:54" ht="39" customHeight="1" x14ac:dyDescent="0.25">
      <c r="A1297" s="1468">
        <v>1296</v>
      </c>
      <c r="B1297" s="141">
        <v>2</v>
      </c>
      <c r="C1297" s="260" t="s">
        <v>311</v>
      </c>
      <c r="D1297" s="241"/>
      <c r="E1297" s="241"/>
      <c r="F1297" s="241"/>
      <c r="G1297" s="261" t="s">
        <v>312</v>
      </c>
      <c r="H1297" s="262" t="s">
        <v>85</v>
      </c>
      <c r="I1297" s="346"/>
      <c r="J1297" s="245" t="s">
        <v>556</v>
      </c>
      <c r="K1297" s="216"/>
      <c r="L1297" s="250"/>
      <c r="M1297" s="250"/>
      <c r="N1297" s="366"/>
      <c r="O1297" s="385" t="s">
        <v>3333</v>
      </c>
      <c r="P1297" s="801"/>
      <c r="Q1297" s="344" t="s">
        <v>87</v>
      </c>
      <c r="R1297" s="982" t="s">
        <v>3332</v>
      </c>
      <c r="S1297" s="279">
        <v>27477</v>
      </c>
      <c r="T1297" s="257"/>
      <c r="U1297" s="251" t="s">
        <v>54</v>
      </c>
      <c r="V1297" s="197" t="s">
        <v>5955</v>
      </c>
      <c r="W1297" s="197" t="s">
        <v>70</v>
      </c>
      <c r="X1297" s="197" t="s">
        <v>71</v>
      </c>
      <c r="Y1297" s="949" t="s">
        <v>5993</v>
      </c>
      <c r="Z1297" s="612">
        <v>45312</v>
      </c>
      <c r="AA1297" s="252"/>
      <c r="AB1297" s="257"/>
      <c r="AC1297" s="223"/>
      <c r="AD1297" s="257"/>
      <c r="AE1297" s="494"/>
      <c r="AF1297" s="494"/>
      <c r="AG1297" s="385"/>
      <c r="AH1297" s="281"/>
      <c r="AI1297" s="254"/>
      <c r="AJ1297" s="348" t="s">
        <v>560</v>
      </c>
      <c r="AK1297" s="241">
        <v>4</v>
      </c>
      <c r="AL1297" s="123" t="s">
        <v>497</v>
      </c>
      <c r="AM1297" s="175" t="s">
        <v>492</v>
      </c>
      <c r="AN1297" s="130"/>
      <c r="AO1297" s="130"/>
      <c r="AP1297" s="115"/>
      <c r="AQ1297" s="115"/>
      <c r="AR1297" s="115"/>
      <c r="AS1297" s="115"/>
      <c r="AT1297" s="115"/>
    </row>
    <row r="1298" spans="1:54" ht="39" customHeight="1" x14ac:dyDescent="0.25">
      <c r="A1298" s="1468">
        <v>1297</v>
      </c>
      <c r="B1298" s="141">
        <v>2</v>
      </c>
      <c r="C1298" s="260" t="s">
        <v>317</v>
      </c>
      <c r="D1298" s="241"/>
      <c r="E1298" s="241"/>
      <c r="F1298" s="241"/>
      <c r="G1298" s="261" t="s">
        <v>318</v>
      </c>
      <c r="H1298" s="262" t="s">
        <v>87</v>
      </c>
      <c r="I1298" s="357"/>
      <c r="J1298" s="245" t="s">
        <v>561</v>
      </c>
      <c r="K1298" s="268"/>
      <c r="L1298" s="394" t="s">
        <v>991</v>
      </c>
      <c r="M1298" s="394" t="s">
        <v>1113</v>
      </c>
      <c r="N1298" s="404"/>
      <c r="O1298" s="392" t="s">
        <v>2906</v>
      </c>
      <c r="P1298" s="429"/>
      <c r="Q1298" s="394" t="s">
        <v>87</v>
      </c>
      <c r="R1298" s="572" t="s">
        <v>1366</v>
      </c>
      <c r="S1298" s="279">
        <v>37759</v>
      </c>
      <c r="T1298" s="268"/>
      <c r="U1298" s="251" t="s">
        <v>54</v>
      </c>
      <c r="V1298" s="306" t="s">
        <v>4047</v>
      </c>
      <c r="W1298" s="981" t="s">
        <v>4050</v>
      </c>
      <c r="X1298" s="250" t="s">
        <v>5135</v>
      </c>
      <c r="Y1298" s="979" t="s">
        <v>4051</v>
      </c>
      <c r="Z1298" s="289">
        <v>45231</v>
      </c>
      <c r="AA1298" s="698"/>
      <c r="AB1298" s="288" t="s">
        <v>4526</v>
      </c>
      <c r="AC1298" s="223" t="s">
        <v>946</v>
      </c>
      <c r="AD1298" s="197"/>
      <c r="AE1298" s="494">
        <v>45070</v>
      </c>
      <c r="AF1298" s="494">
        <v>45435</v>
      </c>
      <c r="AG1298" s="282"/>
      <c r="AH1298" s="283"/>
      <c r="AI1298" s="254" t="s">
        <v>1351</v>
      </c>
      <c r="AJ1298" s="303" t="s">
        <v>136</v>
      </c>
      <c r="AK1298" s="241">
        <v>4</v>
      </c>
      <c r="AL1298" s="123" t="s">
        <v>497</v>
      </c>
      <c r="AM1298" s="175" t="s">
        <v>492</v>
      </c>
      <c r="AN1298" s="110"/>
      <c r="AO1298" s="110"/>
      <c r="AP1298" s="115"/>
      <c r="AQ1298" s="115"/>
      <c r="AR1298" s="115"/>
      <c r="AS1298" s="115"/>
      <c r="AT1298" s="115"/>
    </row>
    <row r="1299" spans="1:54" ht="39" customHeight="1" x14ac:dyDescent="0.25">
      <c r="A1299" s="1468">
        <v>1298</v>
      </c>
      <c r="B1299" s="146">
        <v>2</v>
      </c>
      <c r="C1299" s="260" t="s">
        <v>319</v>
      </c>
      <c r="D1299" s="241"/>
      <c r="E1299" s="241"/>
      <c r="F1299" s="241"/>
      <c r="G1299" s="261" t="s">
        <v>320</v>
      </c>
      <c r="H1299" s="262" t="s">
        <v>87</v>
      </c>
      <c r="I1299" s="364"/>
      <c r="J1299" s="245" t="s">
        <v>561</v>
      </c>
      <c r="K1299" s="216"/>
      <c r="L1299" s="281"/>
      <c r="M1299" s="281"/>
      <c r="N1299" s="245"/>
      <c r="O1299" s="1459" t="s">
        <v>2319</v>
      </c>
      <c r="P1299" s="595"/>
      <c r="Q1299" s="348" t="s">
        <v>519</v>
      </c>
      <c r="R1299" s="1166" t="s">
        <v>2318</v>
      </c>
      <c r="S1299" s="279">
        <v>25913</v>
      </c>
      <c r="T1299" s="252"/>
      <c r="U1299" s="251" t="s">
        <v>54</v>
      </c>
      <c r="V1299" s="250" t="s">
        <v>2793</v>
      </c>
      <c r="W1299" s="197" t="s">
        <v>56</v>
      </c>
      <c r="X1299" s="197" t="s">
        <v>57</v>
      </c>
      <c r="Y1299" s="197" t="s">
        <v>2609</v>
      </c>
      <c r="Z1299" s="246">
        <v>45186</v>
      </c>
      <c r="AA1299" s="289"/>
      <c r="AB1299" s="299"/>
      <c r="AC1299" s="223"/>
      <c r="AD1299" s="299"/>
      <c r="AE1299" s="289"/>
      <c r="AF1299" s="289"/>
      <c r="AG1299" s="299"/>
      <c r="AH1299" s="299"/>
      <c r="AI1299" s="296"/>
      <c r="AJ1299" s="348" t="s">
        <v>560</v>
      </c>
      <c r="AK1299" s="241">
        <v>4</v>
      </c>
      <c r="AL1299" s="123" t="s">
        <v>497</v>
      </c>
      <c r="AM1299" s="175" t="s">
        <v>492</v>
      </c>
      <c r="AN1299" s="110"/>
      <c r="AO1299" s="110"/>
      <c r="AP1299" s="115"/>
      <c r="AQ1299" s="115"/>
      <c r="AR1299" s="115"/>
      <c r="AS1299" s="115"/>
      <c r="AT1299" s="116"/>
    </row>
    <row r="1300" spans="1:54" ht="39" customHeight="1" x14ac:dyDescent="0.25">
      <c r="A1300" s="1468">
        <v>1299</v>
      </c>
      <c r="B1300" s="141">
        <v>2</v>
      </c>
      <c r="C1300" s="378" t="s">
        <v>321</v>
      </c>
      <c r="D1300" s="303"/>
      <c r="E1300" s="241"/>
      <c r="F1300" s="241"/>
      <c r="G1300" s="261" t="s">
        <v>322</v>
      </c>
      <c r="H1300" s="262" t="s">
        <v>87</v>
      </c>
      <c r="I1300" s="357"/>
      <c r="J1300" s="245" t="s">
        <v>561</v>
      </c>
      <c r="K1300" s="684"/>
      <c r="L1300" s="299" t="s">
        <v>3996</v>
      </c>
      <c r="M1300" s="299" t="s">
        <v>3996</v>
      </c>
      <c r="N1300" s="684"/>
      <c r="O1300" s="392" t="s">
        <v>4024</v>
      </c>
      <c r="P1300" s="402" t="s">
        <v>1828</v>
      </c>
      <c r="Q1300" s="344" t="s">
        <v>87</v>
      </c>
      <c r="R1300" s="982" t="s">
        <v>4023</v>
      </c>
      <c r="S1300" s="279">
        <v>35526</v>
      </c>
      <c r="T1300" s="684"/>
      <c r="U1300" s="251" t="s">
        <v>54</v>
      </c>
      <c r="V1300" s="197" t="s">
        <v>5955</v>
      </c>
      <c r="W1300" s="197" t="s">
        <v>70</v>
      </c>
      <c r="X1300" s="197" t="s">
        <v>71</v>
      </c>
      <c r="Y1300" s="949" t="s">
        <v>5964</v>
      </c>
      <c r="Z1300" s="612">
        <v>45312</v>
      </c>
      <c r="AA1300" s="252"/>
      <c r="AB1300" s="1290"/>
      <c r="AC1300" s="684"/>
      <c r="AD1300" s="686"/>
      <c r="AE1300" s="494"/>
      <c r="AF1300" s="494"/>
      <c r="AG1300" s="684"/>
      <c r="AH1300" s="684"/>
      <c r="AI1300" s="254"/>
      <c r="AJ1300" s="348" t="s">
        <v>560</v>
      </c>
      <c r="AK1300" s="241">
        <v>4</v>
      </c>
      <c r="AL1300" s="123" t="s">
        <v>497</v>
      </c>
      <c r="AM1300" s="175" t="s">
        <v>492</v>
      </c>
      <c r="AN1300" s="110"/>
      <c r="AO1300" s="110"/>
      <c r="AP1300" s="115"/>
      <c r="AQ1300" s="115"/>
      <c r="AR1300" s="115"/>
      <c r="AS1300" s="115"/>
      <c r="AT1300" s="115"/>
    </row>
    <row r="1301" spans="1:54" ht="39" customHeight="1" x14ac:dyDescent="0.25">
      <c r="A1301" s="1468">
        <v>1300</v>
      </c>
      <c r="B1301" s="141">
        <v>1</v>
      </c>
      <c r="C1301" s="378" t="s">
        <v>323</v>
      </c>
      <c r="D1301" s="303"/>
      <c r="E1301" s="241"/>
      <c r="F1301" s="241"/>
      <c r="G1301" s="261" t="s">
        <v>324</v>
      </c>
      <c r="H1301" s="262" t="s">
        <v>87</v>
      </c>
      <c r="I1301" s="357"/>
      <c r="J1301" s="245" t="s">
        <v>561</v>
      </c>
      <c r="K1301" s="257"/>
      <c r="L1301" s="299" t="s">
        <v>2524</v>
      </c>
      <c r="M1301" s="299" t="s">
        <v>2524</v>
      </c>
      <c r="N1301" s="299"/>
      <c r="O1301" s="385" t="s">
        <v>3331</v>
      </c>
      <c r="P1301" s="801" t="s">
        <v>1411</v>
      </c>
      <c r="Q1301" s="344" t="s">
        <v>132</v>
      </c>
      <c r="R1301" s="982" t="s">
        <v>3330</v>
      </c>
      <c r="S1301" s="279">
        <v>29640</v>
      </c>
      <c r="T1301" s="289"/>
      <c r="U1301" s="251" t="s">
        <v>886</v>
      </c>
      <c r="V1301" s="197" t="s">
        <v>5966</v>
      </c>
      <c r="W1301" s="949" t="s">
        <v>886</v>
      </c>
      <c r="X1301" s="197" t="s">
        <v>886</v>
      </c>
      <c r="Y1301" s="299"/>
      <c r="Z1301" s="289">
        <v>45310</v>
      </c>
      <c r="AA1301" s="289"/>
      <c r="AB1301" s="299"/>
      <c r="AC1301" s="223"/>
      <c r="AD1301" s="299"/>
      <c r="AE1301" s="494"/>
      <c r="AF1301" s="494"/>
      <c r="AG1301" s="299"/>
      <c r="AH1301" s="299"/>
      <c r="AI1301" s="223"/>
      <c r="AJ1301" s="348" t="s">
        <v>560</v>
      </c>
      <c r="AK1301" s="241">
        <v>4</v>
      </c>
      <c r="AL1301" s="123" t="s">
        <v>497</v>
      </c>
      <c r="AM1301" s="175" t="s">
        <v>492</v>
      </c>
      <c r="AN1301" s="110"/>
      <c r="AO1301" s="110"/>
      <c r="AP1301" s="115"/>
      <c r="AQ1301" s="115"/>
      <c r="AR1301" s="115"/>
      <c r="AS1301" s="115"/>
      <c r="AT1301" s="115"/>
    </row>
    <row r="1302" spans="1:54" ht="39" customHeight="1" x14ac:dyDescent="0.25">
      <c r="A1302" s="1468">
        <v>1301</v>
      </c>
      <c r="B1302" s="117">
        <v>1</v>
      </c>
      <c r="C1302" s="260" t="s">
        <v>325</v>
      </c>
      <c r="D1302" s="241"/>
      <c r="E1302" s="241"/>
      <c r="F1302" s="241"/>
      <c r="G1302" s="261" t="s">
        <v>324</v>
      </c>
      <c r="H1302" s="262" t="s">
        <v>87</v>
      </c>
      <c r="I1302" s="357"/>
      <c r="J1302" s="245" t="s">
        <v>561</v>
      </c>
      <c r="K1302" s="288"/>
      <c r="L1302" s="250" t="s">
        <v>5167</v>
      </c>
      <c r="M1302" s="250" t="s">
        <v>5167</v>
      </c>
      <c r="N1302" s="404"/>
      <c r="O1302" s="1400" t="s">
        <v>5353</v>
      </c>
      <c r="P1302" s="374"/>
      <c r="Q1302" s="1400" t="s">
        <v>87</v>
      </c>
      <c r="R1302" s="1201" t="s">
        <v>5352</v>
      </c>
      <c r="S1302" s="279">
        <v>38631</v>
      </c>
      <c r="T1302" s="197"/>
      <c r="U1302" s="197"/>
      <c r="V1302" s="197"/>
      <c r="W1302" s="197"/>
      <c r="X1302" s="289"/>
      <c r="Y1302" s="1474"/>
      <c r="Z1302" s="486"/>
      <c r="AA1302" s="281"/>
      <c r="AB1302" s="288" t="s">
        <v>5380</v>
      </c>
      <c r="AC1302" s="223"/>
      <c r="AD1302" s="245" t="s">
        <v>467</v>
      </c>
      <c r="AE1302" s="494">
        <v>45259</v>
      </c>
      <c r="AF1302" s="494">
        <v>45624</v>
      </c>
      <c r="AG1302" s="241"/>
      <c r="AH1302" s="253"/>
      <c r="AI1302" s="712" t="s">
        <v>4208</v>
      </c>
      <c r="AJ1302" s="303" t="s">
        <v>136</v>
      </c>
      <c r="AK1302" s="241">
        <v>4</v>
      </c>
      <c r="AL1302" s="123" t="s">
        <v>497</v>
      </c>
      <c r="AM1302" s="175" t="s">
        <v>492</v>
      </c>
      <c r="AN1302" s="110"/>
      <c r="AO1302" s="110"/>
      <c r="AP1302" s="115"/>
      <c r="AQ1302" s="115"/>
      <c r="AR1302" s="115"/>
      <c r="AS1302" s="115"/>
      <c r="AT1302" s="115"/>
      <c r="AU1302" t="s">
        <v>4209</v>
      </c>
    </row>
    <row r="1303" spans="1:54" ht="39" customHeight="1" x14ac:dyDescent="0.25">
      <c r="A1303" s="1468">
        <v>1302</v>
      </c>
      <c r="B1303" s="117"/>
      <c r="C1303" s="324"/>
      <c r="D1303" s="664"/>
      <c r="E1303" s="664"/>
      <c r="F1303" s="664"/>
      <c r="G1303" s="227"/>
      <c r="H1303" s="228"/>
      <c r="I1303" s="228"/>
      <c r="J1303" s="229"/>
      <c r="K1303" s="227"/>
      <c r="L1303" s="229"/>
      <c r="M1303" s="229"/>
      <c r="N1303" s="229"/>
      <c r="O1303" s="309"/>
      <c r="P1303" s="230" t="s">
        <v>326</v>
      </c>
      <c r="Q1303" s="726"/>
      <c r="R1303" s="1004"/>
      <c r="S1303" s="279"/>
      <c r="T1303" s="232"/>
      <c r="U1303" s="250"/>
      <c r="V1303" s="232"/>
      <c r="W1303" s="232"/>
      <c r="X1303" s="232"/>
      <c r="Y1303" s="232"/>
      <c r="Z1303" s="233"/>
      <c r="AA1303" s="234"/>
      <c r="AB1303" s="235"/>
      <c r="AC1303" s="236"/>
      <c r="AD1303" s="235"/>
      <c r="AE1303" s="494"/>
      <c r="AF1303" s="494"/>
      <c r="AG1303" s="664"/>
      <c r="AH1303" s="238"/>
      <c r="AI1303" s="239"/>
      <c r="AJ1303" s="303"/>
      <c r="AK1303" s="241"/>
      <c r="AL1303" s="122"/>
      <c r="AM1303" s="122"/>
      <c r="AN1303" s="113"/>
      <c r="AO1303" s="114"/>
      <c r="AP1303" s="115"/>
      <c r="AQ1303" s="115"/>
      <c r="AR1303" s="115"/>
      <c r="AS1303" s="115"/>
      <c r="AT1303" s="116"/>
    </row>
    <row r="1304" spans="1:54" ht="39" customHeight="1" x14ac:dyDescent="0.25">
      <c r="A1304" s="1468">
        <v>1303</v>
      </c>
      <c r="B1304" s="128">
        <v>5</v>
      </c>
      <c r="C1304" s="290" t="s">
        <v>288</v>
      </c>
      <c r="D1304" s="344"/>
      <c r="E1304" s="344" t="s">
        <v>47</v>
      </c>
      <c r="F1304" s="344"/>
      <c r="G1304" s="292" t="s">
        <v>289</v>
      </c>
      <c r="H1304" s="346" t="s">
        <v>132</v>
      </c>
      <c r="I1304" s="344">
        <v>144</v>
      </c>
      <c r="J1304" s="256">
        <v>403</v>
      </c>
      <c r="K1304" s="216"/>
      <c r="L1304" s="216"/>
      <c r="M1304" s="216"/>
      <c r="N1304" s="245"/>
      <c r="O1304" s="216" t="s">
        <v>3930</v>
      </c>
      <c r="P1304" s="624" t="s">
        <v>1411</v>
      </c>
      <c r="Q1304" s="485" t="s">
        <v>87</v>
      </c>
      <c r="R1304" s="1173" t="s">
        <v>3929</v>
      </c>
      <c r="S1304" s="279">
        <v>32461</v>
      </c>
      <c r="T1304" s="197"/>
      <c r="U1304" s="251" t="s">
        <v>886</v>
      </c>
      <c r="V1304" s="250" t="s">
        <v>5972</v>
      </c>
      <c r="W1304" s="197" t="s">
        <v>886</v>
      </c>
      <c r="X1304" s="197" t="s">
        <v>886</v>
      </c>
      <c r="Y1304" s="252"/>
      <c r="Z1304" s="252">
        <v>45310</v>
      </c>
      <c r="AA1304" s="252"/>
      <c r="AB1304" s="282"/>
      <c r="AC1304" s="223"/>
      <c r="AD1304" s="281"/>
      <c r="AE1304" s="494"/>
      <c r="AF1304" s="494"/>
      <c r="AG1304" s="241"/>
      <c r="AH1304" s="283"/>
      <c r="AI1304" s="254"/>
      <c r="AJ1304" s="491" t="s">
        <v>560</v>
      </c>
      <c r="AK1304" s="348">
        <v>3</v>
      </c>
      <c r="AL1304" s="123" t="s">
        <v>497</v>
      </c>
      <c r="AM1304" s="175" t="s">
        <v>492</v>
      </c>
      <c r="AN1304" s="130"/>
      <c r="AO1304" s="130"/>
      <c r="AP1304" s="115"/>
      <c r="AQ1304" s="115"/>
      <c r="AR1304" s="115"/>
      <c r="AS1304" s="115"/>
      <c r="AT1304" s="115"/>
    </row>
    <row r="1305" spans="1:54" ht="39" customHeight="1" x14ac:dyDescent="0.25">
      <c r="A1305" s="1468">
        <v>1304</v>
      </c>
      <c r="B1305" s="141">
        <v>3</v>
      </c>
      <c r="C1305" s="356" t="s">
        <v>290</v>
      </c>
      <c r="D1305" s="241" t="s">
        <v>134</v>
      </c>
      <c r="E1305" s="241"/>
      <c r="F1305" s="241"/>
      <c r="G1305" s="261" t="s">
        <v>291</v>
      </c>
      <c r="H1305" s="262" t="s">
        <v>85</v>
      </c>
      <c r="I1305" s="346"/>
      <c r="J1305" s="245" t="s">
        <v>556</v>
      </c>
      <c r="K1305" s="1445" t="s">
        <v>158</v>
      </c>
      <c r="L1305" s="625" t="s">
        <v>5820</v>
      </c>
      <c r="M1305" s="1445" t="s">
        <v>5820</v>
      </c>
      <c r="N1305" s="451"/>
      <c r="O1305" s="392" t="s">
        <v>5819</v>
      </c>
      <c r="P1305" s="624"/>
      <c r="Q1305" s="1446" t="s">
        <v>87</v>
      </c>
      <c r="R1305" s="1447" t="s">
        <v>5818</v>
      </c>
      <c r="S1305" s="279">
        <v>37381</v>
      </c>
      <c r="T1305" s="451"/>
      <c r="U1305" s="250"/>
      <c r="V1305" s="197"/>
      <c r="W1305" s="280"/>
      <c r="X1305" s="197"/>
      <c r="Y1305" s="451"/>
      <c r="Z1305" s="451"/>
      <c r="AA1305" s="451"/>
      <c r="AB1305" s="1293"/>
      <c r="AC1305" s="451"/>
      <c r="AD1305" s="661"/>
      <c r="AE1305" s="494"/>
      <c r="AF1305" s="494"/>
      <c r="AG1305" s="451"/>
      <c r="AH1305" s="451"/>
      <c r="AI1305" s="712" t="s">
        <v>4208</v>
      </c>
      <c r="AJ1305" s="303" t="s">
        <v>136</v>
      </c>
      <c r="AK1305" s="241">
        <v>4</v>
      </c>
      <c r="AL1305" s="123" t="s">
        <v>497</v>
      </c>
      <c r="AM1305" s="175" t="s">
        <v>492</v>
      </c>
      <c r="AN1305" s="110" t="s">
        <v>4184</v>
      </c>
      <c r="AO1305" s="130"/>
      <c r="AP1305" s="115"/>
      <c r="AQ1305" s="115"/>
      <c r="AR1305" s="115"/>
      <c r="AS1305" s="115"/>
      <c r="AT1305" s="115"/>
    </row>
    <row r="1306" spans="1:54" ht="39" customHeight="1" x14ac:dyDescent="0.25">
      <c r="A1306" s="1468">
        <v>1305</v>
      </c>
      <c r="B1306" s="141">
        <v>3</v>
      </c>
      <c r="C1306" s="358" t="s">
        <v>297</v>
      </c>
      <c r="D1306" s="241" t="s">
        <v>134</v>
      </c>
      <c r="E1306" s="241"/>
      <c r="F1306" s="241"/>
      <c r="G1306" s="261" t="s">
        <v>298</v>
      </c>
      <c r="H1306" s="262" t="s">
        <v>85</v>
      </c>
      <c r="I1306" s="346"/>
      <c r="J1306" s="245" t="s">
        <v>556</v>
      </c>
      <c r="K1306" s="842"/>
      <c r="L1306" s="842"/>
      <c r="M1306" s="842"/>
      <c r="N1306" s="1098"/>
      <c r="O1306" s="216" t="s">
        <v>3362</v>
      </c>
      <c r="P1306" s="301"/>
      <c r="Q1306" s="485" t="s">
        <v>87</v>
      </c>
      <c r="R1306" s="982" t="s">
        <v>3361</v>
      </c>
      <c r="S1306" s="279">
        <v>28594</v>
      </c>
      <c r="T1306" s="819"/>
      <c r="U1306" s="251" t="s">
        <v>886</v>
      </c>
      <c r="V1306" s="197" t="s">
        <v>5970</v>
      </c>
      <c r="W1306" s="819" t="s">
        <v>886</v>
      </c>
      <c r="X1306" s="819" t="s">
        <v>886</v>
      </c>
      <c r="Y1306" s="983"/>
      <c r="Z1306" s="841">
        <v>45310</v>
      </c>
      <c r="AA1306" s="842"/>
      <c r="AB1306" s="842"/>
      <c r="AC1306" s="822"/>
      <c r="AD1306" s="843"/>
      <c r="AE1306" s="494"/>
      <c r="AF1306" s="494"/>
      <c r="AG1306" s="1098"/>
      <c r="AH1306" s="823"/>
      <c r="AI1306" s="857"/>
      <c r="AJ1306" s="348" t="s">
        <v>560</v>
      </c>
      <c r="AK1306" s="241">
        <v>4</v>
      </c>
      <c r="AL1306" s="123" t="s">
        <v>497</v>
      </c>
      <c r="AM1306" s="175" t="s">
        <v>492</v>
      </c>
      <c r="AN1306" s="130"/>
      <c r="AO1306" s="130"/>
      <c r="AP1306" s="115"/>
      <c r="AQ1306" s="115"/>
      <c r="AR1306" s="115"/>
      <c r="AS1306" s="115"/>
      <c r="AT1306" s="116"/>
    </row>
    <row r="1307" spans="1:54" ht="39" customHeight="1" x14ac:dyDescent="0.25">
      <c r="A1307" s="1468">
        <v>1306</v>
      </c>
      <c r="B1307" s="141">
        <v>2</v>
      </c>
      <c r="C1307" s="260" t="s">
        <v>311</v>
      </c>
      <c r="D1307" s="241"/>
      <c r="E1307" s="241"/>
      <c r="F1307" s="241"/>
      <c r="G1307" s="261" t="s">
        <v>312</v>
      </c>
      <c r="H1307" s="262" t="s">
        <v>85</v>
      </c>
      <c r="I1307" s="346"/>
      <c r="J1307" s="245" t="s">
        <v>556</v>
      </c>
      <c r="K1307" s="216"/>
      <c r="L1307" s="250"/>
      <c r="M1307" s="250"/>
      <c r="N1307" s="366"/>
      <c r="O1307" s="216" t="s">
        <v>3398</v>
      </c>
      <c r="P1307" s="301"/>
      <c r="Q1307" s="485" t="s">
        <v>570</v>
      </c>
      <c r="R1307" s="982" t="s">
        <v>3397</v>
      </c>
      <c r="S1307" s="279">
        <v>36974</v>
      </c>
      <c r="T1307" s="257"/>
      <c r="U1307" s="251" t="s">
        <v>886</v>
      </c>
      <c r="V1307" s="197" t="s">
        <v>5161</v>
      </c>
      <c r="W1307" s="197" t="s">
        <v>886</v>
      </c>
      <c r="X1307" s="197" t="s">
        <v>886</v>
      </c>
      <c r="Y1307" s="197"/>
      <c r="Z1307" s="246">
        <v>45258</v>
      </c>
      <c r="AA1307" s="252"/>
      <c r="AB1307" s="257"/>
      <c r="AC1307" s="223"/>
      <c r="AD1307" s="257"/>
      <c r="AE1307" s="494"/>
      <c r="AF1307" s="494"/>
      <c r="AG1307" s="385"/>
      <c r="AH1307" s="281"/>
      <c r="AI1307" s="254"/>
      <c r="AJ1307" s="348" t="s">
        <v>560</v>
      </c>
      <c r="AK1307" s="241">
        <v>4</v>
      </c>
      <c r="AL1307" s="123" t="s">
        <v>497</v>
      </c>
      <c r="AM1307" s="175" t="s">
        <v>492</v>
      </c>
      <c r="AN1307" s="130"/>
      <c r="AO1307" s="130"/>
      <c r="AP1307" s="115"/>
      <c r="AQ1307" s="115"/>
      <c r="AR1307" s="115"/>
      <c r="AS1307" s="115"/>
      <c r="AT1307" s="115"/>
    </row>
    <row r="1308" spans="1:54" ht="39" customHeight="1" x14ac:dyDescent="0.25">
      <c r="A1308" s="1468">
        <v>1307</v>
      </c>
      <c r="B1308" s="141">
        <v>2</v>
      </c>
      <c r="C1308" s="260" t="s">
        <v>317</v>
      </c>
      <c r="D1308" s="241"/>
      <c r="E1308" s="241"/>
      <c r="F1308" s="241"/>
      <c r="G1308" s="261" t="s">
        <v>318</v>
      </c>
      <c r="H1308" s="262" t="s">
        <v>87</v>
      </c>
      <c r="I1308" s="357"/>
      <c r="J1308" s="245" t="s">
        <v>561</v>
      </c>
      <c r="K1308" s="216"/>
      <c r="L1308" s="250" t="s">
        <v>5167</v>
      </c>
      <c r="M1308" s="250" t="s">
        <v>5167</v>
      </c>
      <c r="N1308" s="366"/>
      <c r="O1308" s="1400" t="s">
        <v>5355</v>
      </c>
      <c r="P1308" s="374"/>
      <c r="Q1308" s="1400" t="s">
        <v>87</v>
      </c>
      <c r="R1308" s="1201" t="s">
        <v>5354</v>
      </c>
      <c r="S1308" s="279">
        <v>38582</v>
      </c>
      <c r="T1308" s="257"/>
      <c r="U1308" s="250"/>
      <c r="V1308" s="250"/>
      <c r="W1308" s="197"/>
      <c r="X1308" s="289"/>
      <c r="Y1308" s="949"/>
      <c r="Z1308" s="246"/>
      <c r="AA1308" s="281"/>
      <c r="AB1308" s="288" t="s">
        <v>5381</v>
      </c>
      <c r="AC1308" s="223"/>
      <c r="AD1308" s="245" t="s">
        <v>467</v>
      </c>
      <c r="AE1308" s="494">
        <v>45258</v>
      </c>
      <c r="AF1308" s="494">
        <v>45623</v>
      </c>
      <c r="AG1308" s="241"/>
      <c r="AH1308" s="253"/>
      <c r="AI1308" s="712" t="s">
        <v>4208</v>
      </c>
      <c r="AJ1308" s="303" t="s">
        <v>136</v>
      </c>
      <c r="AK1308" s="241">
        <v>4</v>
      </c>
      <c r="AL1308" s="123" t="s">
        <v>497</v>
      </c>
      <c r="AM1308" s="175" t="s">
        <v>492</v>
      </c>
      <c r="AN1308" s="110"/>
      <c r="AO1308" s="110"/>
      <c r="AP1308" s="115"/>
      <c r="AQ1308" s="115"/>
      <c r="AR1308" s="115"/>
      <c r="AS1308" s="115"/>
      <c r="AT1308" s="115"/>
      <c r="BB1308" t="s">
        <v>5839</v>
      </c>
    </row>
    <row r="1309" spans="1:54" ht="39" customHeight="1" x14ac:dyDescent="0.25">
      <c r="A1309" s="1468">
        <v>1308</v>
      </c>
      <c r="B1309" s="146">
        <v>2</v>
      </c>
      <c r="C1309" s="260" t="s">
        <v>319</v>
      </c>
      <c r="D1309" s="241"/>
      <c r="E1309" s="241"/>
      <c r="F1309" s="241"/>
      <c r="G1309" s="261" t="s">
        <v>320</v>
      </c>
      <c r="H1309" s="262" t="s">
        <v>87</v>
      </c>
      <c r="I1309" s="357"/>
      <c r="J1309" s="245" t="s">
        <v>561</v>
      </c>
      <c r="K1309" s="216"/>
      <c r="L1309" s="281"/>
      <c r="M1309" s="281"/>
      <c r="N1309" s="366"/>
      <c r="O1309" s="216" t="s">
        <v>2487</v>
      </c>
      <c r="P1309" s="301"/>
      <c r="Q1309" s="485" t="s">
        <v>87</v>
      </c>
      <c r="R1309" s="982" t="s">
        <v>2486</v>
      </c>
      <c r="S1309" s="279">
        <v>30875</v>
      </c>
      <c r="T1309" s="306"/>
      <c r="U1309" s="251" t="s">
        <v>886</v>
      </c>
      <c r="V1309" s="250" t="s">
        <v>3668</v>
      </c>
      <c r="W1309" s="197" t="s">
        <v>886</v>
      </c>
      <c r="X1309" s="197" t="s">
        <v>886</v>
      </c>
      <c r="Y1309" s="197"/>
      <c r="Z1309" s="246">
        <v>45211</v>
      </c>
      <c r="AA1309" s="246"/>
      <c r="AB1309" s="281"/>
      <c r="AC1309" s="223"/>
      <c r="AD1309" s="306"/>
      <c r="AE1309" s="494"/>
      <c r="AF1309" s="494"/>
      <c r="AG1309" s="305"/>
      <c r="AH1309" s="301"/>
      <c r="AI1309" s="223"/>
      <c r="AJ1309" s="348" t="s">
        <v>560</v>
      </c>
      <c r="AK1309" s="241">
        <v>4</v>
      </c>
      <c r="AL1309" s="123" t="s">
        <v>497</v>
      </c>
      <c r="AM1309" s="175" t="s">
        <v>492</v>
      </c>
      <c r="AN1309" s="110"/>
      <c r="AO1309" s="110"/>
      <c r="AP1309" s="115"/>
      <c r="AQ1309" s="115"/>
      <c r="AR1309" s="115"/>
      <c r="AS1309" s="115"/>
      <c r="AT1309" s="116"/>
    </row>
    <row r="1310" spans="1:54" ht="39" customHeight="1" x14ac:dyDescent="0.25">
      <c r="A1310" s="1468">
        <v>1309</v>
      </c>
      <c r="B1310" s="141">
        <v>2</v>
      </c>
      <c r="C1310" s="378" t="s">
        <v>321</v>
      </c>
      <c r="D1310" s="303"/>
      <c r="E1310" s="241"/>
      <c r="F1310" s="241"/>
      <c r="G1310" s="261" t="s">
        <v>322</v>
      </c>
      <c r="H1310" s="262" t="s">
        <v>87</v>
      </c>
      <c r="I1310" s="364"/>
      <c r="J1310" s="245" t="s">
        <v>561</v>
      </c>
      <c r="K1310" s="257"/>
      <c r="L1310" s="250" t="s">
        <v>5916</v>
      </c>
      <c r="M1310" s="250" t="s">
        <v>5916</v>
      </c>
      <c r="N1310" s="299"/>
      <c r="O1310" s="250" t="s">
        <v>6016</v>
      </c>
      <c r="P1310" s="287"/>
      <c r="Q1310" s="485" t="s">
        <v>87</v>
      </c>
      <c r="R1310" s="982" t="s">
        <v>6015</v>
      </c>
      <c r="S1310" s="279">
        <v>37429</v>
      </c>
      <c r="T1310" s="289"/>
      <c r="U1310" s="250" t="s">
        <v>54</v>
      </c>
      <c r="V1310" s="250" t="s">
        <v>5955</v>
      </c>
      <c r="W1310" s="197" t="s">
        <v>70</v>
      </c>
      <c r="X1310" s="197" t="s">
        <v>71</v>
      </c>
      <c r="Y1310" s="949" t="s">
        <v>5964</v>
      </c>
      <c r="Z1310" s="246">
        <v>45312</v>
      </c>
      <c r="AA1310" s="281"/>
      <c r="AB1310" s="288"/>
      <c r="AC1310" s="223"/>
      <c r="AD1310" s="245"/>
      <c r="AE1310" s="494"/>
      <c r="AF1310" s="494"/>
      <c r="AG1310" s="241"/>
      <c r="AH1310" s="253"/>
      <c r="AI1310" s="712"/>
      <c r="AJ1310" s="348" t="s">
        <v>560</v>
      </c>
      <c r="AK1310" s="241">
        <v>4</v>
      </c>
      <c r="AL1310" s="123" t="s">
        <v>497</v>
      </c>
      <c r="AM1310" s="175" t="s">
        <v>492</v>
      </c>
      <c r="AN1310" s="110"/>
      <c r="AO1310" s="110"/>
      <c r="AP1310" s="115"/>
      <c r="AQ1310" s="115"/>
      <c r="AR1310" s="115"/>
      <c r="AS1310" s="115"/>
      <c r="AT1310" s="115"/>
    </row>
    <row r="1311" spans="1:54" ht="39" customHeight="1" x14ac:dyDescent="0.25">
      <c r="A1311" s="1468">
        <v>1310</v>
      </c>
      <c r="B1311" s="141">
        <v>1</v>
      </c>
      <c r="C1311" s="378" t="s">
        <v>323</v>
      </c>
      <c r="D1311" s="303"/>
      <c r="E1311" s="241"/>
      <c r="F1311" s="241"/>
      <c r="G1311" s="261" t="s">
        <v>324</v>
      </c>
      <c r="H1311" s="262" t="s">
        <v>87</v>
      </c>
      <c r="I1311" s="357"/>
      <c r="J1311" s="245" t="s">
        <v>561</v>
      </c>
      <c r="K1311" s="216"/>
      <c r="L1311" s="281"/>
      <c r="M1311" s="281"/>
      <c r="N1311" s="374"/>
      <c r="O1311" s="216" t="s">
        <v>3335</v>
      </c>
      <c r="P1311" s="301"/>
      <c r="Q1311" s="485" t="s">
        <v>87</v>
      </c>
      <c r="R1311" s="982" t="s">
        <v>3334</v>
      </c>
      <c r="S1311" s="279">
        <v>38362</v>
      </c>
      <c r="T1311" s="257"/>
      <c r="U1311" s="251" t="s">
        <v>54</v>
      </c>
      <c r="V1311" s="250" t="s">
        <v>3669</v>
      </c>
      <c r="W1311" s="197" t="s">
        <v>5937</v>
      </c>
      <c r="X1311" s="197" t="s">
        <v>2376</v>
      </c>
      <c r="Y1311" s="197"/>
      <c r="Z1311" s="246">
        <v>45218</v>
      </c>
      <c r="AA1311" s="374"/>
      <c r="AB1311" s="257"/>
      <c r="AC1311" s="223"/>
      <c r="AD1311" s="257"/>
      <c r="AE1311" s="494"/>
      <c r="AF1311" s="494"/>
      <c r="AG1311" s="241"/>
      <c r="AH1311" s="299"/>
      <c r="AI1311" s="254"/>
      <c r="AJ1311" s="348" t="s">
        <v>560</v>
      </c>
      <c r="AK1311" s="241">
        <v>4</v>
      </c>
      <c r="AL1311" s="123" t="s">
        <v>497</v>
      </c>
      <c r="AM1311" s="175" t="s">
        <v>492</v>
      </c>
      <c r="AN1311" s="110"/>
      <c r="AO1311" s="110"/>
      <c r="AP1311" s="115"/>
      <c r="AQ1311" s="115"/>
      <c r="AR1311" s="115"/>
      <c r="AS1311" s="115"/>
      <c r="AT1311" s="115"/>
    </row>
    <row r="1312" spans="1:54" ht="39" customHeight="1" x14ac:dyDescent="0.25">
      <c r="A1312" s="1468">
        <v>1311</v>
      </c>
      <c r="B1312" s="117">
        <v>1</v>
      </c>
      <c r="C1312" s="260" t="s">
        <v>325</v>
      </c>
      <c r="D1312" s="241"/>
      <c r="E1312" s="241"/>
      <c r="F1312" s="241"/>
      <c r="G1312" s="261" t="s">
        <v>324</v>
      </c>
      <c r="H1312" s="262" t="s">
        <v>87</v>
      </c>
      <c r="I1312" s="357"/>
      <c r="J1312" s="245" t="s">
        <v>561</v>
      </c>
      <c r="K1312" s="268"/>
      <c r="L1312" s="394" t="s">
        <v>6090</v>
      </c>
      <c r="M1312" s="394" t="s">
        <v>6090</v>
      </c>
      <c r="N1312" s="264"/>
      <c r="O1312" s="392" t="s">
        <v>6092</v>
      </c>
      <c r="P1312" s="266" t="s">
        <v>1828</v>
      </c>
      <c r="Q1312" s="485" t="s">
        <v>2066</v>
      </c>
      <c r="R1312" s="982" t="s">
        <v>6091</v>
      </c>
      <c r="S1312" s="279"/>
      <c r="T1312" s="414"/>
      <c r="U1312" s="251" t="s">
        <v>54</v>
      </c>
      <c r="V1312" s="306" t="s">
        <v>6136</v>
      </c>
      <c r="W1312" s="981" t="s">
        <v>56</v>
      </c>
      <c r="X1312" s="250" t="s">
        <v>57</v>
      </c>
      <c r="Y1312" s="979" t="s">
        <v>3563</v>
      </c>
      <c r="Z1312" s="289">
        <v>45320</v>
      </c>
      <c r="AA1312" s="395"/>
      <c r="AB1312" s="438"/>
      <c r="AC1312" s="438"/>
      <c r="AD1312" s="438"/>
      <c r="AE1312" s="494"/>
      <c r="AF1312" s="494"/>
      <c r="AG1312" s="481"/>
      <c r="AH1312" s="481"/>
      <c r="AI1312" s="719"/>
      <c r="AJ1312" s="348" t="s">
        <v>560</v>
      </c>
      <c r="AK1312" s="241">
        <v>4</v>
      </c>
      <c r="AL1312" s="123" t="s">
        <v>497</v>
      </c>
      <c r="AM1312" s="175" t="s">
        <v>492</v>
      </c>
      <c r="AN1312" s="110"/>
      <c r="AO1312" s="110"/>
      <c r="AP1312" s="115"/>
      <c r="AQ1312" s="115"/>
      <c r="AR1312" s="115"/>
      <c r="AS1312" s="115"/>
      <c r="AT1312" s="115"/>
    </row>
    <row r="1313" spans="1:46" ht="39" customHeight="1" x14ac:dyDescent="0.25">
      <c r="A1313" s="1468">
        <v>1312</v>
      </c>
      <c r="B1313" s="117"/>
      <c r="C1313" s="324"/>
      <c r="D1313" s="664"/>
      <c r="E1313" s="664"/>
      <c r="F1313" s="664"/>
      <c r="G1313" s="227"/>
      <c r="H1313" s="228"/>
      <c r="I1313" s="228"/>
      <c r="J1313" s="229"/>
      <c r="K1313" s="227"/>
      <c r="L1313" s="229"/>
      <c r="M1313" s="229"/>
      <c r="N1313" s="229"/>
      <c r="O1313" s="309"/>
      <c r="P1313" s="230" t="s">
        <v>327</v>
      </c>
      <c r="Q1313" s="726"/>
      <c r="R1313" s="1004"/>
      <c r="S1313" s="279"/>
      <c r="T1313" s="232"/>
      <c r="U1313" s="250"/>
      <c r="V1313" s="232"/>
      <c r="W1313" s="232"/>
      <c r="X1313" s="232"/>
      <c r="Y1313" s="232"/>
      <c r="Z1313" s="233"/>
      <c r="AA1313" s="234"/>
      <c r="AB1313" s="235"/>
      <c r="AC1313" s="236"/>
      <c r="AD1313" s="235"/>
      <c r="AE1313" s="494"/>
      <c r="AF1313" s="494"/>
      <c r="AG1313" s="664"/>
      <c r="AH1313" s="238"/>
      <c r="AI1313" s="239"/>
      <c r="AJ1313" s="303"/>
      <c r="AK1313" s="241"/>
      <c r="AL1313" s="122"/>
      <c r="AM1313" s="122"/>
      <c r="AN1313" s="113"/>
      <c r="AO1313" s="114"/>
      <c r="AP1313" s="115"/>
      <c r="AQ1313" s="115"/>
      <c r="AR1313" s="115"/>
      <c r="AS1313" s="115"/>
      <c r="AT1313" s="116"/>
    </row>
    <row r="1314" spans="1:46" ht="39" customHeight="1" x14ac:dyDescent="0.25">
      <c r="A1314" s="1468">
        <v>1313</v>
      </c>
      <c r="B1314" s="128">
        <v>5</v>
      </c>
      <c r="C1314" s="290" t="s">
        <v>288</v>
      </c>
      <c r="D1314" s="344"/>
      <c r="E1314" s="344" t="s">
        <v>47</v>
      </c>
      <c r="F1314" s="344"/>
      <c r="G1314" s="292" t="s">
        <v>289</v>
      </c>
      <c r="H1314" s="346" t="s">
        <v>132</v>
      </c>
      <c r="I1314" s="344">
        <v>144</v>
      </c>
      <c r="J1314" s="256">
        <v>403</v>
      </c>
      <c r="K1314" s="816"/>
      <c r="L1314" s="281" t="s">
        <v>3518</v>
      </c>
      <c r="M1314" s="281" t="s">
        <v>3518</v>
      </c>
      <c r="N1314" s="1097"/>
      <c r="O1314" s="950" t="s">
        <v>3517</v>
      </c>
      <c r="P1314" s="287" t="s">
        <v>1828</v>
      </c>
      <c r="Q1314" s="709" t="s">
        <v>567</v>
      </c>
      <c r="R1314" s="998" t="s">
        <v>3516</v>
      </c>
      <c r="S1314" s="279">
        <v>33390</v>
      </c>
      <c r="T1314" s="819"/>
      <c r="U1314" s="251" t="s">
        <v>2866</v>
      </c>
      <c r="V1314" s="197" t="s">
        <v>6155</v>
      </c>
      <c r="W1314" s="197" t="s">
        <v>2381</v>
      </c>
      <c r="X1314" s="197" t="s">
        <v>2002</v>
      </c>
      <c r="Y1314" s="981" t="s">
        <v>6160</v>
      </c>
      <c r="Z1314" s="246">
        <v>45322</v>
      </c>
      <c r="AA1314" s="252">
        <v>45326</v>
      </c>
      <c r="AB1314" s="836"/>
      <c r="AC1314" s="474"/>
      <c r="AD1314" s="836"/>
      <c r="AE1314" s="494"/>
      <c r="AF1314" s="494"/>
      <c r="AG1314" s="626"/>
      <c r="AH1314" s="585"/>
      <c r="AI1314" s="719"/>
      <c r="AJ1314" s="743" t="s">
        <v>560</v>
      </c>
      <c r="AK1314" s="348">
        <v>3</v>
      </c>
      <c r="AL1314" s="123" t="s">
        <v>497</v>
      </c>
      <c r="AM1314" s="175" t="s">
        <v>492</v>
      </c>
      <c r="AN1314" s="130"/>
      <c r="AO1314" s="130"/>
      <c r="AP1314" s="115"/>
      <c r="AQ1314" s="115"/>
      <c r="AR1314" s="115"/>
      <c r="AS1314" s="115"/>
      <c r="AT1314" s="115"/>
    </row>
    <row r="1315" spans="1:46" ht="39" customHeight="1" x14ac:dyDescent="0.25">
      <c r="A1315" s="1468">
        <v>1314</v>
      </c>
      <c r="B1315" s="141">
        <v>3</v>
      </c>
      <c r="C1315" s="356" t="s">
        <v>290</v>
      </c>
      <c r="D1315" s="241" t="s">
        <v>134</v>
      </c>
      <c r="E1315" s="241"/>
      <c r="F1315" s="241"/>
      <c r="G1315" s="261" t="s">
        <v>291</v>
      </c>
      <c r="H1315" s="262" t="s">
        <v>85</v>
      </c>
      <c r="I1315" s="346"/>
      <c r="J1315" s="245" t="s">
        <v>556</v>
      </c>
      <c r="K1315" s="197"/>
      <c r="L1315" s="250" t="s">
        <v>5163</v>
      </c>
      <c r="M1315" s="250" t="s">
        <v>5163</v>
      </c>
      <c r="N1315" s="366"/>
      <c r="O1315" s="1397" t="s">
        <v>5361</v>
      </c>
      <c r="P1315" s="402"/>
      <c r="Q1315" s="1397" t="s">
        <v>87</v>
      </c>
      <c r="R1315" s="1201" t="s">
        <v>5360</v>
      </c>
      <c r="S1315" s="279">
        <v>37983</v>
      </c>
      <c r="T1315" s="250"/>
      <c r="U1315" s="250"/>
      <c r="V1315" s="250"/>
      <c r="W1315" s="197"/>
      <c r="X1315" s="289"/>
      <c r="Y1315" s="949"/>
      <c r="Z1315" s="246"/>
      <c r="AA1315" s="281"/>
      <c r="AB1315" s="250" t="s">
        <v>5383</v>
      </c>
      <c r="AC1315" s="223"/>
      <c r="AD1315" s="245" t="s">
        <v>467</v>
      </c>
      <c r="AE1315" s="494">
        <v>45258</v>
      </c>
      <c r="AF1315" s="494">
        <v>45623</v>
      </c>
      <c r="AG1315" s="241"/>
      <c r="AH1315" s="253"/>
      <c r="AI1315" s="712" t="s">
        <v>4208</v>
      </c>
      <c r="AJ1315" s="303" t="s">
        <v>136</v>
      </c>
      <c r="AK1315" s="241">
        <v>4</v>
      </c>
      <c r="AL1315" s="123" t="s">
        <v>497</v>
      </c>
      <c r="AM1315" s="175" t="s">
        <v>492</v>
      </c>
      <c r="AN1315" s="110" t="s">
        <v>4184</v>
      </c>
      <c r="AO1315" s="130"/>
      <c r="AP1315" s="115"/>
      <c r="AQ1315" s="115"/>
      <c r="AR1315" s="115"/>
      <c r="AS1315" s="115"/>
      <c r="AT1315" s="115"/>
    </row>
    <row r="1316" spans="1:46" ht="39" customHeight="1" x14ac:dyDescent="0.25">
      <c r="A1316" s="1468">
        <v>1315</v>
      </c>
      <c r="B1316" s="141">
        <v>3</v>
      </c>
      <c r="C1316" s="358" t="s">
        <v>297</v>
      </c>
      <c r="D1316" s="241" t="s">
        <v>134</v>
      </c>
      <c r="E1316" s="241"/>
      <c r="F1316" s="241"/>
      <c r="G1316" s="261" t="s">
        <v>298</v>
      </c>
      <c r="H1316" s="262" t="s">
        <v>85</v>
      </c>
      <c r="I1316" s="346"/>
      <c r="J1316" s="245" t="s">
        <v>556</v>
      </c>
      <c r="K1316" s="595"/>
      <c r="L1316" s="281" t="s">
        <v>1676</v>
      </c>
      <c r="M1316" s="281" t="s">
        <v>1508</v>
      </c>
      <c r="N1316" s="366"/>
      <c r="O1316" s="1525" t="s">
        <v>3123</v>
      </c>
      <c r="P1316" s="402"/>
      <c r="Q1316" s="301" t="s">
        <v>87</v>
      </c>
      <c r="R1316" s="1006" t="s">
        <v>1799</v>
      </c>
      <c r="S1316" s="279" t="s">
        <v>4799</v>
      </c>
      <c r="T1316" s="197"/>
      <c r="U1316" s="251" t="s">
        <v>54</v>
      </c>
      <c r="V1316" s="306" t="s">
        <v>4047</v>
      </c>
      <c r="W1316" s="981" t="s">
        <v>4050</v>
      </c>
      <c r="X1316" s="250" t="s">
        <v>5135</v>
      </c>
      <c r="Y1316" s="979" t="s">
        <v>4051</v>
      </c>
      <c r="Z1316" s="289">
        <v>45231</v>
      </c>
      <c r="AA1316" s="252"/>
      <c r="AB1316" s="296" t="s">
        <v>4362</v>
      </c>
      <c r="AC1316" s="223" t="s">
        <v>946</v>
      </c>
      <c r="AD1316" s="376"/>
      <c r="AE1316" s="494" t="s">
        <v>4345</v>
      </c>
      <c r="AF1316" s="494">
        <v>45478</v>
      </c>
      <c r="AG1316" s="241"/>
      <c r="AH1316" s="283"/>
      <c r="AI1316" s="254" t="s">
        <v>1351</v>
      </c>
      <c r="AJ1316" s="303" t="s">
        <v>136</v>
      </c>
      <c r="AK1316" s="241">
        <v>4</v>
      </c>
      <c r="AL1316" s="123" t="s">
        <v>497</v>
      </c>
      <c r="AM1316" s="175" t="s">
        <v>492</v>
      </c>
      <c r="AN1316" s="130"/>
      <c r="AO1316" s="130"/>
      <c r="AP1316" s="115"/>
      <c r="AQ1316" s="115"/>
      <c r="AR1316" s="115"/>
      <c r="AS1316" s="115"/>
      <c r="AT1316" s="116"/>
    </row>
    <row r="1317" spans="1:46" ht="39" customHeight="1" x14ac:dyDescent="0.25">
      <c r="A1317" s="1468">
        <v>1316</v>
      </c>
      <c r="B1317" s="141">
        <v>2</v>
      </c>
      <c r="C1317" s="260" t="s">
        <v>311</v>
      </c>
      <c r="D1317" s="241"/>
      <c r="E1317" s="241"/>
      <c r="F1317" s="241"/>
      <c r="G1317" s="261" t="s">
        <v>312</v>
      </c>
      <c r="H1317" s="262" t="s">
        <v>85</v>
      </c>
      <c r="I1317" s="346"/>
      <c r="J1317" s="245" t="s">
        <v>556</v>
      </c>
      <c r="K1317" s="756"/>
      <c r="L1317" s="282" t="s">
        <v>2800</v>
      </c>
      <c r="M1317" s="282" t="s">
        <v>2800</v>
      </c>
      <c r="N1317" s="451"/>
      <c r="O1317" s="950" t="s">
        <v>3458</v>
      </c>
      <c r="P1317" s="287" t="s">
        <v>1828</v>
      </c>
      <c r="Q1317" s="485" t="s">
        <v>293</v>
      </c>
      <c r="R1317" s="998" t="s">
        <v>3457</v>
      </c>
      <c r="S1317" s="279">
        <v>28085</v>
      </c>
      <c r="T1317" s="399"/>
      <c r="U1317" s="251" t="s">
        <v>54</v>
      </c>
      <c r="V1317" s="197" t="s">
        <v>5512</v>
      </c>
      <c r="W1317" s="250" t="s">
        <v>56</v>
      </c>
      <c r="X1317" s="197" t="s">
        <v>57</v>
      </c>
      <c r="Y1317" s="197" t="s">
        <v>5726</v>
      </c>
      <c r="Z1317" s="246">
        <v>45272</v>
      </c>
      <c r="AA1317" s="252"/>
      <c r="AB1317" s="849"/>
      <c r="AC1317" s="488"/>
      <c r="AD1317" s="849"/>
      <c r="AE1317" s="494"/>
      <c r="AF1317" s="494"/>
      <c r="AG1317" s="487"/>
      <c r="AH1317" s="850"/>
      <c r="AI1317" s="721"/>
      <c r="AJ1317" s="348" t="s">
        <v>560</v>
      </c>
      <c r="AK1317" s="241">
        <v>4</v>
      </c>
      <c r="AL1317" s="123" t="s">
        <v>497</v>
      </c>
      <c r="AM1317" s="175" t="s">
        <v>492</v>
      </c>
      <c r="AN1317" s="130"/>
      <c r="AO1317" s="130"/>
      <c r="AP1317" s="115"/>
      <c r="AQ1317" s="115"/>
      <c r="AR1317" s="115"/>
      <c r="AS1317" s="115"/>
      <c r="AT1317" s="115"/>
    </row>
    <row r="1318" spans="1:46" ht="39" customHeight="1" x14ac:dyDescent="0.25">
      <c r="A1318" s="1468">
        <v>1317</v>
      </c>
      <c r="B1318" s="141">
        <v>2</v>
      </c>
      <c r="C1318" s="260" t="s">
        <v>317</v>
      </c>
      <c r="D1318" s="241"/>
      <c r="E1318" s="241"/>
      <c r="F1318" s="241"/>
      <c r="G1318" s="261" t="s">
        <v>318</v>
      </c>
      <c r="H1318" s="262" t="s">
        <v>87</v>
      </c>
      <c r="I1318" s="357"/>
      <c r="J1318" s="245" t="s">
        <v>561</v>
      </c>
      <c r="K1318" s="450"/>
      <c r="L1318" s="250" t="s">
        <v>5167</v>
      </c>
      <c r="M1318" s="250" t="s">
        <v>5167</v>
      </c>
      <c r="N1318" s="450"/>
      <c r="O1318" s="1400" t="s">
        <v>5359</v>
      </c>
      <c r="P1318" s="287"/>
      <c r="Q1318" s="1400" t="s">
        <v>87</v>
      </c>
      <c r="R1318" s="1201" t="s">
        <v>5358</v>
      </c>
      <c r="S1318" s="279">
        <v>37736</v>
      </c>
      <c r="T1318" s="396"/>
      <c r="U1318" s="251" t="s">
        <v>54</v>
      </c>
      <c r="V1318" s="250" t="s">
        <v>5800</v>
      </c>
      <c r="W1318" s="197" t="s">
        <v>5802</v>
      </c>
      <c r="X1318" s="289" t="s">
        <v>475</v>
      </c>
      <c r="Y1318" s="981" t="s">
        <v>5801</v>
      </c>
      <c r="Z1318" s="246">
        <v>45286</v>
      </c>
      <c r="AA1318" s="281"/>
      <c r="AB1318" s="288" t="s">
        <v>5377</v>
      </c>
      <c r="AC1318" s="223"/>
      <c r="AD1318" s="245" t="s">
        <v>467</v>
      </c>
      <c r="AE1318" s="494">
        <v>45258</v>
      </c>
      <c r="AF1318" s="494">
        <v>45623</v>
      </c>
      <c r="AG1318" s="241"/>
      <c r="AH1318" s="253"/>
      <c r="AI1318" s="712" t="s">
        <v>4208</v>
      </c>
      <c r="AJ1318" s="303" t="s">
        <v>136</v>
      </c>
      <c r="AK1318" s="241">
        <v>4</v>
      </c>
      <c r="AL1318" s="123" t="s">
        <v>497</v>
      </c>
      <c r="AM1318" s="175" t="s">
        <v>492</v>
      </c>
      <c r="AN1318" s="110"/>
      <c r="AO1318" s="110"/>
      <c r="AP1318" s="115"/>
      <c r="AQ1318" s="115"/>
      <c r="AR1318" s="115"/>
      <c r="AS1318" s="115"/>
      <c r="AT1318" s="115"/>
    </row>
    <row r="1319" spans="1:46" ht="39" customHeight="1" x14ac:dyDescent="0.25">
      <c r="A1319" s="1468">
        <v>1318</v>
      </c>
      <c r="B1319" s="146">
        <v>2</v>
      </c>
      <c r="C1319" s="260" t="s">
        <v>319</v>
      </c>
      <c r="D1319" s="241"/>
      <c r="E1319" s="241"/>
      <c r="F1319" s="241"/>
      <c r="G1319" s="261" t="s">
        <v>320</v>
      </c>
      <c r="H1319" s="262" t="s">
        <v>87</v>
      </c>
      <c r="I1319" s="357"/>
      <c r="J1319" s="245" t="s">
        <v>561</v>
      </c>
      <c r="K1319" s="197"/>
      <c r="L1319" s="299"/>
      <c r="M1319" s="299"/>
      <c r="N1319" s="245"/>
      <c r="O1319" s="216" t="s">
        <v>2527</v>
      </c>
      <c r="P1319" s="387"/>
      <c r="Q1319" s="344" t="s">
        <v>293</v>
      </c>
      <c r="R1319" s="982" t="s">
        <v>2526</v>
      </c>
      <c r="S1319" s="279">
        <v>28827</v>
      </c>
      <c r="T1319" s="289"/>
      <c r="U1319" s="251" t="s">
        <v>54</v>
      </c>
      <c r="V1319" s="250" t="s">
        <v>2793</v>
      </c>
      <c r="W1319" s="197" t="s">
        <v>56</v>
      </c>
      <c r="X1319" s="197" t="s">
        <v>57</v>
      </c>
      <c r="Y1319" s="197" t="s">
        <v>2609</v>
      </c>
      <c r="Z1319" s="246">
        <v>45148</v>
      </c>
      <c r="AA1319" s="281"/>
      <c r="AB1319" s="245"/>
      <c r="AC1319" s="223"/>
      <c r="AD1319" s="245"/>
      <c r="AE1319" s="289"/>
      <c r="AF1319" s="289"/>
      <c r="AG1319" s="241"/>
      <c r="AH1319" s="253"/>
      <c r="AI1319" s="284"/>
      <c r="AJ1319" s="348" t="s">
        <v>560</v>
      </c>
      <c r="AK1319" s="241">
        <v>4</v>
      </c>
      <c r="AL1319" s="123" t="s">
        <v>497</v>
      </c>
      <c r="AM1319" s="175" t="s">
        <v>492</v>
      </c>
      <c r="AN1319" s="110"/>
      <c r="AO1319" s="110"/>
      <c r="AP1319" s="115"/>
      <c r="AQ1319" s="115"/>
      <c r="AR1319" s="115"/>
      <c r="AS1319" s="115"/>
      <c r="AT1319" s="116"/>
    </row>
    <row r="1320" spans="1:46" ht="39" customHeight="1" x14ac:dyDescent="0.25">
      <c r="A1320" s="1468">
        <v>1319</v>
      </c>
      <c r="B1320" s="141">
        <v>2</v>
      </c>
      <c r="C1320" s="378" t="s">
        <v>321</v>
      </c>
      <c r="D1320" s="303"/>
      <c r="E1320" s="241"/>
      <c r="F1320" s="241"/>
      <c r="G1320" s="261" t="s">
        <v>322</v>
      </c>
      <c r="H1320" s="262" t="s">
        <v>87</v>
      </c>
      <c r="I1320" s="357"/>
      <c r="J1320" s="245" t="s">
        <v>561</v>
      </c>
      <c r="K1320" s="595"/>
      <c r="L1320" s="281"/>
      <c r="M1320" s="281"/>
      <c r="N1320" s="366"/>
      <c r="O1320" s="950" t="s">
        <v>2424</v>
      </c>
      <c r="P1320" s="287" t="s">
        <v>1828</v>
      </c>
      <c r="Q1320" s="485" t="s">
        <v>293</v>
      </c>
      <c r="R1320" s="998" t="s">
        <v>2423</v>
      </c>
      <c r="S1320" s="279">
        <v>28353</v>
      </c>
      <c r="T1320" s="197"/>
      <c r="U1320" s="251" t="s">
        <v>54</v>
      </c>
      <c r="V1320" s="268" t="s">
        <v>5955</v>
      </c>
      <c r="W1320" s="197" t="s">
        <v>70</v>
      </c>
      <c r="X1320" s="197" t="s">
        <v>71</v>
      </c>
      <c r="Y1320" s="1491" t="s">
        <v>5993</v>
      </c>
      <c r="Z1320" s="405">
        <v>45312</v>
      </c>
      <c r="AA1320" s="252"/>
      <c r="AB1320" s="361"/>
      <c r="AC1320" s="223"/>
      <c r="AD1320" s="376"/>
      <c r="AE1320" s="494"/>
      <c r="AF1320" s="494"/>
      <c r="AG1320" s="241"/>
      <c r="AH1320" s="283"/>
      <c r="AI1320" s="254"/>
      <c r="AJ1320" s="348" t="s">
        <v>560</v>
      </c>
      <c r="AK1320" s="241">
        <v>4</v>
      </c>
      <c r="AL1320" s="123" t="s">
        <v>497</v>
      </c>
      <c r="AM1320" s="175" t="s">
        <v>492</v>
      </c>
      <c r="AN1320" s="110"/>
      <c r="AO1320" s="110"/>
      <c r="AP1320" s="115"/>
      <c r="AQ1320" s="115"/>
      <c r="AR1320" s="115"/>
      <c r="AS1320" s="115"/>
      <c r="AT1320" s="115"/>
    </row>
    <row r="1321" spans="1:46" ht="39" customHeight="1" x14ac:dyDescent="0.25">
      <c r="A1321" s="1468">
        <v>1320</v>
      </c>
      <c r="B1321" s="141">
        <v>1</v>
      </c>
      <c r="C1321" s="378" t="s">
        <v>323</v>
      </c>
      <c r="D1321" s="303"/>
      <c r="E1321" s="241"/>
      <c r="F1321" s="241"/>
      <c r="G1321" s="261" t="s">
        <v>324</v>
      </c>
      <c r="H1321" s="262" t="s">
        <v>87</v>
      </c>
      <c r="I1321" s="364"/>
      <c r="J1321" s="245" t="s">
        <v>561</v>
      </c>
      <c r="K1321" s="216"/>
      <c r="L1321" s="250" t="s">
        <v>5167</v>
      </c>
      <c r="M1321" s="250" t="s">
        <v>5167</v>
      </c>
      <c r="N1321" s="299"/>
      <c r="O1321" s="1520" t="s">
        <v>5357</v>
      </c>
      <c r="P1321" s="287"/>
      <c r="Q1321" s="1520" t="s">
        <v>87</v>
      </c>
      <c r="R1321" s="1201" t="s">
        <v>5356</v>
      </c>
      <c r="S1321" s="279">
        <v>37741</v>
      </c>
      <c r="T1321" s="289"/>
      <c r="U1321" s="197"/>
      <c r="V1321" s="252">
        <v>45315</v>
      </c>
      <c r="W1321" s="197"/>
      <c r="X1321" s="289"/>
      <c r="Y1321" s="949"/>
      <c r="Z1321" s="246"/>
      <c r="AA1321" s="281"/>
      <c r="AB1321" s="288" t="s">
        <v>5382</v>
      </c>
      <c r="AC1321" s="223"/>
      <c r="AD1321" s="245" t="s">
        <v>467</v>
      </c>
      <c r="AE1321" s="494">
        <v>45259</v>
      </c>
      <c r="AF1321" s="494">
        <v>45624</v>
      </c>
      <c r="AG1321" s="241"/>
      <c r="AH1321" s="253"/>
      <c r="AI1321" s="712" t="s">
        <v>4208</v>
      </c>
      <c r="AJ1321" s="303" t="s">
        <v>136</v>
      </c>
      <c r="AK1321" s="241">
        <v>4</v>
      </c>
      <c r="AL1321" s="123" t="s">
        <v>497</v>
      </c>
      <c r="AM1321" s="175" t="s">
        <v>492</v>
      </c>
      <c r="AN1321" s="151"/>
      <c r="AO1321" s="151"/>
      <c r="AP1321" s="115"/>
      <c r="AQ1321" s="115"/>
      <c r="AR1321" s="115"/>
      <c r="AS1321" s="115"/>
      <c r="AT1321" s="115"/>
    </row>
    <row r="1322" spans="1:46" ht="39" customHeight="1" x14ac:dyDescent="0.25">
      <c r="A1322" s="1468">
        <v>1321</v>
      </c>
      <c r="B1322" s="117">
        <v>1</v>
      </c>
      <c r="C1322" s="260" t="s">
        <v>325</v>
      </c>
      <c r="D1322" s="241"/>
      <c r="E1322" s="241"/>
      <c r="F1322" s="241"/>
      <c r="G1322" s="261" t="s">
        <v>324</v>
      </c>
      <c r="H1322" s="262" t="s">
        <v>87</v>
      </c>
      <c r="I1322" s="357"/>
      <c r="J1322" s="245" t="s">
        <v>561</v>
      </c>
      <c r="K1322" s="595"/>
      <c r="L1322" s="281" t="s">
        <v>6090</v>
      </c>
      <c r="M1322" s="281" t="s">
        <v>6090</v>
      </c>
      <c r="N1322" s="366"/>
      <c r="O1322" s="392" t="s">
        <v>6089</v>
      </c>
      <c r="P1322" s="402" t="s">
        <v>1828</v>
      </c>
      <c r="Q1322" s="485" t="s">
        <v>132</v>
      </c>
      <c r="R1322" s="998" t="s">
        <v>6088</v>
      </c>
      <c r="S1322" s="279"/>
      <c r="T1322" s="197"/>
      <c r="U1322" s="251" t="s">
        <v>54</v>
      </c>
      <c r="V1322" s="306" t="s">
        <v>6136</v>
      </c>
      <c r="W1322" s="981" t="s">
        <v>56</v>
      </c>
      <c r="X1322" s="250" t="s">
        <v>57</v>
      </c>
      <c r="Y1322" s="979" t="s">
        <v>3563</v>
      </c>
      <c r="Z1322" s="289">
        <v>45320</v>
      </c>
      <c r="AA1322" s="252"/>
      <c r="AB1322" s="296"/>
      <c r="AC1322" s="223"/>
      <c r="AD1322" s="376"/>
      <c r="AE1322" s="494"/>
      <c r="AF1322" s="494"/>
      <c r="AG1322" s="241"/>
      <c r="AH1322" s="283"/>
      <c r="AI1322" s="254"/>
      <c r="AJ1322" s="348" t="s">
        <v>560</v>
      </c>
      <c r="AK1322" s="241">
        <v>4</v>
      </c>
      <c r="AL1322" s="123" t="s">
        <v>497</v>
      </c>
      <c r="AM1322" s="175" t="s">
        <v>492</v>
      </c>
      <c r="AN1322" s="151"/>
      <c r="AO1322" s="151"/>
      <c r="AP1322" s="115"/>
      <c r="AQ1322" s="115"/>
      <c r="AR1322" s="115"/>
      <c r="AS1322" s="115"/>
      <c r="AT1322" s="115"/>
    </row>
    <row r="1323" spans="1:46" ht="39" customHeight="1" x14ac:dyDescent="0.25">
      <c r="A1323" s="1468">
        <v>1322</v>
      </c>
      <c r="B1323" s="117"/>
      <c r="C1323" s="324"/>
      <c r="D1323" s="664"/>
      <c r="E1323" s="664"/>
      <c r="F1323" s="664"/>
      <c r="G1323" s="227"/>
      <c r="H1323" s="228"/>
      <c r="I1323" s="228"/>
      <c r="J1323" s="229"/>
      <c r="K1323" s="227"/>
      <c r="L1323" s="229"/>
      <c r="M1323" s="229"/>
      <c r="N1323" s="229"/>
      <c r="O1323" s="309"/>
      <c r="P1323" s="230" t="s">
        <v>328</v>
      </c>
      <c r="Q1323" s="726"/>
      <c r="R1323" s="1004"/>
      <c r="S1323" s="279"/>
      <c r="T1323" s="232"/>
      <c r="U1323" s="250"/>
      <c r="V1323" s="232"/>
      <c r="W1323" s="232"/>
      <c r="X1323" s="232"/>
      <c r="Y1323" s="232"/>
      <c r="Z1323" s="233"/>
      <c r="AA1323" s="252"/>
      <c r="AB1323" s="235"/>
      <c r="AC1323" s="236"/>
      <c r="AD1323" s="235"/>
      <c r="AE1323" s="494"/>
      <c r="AF1323" s="494"/>
      <c r="AG1323" s="664"/>
      <c r="AH1323" s="238"/>
      <c r="AI1323" s="239"/>
      <c r="AJ1323" s="303"/>
      <c r="AK1323" s="241"/>
      <c r="AL1323" s="122"/>
      <c r="AM1323" s="122"/>
      <c r="AN1323" s="163"/>
      <c r="AO1323" s="114"/>
      <c r="AP1323" s="115"/>
      <c r="AQ1323" s="115"/>
      <c r="AR1323" s="115"/>
      <c r="AS1323" s="115"/>
      <c r="AT1323" s="116"/>
    </row>
    <row r="1324" spans="1:46" ht="39" customHeight="1" x14ac:dyDescent="0.25">
      <c r="A1324" s="1468">
        <v>1323</v>
      </c>
      <c r="B1324" s="119">
        <v>10</v>
      </c>
      <c r="C1324" s="240" t="s">
        <v>305</v>
      </c>
      <c r="D1324" s="282"/>
      <c r="E1324" s="338" t="s">
        <v>47</v>
      </c>
      <c r="F1324" s="282"/>
      <c r="G1324" s="339" t="s">
        <v>91</v>
      </c>
      <c r="H1324" s="244" t="s">
        <v>83</v>
      </c>
      <c r="I1324" s="340"/>
      <c r="J1324" s="245">
        <v>302</v>
      </c>
      <c r="K1324" s="216" t="s">
        <v>1049</v>
      </c>
      <c r="L1324" s="281" t="s">
        <v>1050</v>
      </c>
      <c r="M1324" s="281" t="s">
        <v>1051</v>
      </c>
      <c r="N1324" s="281"/>
      <c r="O1324" s="216" t="s">
        <v>1052</v>
      </c>
      <c r="P1324" s="287"/>
      <c r="Q1324" s="242" t="s">
        <v>83</v>
      </c>
      <c r="R1324" s="259" t="s">
        <v>1053</v>
      </c>
      <c r="S1324" s="279">
        <v>35453</v>
      </c>
      <c r="T1324" s="197"/>
      <c r="U1324" s="251" t="s">
        <v>54</v>
      </c>
      <c r="V1324" s="197" t="s">
        <v>207</v>
      </c>
      <c r="W1324" s="197" t="s">
        <v>56</v>
      </c>
      <c r="X1324" s="197" t="s">
        <v>57</v>
      </c>
      <c r="Y1324" s="197" t="s">
        <v>58</v>
      </c>
      <c r="Z1324" s="246">
        <v>44844</v>
      </c>
      <c r="AA1324" s="246"/>
      <c r="AB1324" s="282"/>
      <c r="AC1324" s="223" t="s">
        <v>946</v>
      </c>
      <c r="AD1324" s="282" t="s">
        <v>1054</v>
      </c>
      <c r="AE1324" s="286"/>
      <c r="AF1324" s="327">
        <v>45463</v>
      </c>
      <c r="AG1324" s="241" t="s">
        <v>61</v>
      </c>
      <c r="AH1324" s="283"/>
      <c r="AI1324" s="254"/>
      <c r="AJ1324" s="255" t="s">
        <v>62</v>
      </c>
      <c r="AK1324" s="242">
        <v>1</v>
      </c>
      <c r="AL1324" s="123" t="s">
        <v>497</v>
      </c>
      <c r="AM1324" s="175" t="s">
        <v>492</v>
      </c>
      <c r="AN1324" s="137"/>
      <c r="AO1324" s="137"/>
      <c r="AP1324" s="115"/>
      <c r="AQ1324" s="115"/>
      <c r="AR1324" s="115"/>
      <c r="AS1324" s="115"/>
      <c r="AT1324" s="115"/>
    </row>
    <row r="1325" spans="1:46" ht="39" customHeight="1" x14ac:dyDescent="0.25">
      <c r="A1325" s="1468">
        <v>1324</v>
      </c>
      <c r="B1325" s="117"/>
      <c r="C1325" s="324"/>
      <c r="D1325" s="664"/>
      <c r="E1325" s="664"/>
      <c r="F1325" s="664"/>
      <c r="G1325" s="227"/>
      <c r="H1325" s="228"/>
      <c r="I1325" s="228"/>
      <c r="J1325" s="229"/>
      <c r="K1325" s="227"/>
      <c r="L1325" s="229"/>
      <c r="M1325" s="229"/>
      <c r="N1325" s="229"/>
      <c r="O1325" s="309"/>
      <c r="P1325" s="230" t="s">
        <v>306</v>
      </c>
      <c r="Q1325" s="726"/>
      <c r="R1325" s="1004"/>
      <c r="S1325" s="279"/>
      <c r="T1325" s="232"/>
      <c r="U1325" s="250"/>
      <c r="V1325" s="232"/>
      <c r="W1325" s="232"/>
      <c r="X1325" s="232"/>
      <c r="Y1325" s="232"/>
      <c r="Z1325" s="233"/>
      <c r="AA1325" s="252"/>
      <c r="AB1325" s="235"/>
      <c r="AC1325" s="236"/>
      <c r="AD1325" s="235"/>
      <c r="AE1325" s="494"/>
      <c r="AF1325" s="494"/>
      <c r="AG1325" s="664"/>
      <c r="AH1325" s="238"/>
      <c r="AI1325" s="239"/>
      <c r="AJ1325" s="303"/>
      <c r="AK1325" s="241"/>
      <c r="AL1325" s="122"/>
      <c r="AM1325" s="122"/>
      <c r="AN1325" s="163"/>
      <c r="AO1325" s="114"/>
      <c r="AP1325" s="115"/>
      <c r="AQ1325" s="115"/>
      <c r="AR1325" s="115"/>
      <c r="AS1325" s="115"/>
      <c r="AT1325" s="116"/>
    </row>
    <row r="1326" spans="1:46" ht="39" customHeight="1" x14ac:dyDescent="0.25">
      <c r="A1326" s="1468">
        <v>1325</v>
      </c>
      <c r="B1326" s="128">
        <v>7</v>
      </c>
      <c r="C1326" s="290" t="s">
        <v>307</v>
      </c>
      <c r="D1326" s="344"/>
      <c r="E1326" s="344" t="s">
        <v>47</v>
      </c>
      <c r="F1326" s="344"/>
      <c r="G1326" s="345" t="s">
        <v>308</v>
      </c>
      <c r="H1326" s="346" t="s">
        <v>132</v>
      </c>
      <c r="I1326" s="371" t="s">
        <v>309</v>
      </c>
      <c r="J1326" s="256">
        <v>403</v>
      </c>
      <c r="K1326" s="216"/>
      <c r="L1326" s="281" t="s">
        <v>1866</v>
      </c>
      <c r="M1326" s="281" t="s">
        <v>1866</v>
      </c>
      <c r="N1326" s="245"/>
      <c r="O1326" s="950" t="s">
        <v>1867</v>
      </c>
      <c r="P1326" s="372"/>
      <c r="Q1326" s="344" t="s">
        <v>132</v>
      </c>
      <c r="R1326" s="982" t="s">
        <v>1865</v>
      </c>
      <c r="S1326" s="279">
        <v>33760</v>
      </c>
      <c r="T1326" s="250"/>
      <c r="U1326" s="250"/>
      <c r="V1326" s="250"/>
      <c r="W1326" s="979"/>
      <c r="X1326" s="197"/>
      <c r="Y1326" s="981"/>
      <c r="Z1326" s="252"/>
      <c r="AA1326" s="252"/>
      <c r="AB1326" s="281"/>
      <c r="AC1326" s="223"/>
      <c r="AD1326" s="281" t="s">
        <v>1862</v>
      </c>
      <c r="AE1326" s="494"/>
      <c r="AF1326" s="494"/>
      <c r="AG1326" s="241"/>
      <c r="AH1326" s="283"/>
      <c r="AI1326" s="296"/>
      <c r="AJ1326" s="743" t="s">
        <v>560</v>
      </c>
      <c r="AK1326" s="348">
        <v>3</v>
      </c>
      <c r="AL1326" s="123" t="s">
        <v>497</v>
      </c>
      <c r="AM1326" s="175" t="s">
        <v>492</v>
      </c>
      <c r="AN1326" s="138"/>
      <c r="AO1326" s="138"/>
      <c r="AP1326" s="115"/>
      <c r="AQ1326" s="115"/>
      <c r="AR1326" s="115"/>
      <c r="AS1326" s="115"/>
      <c r="AT1326" s="115"/>
    </row>
    <row r="1327" spans="1:46" ht="39" customHeight="1" x14ac:dyDescent="0.25">
      <c r="A1327" s="1468">
        <v>1326</v>
      </c>
      <c r="B1327" s="141">
        <v>3</v>
      </c>
      <c r="C1327" s="356" t="s">
        <v>290</v>
      </c>
      <c r="D1327" s="241" t="s">
        <v>134</v>
      </c>
      <c r="E1327" s="241"/>
      <c r="F1327" s="241"/>
      <c r="G1327" s="261" t="s">
        <v>291</v>
      </c>
      <c r="H1327" s="262" t="s">
        <v>85</v>
      </c>
      <c r="I1327" s="346"/>
      <c r="J1327" s="245" t="s">
        <v>556</v>
      </c>
      <c r="K1327" s="216"/>
      <c r="L1327" s="288" t="s">
        <v>5415</v>
      </c>
      <c r="M1327" s="288" t="s">
        <v>5415</v>
      </c>
      <c r="N1327" s="245"/>
      <c r="O1327" s="1459" t="s">
        <v>5488</v>
      </c>
      <c r="P1327" s="402"/>
      <c r="Q1327" s="1459" t="s">
        <v>87</v>
      </c>
      <c r="R1327" s="1201" t="s">
        <v>5487</v>
      </c>
      <c r="S1327" s="279">
        <v>37986</v>
      </c>
      <c r="T1327" s="252"/>
      <c r="U1327" s="250"/>
      <c r="V1327" s="299"/>
      <c r="W1327" s="197"/>
      <c r="X1327" s="197"/>
      <c r="Y1327" s="197"/>
      <c r="Z1327" s="246"/>
      <c r="AA1327" s="252"/>
      <c r="AB1327" s="288" t="s">
        <v>5489</v>
      </c>
      <c r="AC1327" s="223"/>
      <c r="AD1327" s="282"/>
      <c r="AE1327" s="252">
        <v>45261</v>
      </c>
      <c r="AF1327" s="252">
        <f>AE1327+365</f>
        <v>45626</v>
      </c>
      <c r="AG1327" s="241"/>
      <c r="AH1327" s="301"/>
      <c r="AI1327" s="307" t="s">
        <v>4208</v>
      </c>
      <c r="AJ1327" s="303" t="s">
        <v>136</v>
      </c>
      <c r="AK1327" s="241">
        <v>4</v>
      </c>
      <c r="AL1327" s="123" t="s">
        <v>497</v>
      </c>
      <c r="AM1327" s="175" t="s">
        <v>492</v>
      </c>
      <c r="AN1327" s="110" t="s">
        <v>4184</v>
      </c>
      <c r="AO1327" s="138"/>
      <c r="AP1327" s="115"/>
      <c r="AQ1327" s="115"/>
      <c r="AR1327" s="115"/>
      <c r="AS1327" s="115"/>
      <c r="AT1327" s="115"/>
    </row>
    <row r="1328" spans="1:46" ht="39" customHeight="1" x14ac:dyDescent="0.25">
      <c r="A1328" s="1468">
        <v>1327</v>
      </c>
      <c r="B1328" s="141">
        <v>3</v>
      </c>
      <c r="C1328" s="358" t="s">
        <v>297</v>
      </c>
      <c r="D1328" s="241" t="s">
        <v>134</v>
      </c>
      <c r="E1328" s="241"/>
      <c r="F1328" s="241"/>
      <c r="G1328" s="261" t="s">
        <v>298</v>
      </c>
      <c r="H1328" s="262" t="s">
        <v>85</v>
      </c>
      <c r="I1328" s="346"/>
      <c r="J1328" s="245" t="s">
        <v>556</v>
      </c>
      <c r="K1328" s="257"/>
      <c r="L1328" s="281" t="s">
        <v>5916</v>
      </c>
      <c r="M1328" s="281" t="s">
        <v>5916</v>
      </c>
      <c r="N1328" s="245"/>
      <c r="O1328" s="950" t="s">
        <v>5984</v>
      </c>
      <c r="P1328" s="372"/>
      <c r="Q1328" s="344" t="s">
        <v>85</v>
      </c>
      <c r="R1328" s="982" t="s">
        <v>5983</v>
      </c>
      <c r="S1328" s="279">
        <v>34185</v>
      </c>
      <c r="T1328" s="250"/>
      <c r="U1328" s="251" t="s">
        <v>886</v>
      </c>
      <c r="V1328" s="250" t="s">
        <v>6112</v>
      </c>
      <c r="W1328" s="250" t="s">
        <v>886</v>
      </c>
      <c r="X1328" s="197" t="s">
        <v>886</v>
      </c>
      <c r="Y1328" s="197"/>
      <c r="Z1328" s="246">
        <v>45320</v>
      </c>
      <c r="AA1328" s="252"/>
      <c r="AB1328" s="301"/>
      <c r="AC1328" s="223"/>
      <c r="AD1328" s="245"/>
      <c r="AE1328" s="494"/>
      <c r="AF1328" s="494"/>
      <c r="AG1328" s="301"/>
      <c r="AH1328" s="301"/>
      <c r="AI1328" s="254"/>
      <c r="AJ1328" s="348" t="s">
        <v>560</v>
      </c>
      <c r="AK1328" s="241">
        <v>4</v>
      </c>
      <c r="AL1328" s="123" t="s">
        <v>497</v>
      </c>
      <c r="AM1328" s="175" t="s">
        <v>492</v>
      </c>
      <c r="AN1328" s="138"/>
      <c r="AO1328" s="138"/>
      <c r="AP1328" s="115"/>
      <c r="AQ1328" s="115"/>
      <c r="AR1328" s="115"/>
      <c r="AS1328" s="115"/>
      <c r="AT1328" s="116"/>
    </row>
    <row r="1329" spans="1:46" ht="39" customHeight="1" x14ac:dyDescent="0.25">
      <c r="A1329" s="1468">
        <v>1328</v>
      </c>
      <c r="B1329" s="141">
        <v>2</v>
      </c>
      <c r="C1329" s="260" t="s">
        <v>311</v>
      </c>
      <c r="D1329" s="241"/>
      <c r="E1329" s="241"/>
      <c r="F1329" s="241"/>
      <c r="G1329" s="261" t="s">
        <v>312</v>
      </c>
      <c r="H1329" s="262" t="s">
        <v>85</v>
      </c>
      <c r="I1329" s="346"/>
      <c r="J1329" s="245" t="s">
        <v>556</v>
      </c>
      <c r="K1329" s="216"/>
      <c r="L1329" s="288" t="s">
        <v>5144</v>
      </c>
      <c r="M1329" s="288" t="s">
        <v>5144</v>
      </c>
      <c r="N1329" s="245"/>
      <c r="O1329" s="1516" t="s">
        <v>5325</v>
      </c>
      <c r="P1329" s="627"/>
      <c r="Q1329" s="1516" t="s">
        <v>87</v>
      </c>
      <c r="R1329" s="1003" t="s">
        <v>5324</v>
      </c>
      <c r="S1329" s="279">
        <v>37742</v>
      </c>
      <c r="T1329" s="289"/>
      <c r="U1329" s="250"/>
      <c r="V1329" s="197"/>
      <c r="W1329" s="250"/>
      <c r="X1329" s="197"/>
      <c r="Y1329" s="197"/>
      <c r="Z1329" s="246"/>
      <c r="AA1329" s="252"/>
      <c r="AB1329" s="301"/>
      <c r="AC1329" s="223"/>
      <c r="AD1329" s="245" t="s">
        <v>467</v>
      </c>
      <c r="AE1329" s="494"/>
      <c r="AF1329" s="494"/>
      <c r="AG1329" s="301"/>
      <c r="AH1329" s="301"/>
      <c r="AI1329" s="254" t="s">
        <v>4208</v>
      </c>
      <c r="AJ1329" s="303" t="s">
        <v>136</v>
      </c>
      <c r="AK1329" s="241">
        <v>4</v>
      </c>
      <c r="AL1329" s="123" t="s">
        <v>497</v>
      </c>
      <c r="AM1329" s="175" t="s">
        <v>492</v>
      </c>
      <c r="AN1329" s="138"/>
      <c r="AO1329" s="138"/>
      <c r="AP1329" s="115"/>
      <c r="AQ1329" s="115"/>
      <c r="AR1329" s="115"/>
      <c r="AS1329" s="115"/>
      <c r="AT1329" s="115"/>
    </row>
    <row r="1330" spans="1:46" ht="39" customHeight="1" x14ac:dyDescent="0.25">
      <c r="A1330" s="1468">
        <v>1329</v>
      </c>
      <c r="B1330" s="141">
        <v>2</v>
      </c>
      <c r="C1330" s="260" t="s">
        <v>317</v>
      </c>
      <c r="D1330" s="241"/>
      <c r="E1330" s="241"/>
      <c r="F1330" s="241"/>
      <c r="G1330" s="261" t="s">
        <v>318</v>
      </c>
      <c r="H1330" s="262" t="s">
        <v>87</v>
      </c>
      <c r="I1330" s="357"/>
      <c r="J1330" s="245" t="s">
        <v>561</v>
      </c>
      <c r="K1330" s="756"/>
      <c r="L1330" s="288"/>
      <c r="M1330" s="288"/>
      <c r="N1330" s="451"/>
      <c r="O1330" s="1429" t="s">
        <v>5739</v>
      </c>
      <c r="P1330" s="287" t="s">
        <v>1411</v>
      </c>
      <c r="Q1330" s="344" t="s">
        <v>87</v>
      </c>
      <c r="R1330" s="982" t="s">
        <v>5738</v>
      </c>
      <c r="S1330" s="279">
        <v>36419</v>
      </c>
      <c r="T1330" s="399"/>
      <c r="U1330" s="197"/>
      <c r="V1330" s="299"/>
      <c r="W1330" s="981"/>
      <c r="X1330" s="197"/>
      <c r="Y1330" s="1127"/>
      <c r="Z1330" s="246"/>
      <c r="AA1330" s="252"/>
      <c r="AB1330" s="288"/>
      <c r="AC1330" s="488"/>
      <c r="AD1330" s="849"/>
      <c r="AE1330" s="252"/>
      <c r="AF1330" s="252"/>
      <c r="AG1330" s="487"/>
      <c r="AH1330" s="850"/>
      <c r="AI1330" s="307"/>
      <c r="AJ1330" s="348" t="s">
        <v>560</v>
      </c>
      <c r="AK1330" s="241">
        <v>4</v>
      </c>
      <c r="AL1330" s="123" t="s">
        <v>497</v>
      </c>
      <c r="AM1330" s="175" t="s">
        <v>492</v>
      </c>
      <c r="AN1330" s="110"/>
      <c r="AO1330" s="151"/>
      <c r="AP1330" s="115"/>
      <c r="AQ1330" s="115"/>
      <c r="AR1330" s="115"/>
      <c r="AS1330" s="115"/>
      <c r="AT1330" s="115"/>
    </row>
    <row r="1331" spans="1:46" ht="39" customHeight="1" x14ac:dyDescent="0.25">
      <c r="A1331" s="1468">
        <v>1330</v>
      </c>
      <c r="B1331" s="146">
        <v>2</v>
      </c>
      <c r="C1331" s="260" t="s">
        <v>319</v>
      </c>
      <c r="D1331" s="241"/>
      <c r="E1331" s="241"/>
      <c r="F1331" s="241"/>
      <c r="G1331" s="261" t="s">
        <v>320</v>
      </c>
      <c r="H1331" s="262" t="s">
        <v>87</v>
      </c>
      <c r="I1331" s="357"/>
      <c r="J1331" s="245" t="s">
        <v>561</v>
      </c>
      <c r="K1331" s="684"/>
      <c r="L1331" s="685"/>
      <c r="M1331" s="685"/>
      <c r="N1331" s="684"/>
      <c r="O1331" s="385" t="s">
        <v>2521</v>
      </c>
      <c r="P1331" s="374"/>
      <c r="Q1331" s="344" t="s">
        <v>87</v>
      </c>
      <c r="R1331" s="982" t="s">
        <v>2520</v>
      </c>
      <c r="S1331" s="279">
        <v>31095</v>
      </c>
      <c r="T1331" s="684"/>
      <c r="U1331" s="251" t="s">
        <v>54</v>
      </c>
      <c r="V1331" s="250" t="s">
        <v>2793</v>
      </c>
      <c r="W1331" s="197" t="s">
        <v>56</v>
      </c>
      <c r="X1331" s="197" t="s">
        <v>57</v>
      </c>
      <c r="Y1331" s="197" t="s">
        <v>2609</v>
      </c>
      <c r="Z1331" s="246">
        <v>45186</v>
      </c>
      <c r="AA1331" s="684"/>
      <c r="AB1331" s="1290"/>
      <c r="AC1331" s="684"/>
      <c r="AD1331" s="686"/>
      <c r="AE1331" s="684"/>
      <c r="AF1331" s="684"/>
      <c r="AG1331" s="684"/>
      <c r="AH1331" s="684"/>
      <c r="AI1331" s="685"/>
      <c r="AJ1331" s="348" t="s">
        <v>560</v>
      </c>
      <c r="AK1331" s="241">
        <v>4</v>
      </c>
      <c r="AL1331" s="123" t="s">
        <v>497</v>
      </c>
      <c r="AM1331" s="175" t="s">
        <v>492</v>
      </c>
      <c r="AN1331" s="110"/>
      <c r="AO1331" s="151"/>
      <c r="AP1331" s="115"/>
      <c r="AQ1331" s="115"/>
      <c r="AR1331" s="115"/>
      <c r="AS1331" s="115"/>
      <c r="AT1331" s="116"/>
    </row>
    <row r="1332" spans="1:46" ht="39" customHeight="1" x14ac:dyDescent="0.25">
      <c r="A1332" s="1468">
        <v>1331</v>
      </c>
      <c r="B1332" s="141">
        <v>2</v>
      </c>
      <c r="C1332" s="378" t="s">
        <v>321</v>
      </c>
      <c r="D1332" s="303"/>
      <c r="E1332" s="241"/>
      <c r="F1332" s="241"/>
      <c r="G1332" s="261" t="s">
        <v>322</v>
      </c>
      <c r="H1332" s="262" t="s">
        <v>87</v>
      </c>
      <c r="I1332" s="357"/>
      <c r="J1332" s="245" t="s">
        <v>561</v>
      </c>
      <c r="K1332" s="296"/>
      <c r="L1332" s="257" t="s">
        <v>5916</v>
      </c>
      <c r="M1332" s="257" t="s">
        <v>5916</v>
      </c>
      <c r="N1332" s="256"/>
      <c r="O1332" s="216" t="s">
        <v>6050</v>
      </c>
      <c r="P1332" s="555"/>
      <c r="Q1332" s="1499" t="s">
        <v>87</v>
      </c>
      <c r="R1332" s="1503" t="s">
        <v>6051</v>
      </c>
      <c r="S1332" s="279">
        <v>37192</v>
      </c>
      <c r="T1332" s="250"/>
      <c r="U1332" s="197"/>
      <c r="V1332" s="197"/>
      <c r="W1332" s="250"/>
      <c r="X1332" s="197"/>
      <c r="Y1332" s="197"/>
      <c r="Z1332" s="246"/>
      <c r="AA1332" s="374"/>
      <c r="AB1332" s="250"/>
      <c r="AC1332" s="223"/>
      <c r="AD1332" s="299"/>
      <c r="AE1332" s="246"/>
      <c r="AF1332" s="246"/>
      <c r="AG1332" s="241"/>
      <c r="AH1332" s="253"/>
      <c r="AI1332" s="254"/>
      <c r="AJ1332" s="348" t="s">
        <v>560</v>
      </c>
      <c r="AK1332" s="241">
        <v>4</v>
      </c>
      <c r="AL1332" s="123" t="s">
        <v>497</v>
      </c>
      <c r="AM1332" s="175" t="s">
        <v>492</v>
      </c>
      <c r="AN1332" s="151"/>
      <c r="AO1332" s="151"/>
      <c r="AP1332" s="115"/>
      <c r="AQ1332" s="115"/>
      <c r="AR1332" s="115"/>
      <c r="AS1332" s="115"/>
      <c r="AT1332" s="115"/>
    </row>
    <row r="1333" spans="1:46" ht="39" customHeight="1" x14ac:dyDescent="0.25">
      <c r="A1333" s="1468">
        <v>1332</v>
      </c>
      <c r="B1333" s="141">
        <v>1</v>
      </c>
      <c r="C1333" s="378" t="s">
        <v>323</v>
      </c>
      <c r="D1333" s="303"/>
      <c r="E1333" s="241"/>
      <c r="F1333" s="241"/>
      <c r="G1333" s="261" t="s">
        <v>324</v>
      </c>
      <c r="H1333" s="262" t="s">
        <v>87</v>
      </c>
      <c r="I1333" s="357"/>
      <c r="J1333" s="245" t="s">
        <v>561</v>
      </c>
      <c r="K1333" s="301"/>
      <c r="L1333" s="216" t="s">
        <v>3567</v>
      </c>
      <c r="M1333" s="216" t="s">
        <v>3567</v>
      </c>
      <c r="N1333" s="366"/>
      <c r="O1333" s="216" t="s">
        <v>3573</v>
      </c>
      <c r="P1333" s="287" t="s">
        <v>1828</v>
      </c>
      <c r="Q1333" s="344" t="s">
        <v>293</v>
      </c>
      <c r="R1333" s="982" t="s">
        <v>3572</v>
      </c>
      <c r="S1333" s="279">
        <v>30096</v>
      </c>
      <c r="T1333" s="197"/>
      <c r="U1333" s="251" t="s">
        <v>54</v>
      </c>
      <c r="V1333" s="197" t="s">
        <v>5512</v>
      </c>
      <c r="W1333" s="250" t="s">
        <v>56</v>
      </c>
      <c r="X1333" s="197" t="s">
        <v>57</v>
      </c>
      <c r="Y1333" s="197" t="s">
        <v>5726</v>
      </c>
      <c r="Z1333" s="246">
        <v>45272</v>
      </c>
      <c r="AA1333" s="252"/>
      <c r="AB1333" s="306"/>
      <c r="AC1333" s="223"/>
      <c r="AD1333" s="306"/>
      <c r="AE1333" s="494"/>
      <c r="AF1333" s="494"/>
      <c r="AG1333" s="305"/>
      <c r="AH1333" s="281"/>
      <c r="AI1333" s="223"/>
      <c r="AJ1333" s="348" t="s">
        <v>560</v>
      </c>
      <c r="AK1333" s="241">
        <v>4</v>
      </c>
      <c r="AL1333" s="123" t="s">
        <v>497</v>
      </c>
      <c r="AM1333" s="175" t="s">
        <v>492</v>
      </c>
      <c r="AN1333" s="151"/>
      <c r="AO1333" s="151"/>
      <c r="AP1333" s="115"/>
      <c r="AQ1333" s="115"/>
      <c r="AR1333" s="115"/>
      <c r="AS1333" s="115"/>
      <c r="AT1333" s="115"/>
    </row>
    <row r="1334" spans="1:46" ht="39" customHeight="1" x14ac:dyDescent="0.25">
      <c r="A1334" s="1468">
        <v>1333</v>
      </c>
      <c r="B1334" s="117">
        <v>1</v>
      </c>
      <c r="C1334" s="260" t="s">
        <v>325</v>
      </c>
      <c r="D1334" s="241"/>
      <c r="E1334" s="241"/>
      <c r="F1334" s="241"/>
      <c r="G1334" s="261" t="s">
        <v>324</v>
      </c>
      <c r="H1334" s="262" t="s">
        <v>87</v>
      </c>
      <c r="I1334" s="357"/>
      <c r="J1334" s="245" t="s">
        <v>561</v>
      </c>
      <c r="K1334" s="301"/>
      <c r="L1334" s="288" t="s">
        <v>2444</v>
      </c>
      <c r="M1334" s="288" t="s">
        <v>5955</v>
      </c>
      <c r="N1334" s="684"/>
      <c r="O1334" s="1512" t="s">
        <v>2919</v>
      </c>
      <c r="P1334" s="684"/>
      <c r="Q1334" s="394" t="s">
        <v>87</v>
      </c>
      <c r="R1334" s="572" t="s">
        <v>2212</v>
      </c>
      <c r="S1334" s="279"/>
      <c r="T1334" s="684"/>
      <c r="U1334" s="250"/>
      <c r="V1334" s="684"/>
      <c r="W1334" s="1235"/>
      <c r="X1334" s="685"/>
      <c r="Y1334" s="684"/>
      <c r="Z1334" s="684"/>
      <c r="AA1334" s="252"/>
      <c r="AB1334" s="1290"/>
      <c r="AC1334" s="223" t="s">
        <v>946</v>
      </c>
      <c r="AD1334" s="686"/>
      <c r="AE1334" s="494"/>
      <c r="AF1334" s="494"/>
      <c r="AG1334" s="684"/>
      <c r="AH1334" s="684"/>
      <c r="AI1334" s="254" t="s">
        <v>1351</v>
      </c>
      <c r="AJ1334" s="303" t="s">
        <v>136</v>
      </c>
      <c r="AK1334" s="241">
        <v>4</v>
      </c>
      <c r="AL1334" s="123" t="s">
        <v>497</v>
      </c>
      <c r="AM1334" s="175" t="s">
        <v>492</v>
      </c>
      <c r="AN1334" s="151"/>
      <c r="AO1334" s="151"/>
      <c r="AP1334" s="115"/>
      <c r="AQ1334" s="115"/>
      <c r="AR1334" s="115"/>
      <c r="AS1334" s="115"/>
      <c r="AT1334" s="115"/>
    </row>
    <row r="1335" spans="1:46" ht="39" customHeight="1" x14ac:dyDescent="0.25">
      <c r="A1335" s="1468">
        <v>1334</v>
      </c>
      <c r="B1335" s="117"/>
      <c r="C1335" s="324"/>
      <c r="D1335" s="664"/>
      <c r="E1335" s="664"/>
      <c r="F1335" s="664"/>
      <c r="G1335" s="227"/>
      <c r="H1335" s="228"/>
      <c r="I1335" s="228"/>
      <c r="J1335" s="229"/>
      <c r="K1335" s="227"/>
      <c r="L1335" s="229"/>
      <c r="M1335" s="309"/>
      <c r="N1335" s="309"/>
      <c r="O1335" s="309" t="s">
        <v>337</v>
      </c>
      <c r="P1335" s="230" t="s">
        <v>326</v>
      </c>
      <c r="Q1335" s="726"/>
      <c r="R1335" s="1004"/>
      <c r="S1335" s="279"/>
      <c r="T1335" s="232"/>
      <c r="U1335" s="250"/>
      <c r="V1335" s="232"/>
      <c r="W1335" s="232"/>
      <c r="X1335" s="232"/>
      <c r="Y1335" s="232"/>
      <c r="Z1335" s="233"/>
      <c r="AA1335" s="252"/>
      <c r="AB1335" s="235"/>
      <c r="AC1335" s="236"/>
      <c r="AD1335" s="235"/>
      <c r="AE1335" s="494"/>
      <c r="AF1335" s="494"/>
      <c r="AG1335" s="664"/>
      <c r="AH1335" s="238"/>
      <c r="AI1335" s="239"/>
      <c r="AJ1335" s="303"/>
      <c r="AK1335" s="241"/>
      <c r="AL1335" s="122"/>
      <c r="AM1335" s="122"/>
      <c r="AN1335" s="163"/>
      <c r="AO1335" s="114"/>
      <c r="AP1335" s="115"/>
      <c r="AQ1335" s="115"/>
      <c r="AR1335" s="115"/>
      <c r="AS1335" s="115"/>
      <c r="AT1335" s="116"/>
    </row>
    <row r="1336" spans="1:46" ht="39" customHeight="1" x14ac:dyDescent="0.25">
      <c r="A1336" s="1468">
        <v>1335</v>
      </c>
      <c r="B1336" s="128">
        <v>5</v>
      </c>
      <c r="C1336" s="290" t="s">
        <v>288</v>
      </c>
      <c r="D1336" s="344"/>
      <c r="E1336" s="344" t="s">
        <v>47</v>
      </c>
      <c r="F1336" s="344"/>
      <c r="G1336" s="292" t="s">
        <v>289</v>
      </c>
      <c r="H1336" s="346" t="s">
        <v>132</v>
      </c>
      <c r="I1336" s="344">
        <v>144</v>
      </c>
      <c r="J1336" s="256">
        <v>403</v>
      </c>
      <c r="K1336" s="216"/>
      <c r="L1336" s="281"/>
      <c r="M1336" s="281"/>
      <c r="N1336" s="245"/>
      <c r="O1336" s="216"/>
      <c r="P1336" s="372"/>
      <c r="Q1336" s="344"/>
      <c r="R1336" s="1004" t="s">
        <v>66</v>
      </c>
      <c r="S1336" s="279"/>
      <c r="T1336" s="197"/>
      <c r="U1336" s="250"/>
      <c r="V1336" s="197"/>
      <c r="W1336" s="197"/>
      <c r="X1336" s="197"/>
      <c r="Y1336" s="197"/>
      <c r="Z1336" s="246"/>
      <c r="AA1336" s="252"/>
      <c r="AB1336" s="361"/>
      <c r="AC1336" s="223"/>
      <c r="AD1336" s="281"/>
      <c r="AE1336" s="494"/>
      <c r="AF1336" s="494"/>
      <c r="AG1336" s="241"/>
      <c r="AH1336" s="283"/>
      <c r="AI1336" s="386"/>
      <c r="AJ1336" s="348"/>
      <c r="AK1336" s="348">
        <v>3</v>
      </c>
      <c r="AL1336" s="123" t="s">
        <v>497</v>
      </c>
      <c r="AM1336" s="175" t="s">
        <v>492</v>
      </c>
      <c r="AN1336" s="138"/>
      <c r="AO1336" s="138"/>
      <c r="AP1336" s="115"/>
      <c r="AQ1336" s="115"/>
      <c r="AR1336" s="115"/>
      <c r="AS1336" s="115"/>
      <c r="AT1336" s="115"/>
    </row>
    <row r="1337" spans="1:46" ht="39" customHeight="1" x14ac:dyDescent="0.25">
      <c r="A1337" s="1468">
        <v>1336</v>
      </c>
      <c r="B1337" s="141">
        <v>3</v>
      </c>
      <c r="C1337" s="356" t="s">
        <v>290</v>
      </c>
      <c r="D1337" s="241" t="s">
        <v>134</v>
      </c>
      <c r="E1337" s="241"/>
      <c r="F1337" s="241"/>
      <c r="G1337" s="261" t="s">
        <v>291</v>
      </c>
      <c r="H1337" s="262" t="s">
        <v>85</v>
      </c>
      <c r="I1337" s="364"/>
      <c r="J1337" s="245" t="s">
        <v>556</v>
      </c>
      <c r="K1337" s="216"/>
      <c r="L1337" s="281" t="s">
        <v>1527</v>
      </c>
      <c r="M1337" s="281" t="s">
        <v>1676</v>
      </c>
      <c r="N1337" s="366"/>
      <c r="O1337" s="392" t="s">
        <v>3094</v>
      </c>
      <c r="P1337" s="402"/>
      <c r="Q1337" s="301" t="s">
        <v>87</v>
      </c>
      <c r="R1337" s="427" t="s">
        <v>1711</v>
      </c>
      <c r="S1337" s="279" t="s">
        <v>4800</v>
      </c>
      <c r="T1337" s="197"/>
      <c r="U1337" s="251" t="s">
        <v>54</v>
      </c>
      <c r="V1337" s="306" t="s">
        <v>4047</v>
      </c>
      <c r="W1337" s="981" t="s">
        <v>4050</v>
      </c>
      <c r="X1337" s="250" t="s">
        <v>5135</v>
      </c>
      <c r="Y1337" s="979" t="s">
        <v>4051</v>
      </c>
      <c r="Z1337" s="289">
        <v>45231</v>
      </c>
      <c r="AA1337" s="252"/>
      <c r="AB1337" s="296" t="s">
        <v>4527</v>
      </c>
      <c r="AC1337" s="223" t="s">
        <v>946</v>
      </c>
      <c r="AD1337" s="376"/>
      <c r="AE1337" s="494" t="s">
        <v>4440</v>
      </c>
      <c r="AF1337" s="494">
        <v>45476</v>
      </c>
      <c r="AG1337" s="241"/>
      <c r="AH1337" s="283"/>
      <c r="AI1337" s="254" t="s">
        <v>1351</v>
      </c>
      <c r="AJ1337" s="303" t="s">
        <v>136</v>
      </c>
      <c r="AK1337" s="241">
        <v>4</v>
      </c>
      <c r="AL1337" s="123" t="s">
        <v>497</v>
      </c>
      <c r="AM1337" s="175" t="s">
        <v>492</v>
      </c>
      <c r="AN1337" s="110" t="s">
        <v>4184</v>
      </c>
      <c r="AO1337" s="151"/>
      <c r="AP1337" s="115"/>
      <c r="AQ1337" s="115"/>
      <c r="AR1337" s="115"/>
      <c r="AS1337" s="115"/>
      <c r="AT1337" s="115"/>
    </row>
    <row r="1338" spans="1:46" ht="39" customHeight="1" x14ac:dyDescent="0.25">
      <c r="A1338" s="1468">
        <v>1337</v>
      </c>
      <c r="B1338" s="141">
        <v>3</v>
      </c>
      <c r="C1338" s="358" t="s">
        <v>297</v>
      </c>
      <c r="D1338" s="241" t="s">
        <v>134</v>
      </c>
      <c r="E1338" s="241"/>
      <c r="F1338" s="241"/>
      <c r="G1338" s="261" t="s">
        <v>298</v>
      </c>
      <c r="H1338" s="262" t="s">
        <v>85</v>
      </c>
      <c r="I1338" s="364"/>
      <c r="J1338" s="245" t="s">
        <v>556</v>
      </c>
      <c r="K1338" s="257"/>
      <c r="L1338" s="299"/>
      <c r="M1338" s="299"/>
      <c r="N1338" s="299"/>
      <c r="O1338" s="216" t="s">
        <v>3364</v>
      </c>
      <c r="P1338" s="300"/>
      <c r="Q1338" s="344" t="s">
        <v>567</v>
      </c>
      <c r="R1338" s="982" t="s">
        <v>3363</v>
      </c>
      <c r="S1338" s="279">
        <v>34885</v>
      </c>
      <c r="T1338" s="289"/>
      <c r="U1338" s="251" t="s">
        <v>886</v>
      </c>
      <c r="V1338" s="197" t="s">
        <v>6103</v>
      </c>
      <c r="W1338" s="299" t="s">
        <v>886</v>
      </c>
      <c r="X1338" s="299" t="s">
        <v>886</v>
      </c>
      <c r="Y1338" s="299"/>
      <c r="Z1338" s="289">
        <v>45317</v>
      </c>
      <c r="AA1338" s="252"/>
      <c r="AB1338" s="299"/>
      <c r="AC1338" s="223"/>
      <c r="AD1338" s="299"/>
      <c r="AE1338" s="494"/>
      <c r="AF1338" s="494"/>
      <c r="AG1338" s="299"/>
      <c r="AH1338" s="299"/>
      <c r="AI1338" s="223"/>
      <c r="AJ1338" s="348" t="s">
        <v>560</v>
      </c>
      <c r="AK1338" s="241">
        <v>4</v>
      </c>
      <c r="AL1338" s="123" t="s">
        <v>497</v>
      </c>
      <c r="AM1338" s="175" t="s">
        <v>492</v>
      </c>
      <c r="AN1338" s="110"/>
      <c r="AO1338" s="151"/>
      <c r="AP1338" s="115"/>
      <c r="AQ1338" s="115"/>
      <c r="AR1338" s="115"/>
      <c r="AS1338" s="115"/>
      <c r="AT1338" s="116"/>
    </row>
    <row r="1339" spans="1:46" ht="39" customHeight="1" x14ac:dyDescent="0.25">
      <c r="A1339" s="1468">
        <v>1338</v>
      </c>
      <c r="B1339" s="141">
        <v>2</v>
      </c>
      <c r="C1339" s="260" t="s">
        <v>311</v>
      </c>
      <c r="D1339" s="241"/>
      <c r="E1339" s="241"/>
      <c r="F1339" s="241"/>
      <c r="G1339" s="261" t="s">
        <v>312</v>
      </c>
      <c r="H1339" s="262" t="s">
        <v>85</v>
      </c>
      <c r="I1339" s="364"/>
      <c r="J1339" s="245" t="s">
        <v>556</v>
      </c>
      <c r="K1339" s="301"/>
      <c r="L1339" s="301" t="s">
        <v>1898</v>
      </c>
      <c r="M1339" s="301" t="s">
        <v>1898</v>
      </c>
      <c r="N1339" s="305"/>
      <c r="O1339" s="950" t="s">
        <v>1921</v>
      </c>
      <c r="P1339" s="301"/>
      <c r="Q1339" s="786" t="s">
        <v>570</v>
      </c>
      <c r="R1339" s="834" t="s">
        <v>1900</v>
      </c>
      <c r="S1339" s="279">
        <v>30857</v>
      </c>
      <c r="T1339" s="306"/>
      <c r="U1339" s="251" t="s">
        <v>391</v>
      </c>
      <c r="V1339" s="306" t="s">
        <v>6054</v>
      </c>
      <c r="W1339" s="981" t="s">
        <v>3475</v>
      </c>
      <c r="X1339" s="392" t="s">
        <v>2002</v>
      </c>
      <c r="Y1339" s="299" t="s">
        <v>6055</v>
      </c>
      <c r="Z1339" s="289">
        <v>45315</v>
      </c>
      <c r="AA1339" s="252"/>
      <c r="AB1339" s="299"/>
      <c r="AC1339" s="223"/>
      <c r="AD1339" s="299"/>
      <c r="AE1339" s="494"/>
      <c r="AF1339" s="494"/>
      <c r="AG1339" s="299"/>
      <c r="AH1339" s="299"/>
      <c r="AI1339" s="296"/>
      <c r="AJ1339" s="743" t="s">
        <v>560</v>
      </c>
      <c r="AK1339" s="241">
        <v>4</v>
      </c>
      <c r="AL1339" s="123" t="s">
        <v>497</v>
      </c>
      <c r="AM1339" s="175" t="s">
        <v>492</v>
      </c>
      <c r="AN1339" s="110"/>
      <c r="AO1339" s="151"/>
      <c r="AP1339" s="115"/>
      <c r="AQ1339" s="115"/>
      <c r="AR1339" s="115"/>
      <c r="AS1339" s="115"/>
      <c r="AT1339" s="115"/>
    </row>
    <row r="1340" spans="1:46" ht="39" customHeight="1" x14ac:dyDescent="0.25">
      <c r="A1340" s="1468">
        <v>1339</v>
      </c>
      <c r="B1340" s="141">
        <v>2</v>
      </c>
      <c r="C1340" s="260" t="s">
        <v>317</v>
      </c>
      <c r="D1340" s="241"/>
      <c r="E1340" s="241"/>
      <c r="F1340" s="241"/>
      <c r="G1340" s="261" t="s">
        <v>318</v>
      </c>
      <c r="H1340" s="262" t="s">
        <v>87</v>
      </c>
      <c r="I1340" s="364"/>
      <c r="J1340" s="245" t="s">
        <v>561</v>
      </c>
      <c r="K1340" s="216"/>
      <c r="L1340" s="250" t="s">
        <v>5163</v>
      </c>
      <c r="M1340" s="250" t="s">
        <v>5163</v>
      </c>
      <c r="N1340" s="245"/>
      <c r="O1340" s="1457" t="s">
        <v>5363</v>
      </c>
      <c r="P1340" s="402"/>
      <c r="Q1340" s="1457" t="s">
        <v>87</v>
      </c>
      <c r="R1340" s="1003" t="s">
        <v>5362</v>
      </c>
      <c r="S1340" s="279">
        <v>38460</v>
      </c>
      <c r="T1340" s="252"/>
      <c r="U1340" s="250"/>
      <c r="V1340" s="250"/>
      <c r="W1340" s="197"/>
      <c r="X1340" s="289"/>
      <c r="Y1340" s="949"/>
      <c r="Z1340" s="246"/>
      <c r="AA1340" s="281"/>
      <c r="AB1340" s="288" t="s">
        <v>5384</v>
      </c>
      <c r="AC1340" s="223"/>
      <c r="AD1340" s="245" t="s">
        <v>467</v>
      </c>
      <c r="AE1340" s="494">
        <v>45257</v>
      </c>
      <c r="AF1340" s="494">
        <v>45622</v>
      </c>
      <c r="AG1340" s="241"/>
      <c r="AH1340" s="253"/>
      <c r="AI1340" s="254" t="s">
        <v>4208</v>
      </c>
      <c r="AJ1340" s="303" t="s">
        <v>136</v>
      </c>
      <c r="AK1340" s="241">
        <v>4</v>
      </c>
      <c r="AL1340" s="123" t="s">
        <v>497</v>
      </c>
      <c r="AM1340" s="175" t="s">
        <v>492</v>
      </c>
      <c r="AN1340" s="110"/>
      <c r="AO1340" s="151"/>
      <c r="AP1340" s="115"/>
      <c r="AQ1340" s="115"/>
      <c r="AR1340" s="115"/>
      <c r="AS1340" s="115"/>
      <c r="AT1340" s="115"/>
    </row>
    <row r="1341" spans="1:46" ht="39" customHeight="1" x14ac:dyDescent="0.25">
      <c r="A1341" s="1468">
        <v>1340</v>
      </c>
      <c r="B1341" s="146">
        <v>2</v>
      </c>
      <c r="C1341" s="260" t="s">
        <v>319</v>
      </c>
      <c r="D1341" s="241"/>
      <c r="E1341" s="241"/>
      <c r="F1341" s="241"/>
      <c r="G1341" s="261" t="s">
        <v>320</v>
      </c>
      <c r="H1341" s="262" t="s">
        <v>87</v>
      </c>
      <c r="I1341" s="357"/>
      <c r="J1341" s="245" t="s">
        <v>561</v>
      </c>
      <c r="K1341" s="684"/>
      <c r="L1341" s="685"/>
      <c r="M1341" s="685"/>
      <c r="N1341" s="684"/>
      <c r="O1341" s="950" t="s">
        <v>3386</v>
      </c>
      <c r="P1341" s="301"/>
      <c r="Q1341" s="344" t="s">
        <v>87</v>
      </c>
      <c r="R1341" s="982" t="s">
        <v>3385</v>
      </c>
      <c r="S1341" s="279">
        <v>36856</v>
      </c>
      <c r="T1341" s="684"/>
      <c r="U1341" s="251" t="s">
        <v>886</v>
      </c>
      <c r="V1341" s="197" t="s">
        <v>5965</v>
      </c>
      <c r="W1341" s="197" t="s">
        <v>886</v>
      </c>
      <c r="X1341" s="197" t="s">
        <v>886</v>
      </c>
      <c r="Y1341" s="949"/>
      <c r="Z1341" s="246">
        <v>45310</v>
      </c>
      <c r="AA1341" s="252"/>
      <c r="AB1341" s="1290"/>
      <c r="AC1341" s="684"/>
      <c r="AD1341" s="686"/>
      <c r="AE1341" s="494"/>
      <c r="AF1341" s="494"/>
      <c r="AG1341" s="684"/>
      <c r="AH1341" s="684"/>
      <c r="AI1341" s="685"/>
      <c r="AJ1341" s="348" t="s">
        <v>560</v>
      </c>
      <c r="AK1341" s="241">
        <v>4</v>
      </c>
      <c r="AL1341" s="123" t="s">
        <v>497</v>
      </c>
      <c r="AM1341" s="175" t="s">
        <v>492</v>
      </c>
      <c r="AN1341" s="110"/>
      <c r="AO1341" s="151"/>
      <c r="AP1341" s="115"/>
      <c r="AQ1341" s="115"/>
      <c r="AR1341" s="115"/>
      <c r="AS1341" s="115"/>
      <c r="AT1341" s="116"/>
    </row>
    <row r="1342" spans="1:46" ht="39" customHeight="1" x14ac:dyDescent="0.25">
      <c r="A1342" s="1468">
        <v>1341</v>
      </c>
      <c r="B1342" s="141">
        <v>2</v>
      </c>
      <c r="C1342" s="378" t="s">
        <v>321</v>
      </c>
      <c r="D1342" s="303"/>
      <c r="E1342" s="241"/>
      <c r="F1342" s="241"/>
      <c r="G1342" s="261" t="s">
        <v>322</v>
      </c>
      <c r="H1342" s="262" t="s">
        <v>87</v>
      </c>
      <c r="I1342" s="357"/>
      <c r="J1342" s="245" t="s">
        <v>561</v>
      </c>
      <c r="K1342" s="277"/>
      <c r="L1342" s="276"/>
      <c r="M1342" s="276"/>
      <c r="N1342" s="451"/>
      <c r="O1342" s="950" t="s">
        <v>3557</v>
      </c>
      <c r="P1342" s="301" t="s">
        <v>1411</v>
      </c>
      <c r="Q1342" s="786" t="s">
        <v>567</v>
      </c>
      <c r="R1342" s="834" t="s">
        <v>3556</v>
      </c>
      <c r="S1342" s="279">
        <v>31096</v>
      </c>
      <c r="T1342" s="280"/>
      <c r="U1342" s="251" t="s">
        <v>54</v>
      </c>
      <c r="V1342" s="197" t="s">
        <v>5955</v>
      </c>
      <c r="W1342" s="197" t="s">
        <v>70</v>
      </c>
      <c r="X1342" s="197" t="s">
        <v>71</v>
      </c>
      <c r="Y1342" s="949" t="s">
        <v>5964</v>
      </c>
      <c r="Z1342" s="612">
        <v>45312</v>
      </c>
      <c r="AA1342" s="252"/>
      <c r="AB1342" s="452"/>
      <c r="AC1342" s="488"/>
      <c r="AD1342" s="452"/>
      <c r="AE1342" s="494"/>
      <c r="AF1342" s="494"/>
      <c r="AG1342" s="476"/>
      <c r="AH1342" s="441"/>
      <c r="AI1342" s="495"/>
      <c r="AJ1342" s="348" t="s">
        <v>560</v>
      </c>
      <c r="AK1342" s="241">
        <v>4</v>
      </c>
      <c r="AL1342" s="123" t="s">
        <v>497</v>
      </c>
      <c r="AM1342" s="175" t="s">
        <v>492</v>
      </c>
      <c r="AN1342" s="151"/>
      <c r="AO1342" s="151"/>
      <c r="AP1342" s="115"/>
      <c r="AQ1342" s="115"/>
      <c r="AR1342" s="115"/>
      <c r="AS1342" s="115"/>
      <c r="AT1342" s="115"/>
    </row>
    <row r="1343" spans="1:46" ht="39" customHeight="1" x14ac:dyDescent="0.25">
      <c r="A1343" s="1468">
        <v>1342</v>
      </c>
      <c r="B1343" s="141">
        <v>1</v>
      </c>
      <c r="C1343" s="378" t="s">
        <v>323</v>
      </c>
      <c r="D1343" s="303"/>
      <c r="E1343" s="241"/>
      <c r="F1343" s="241"/>
      <c r="G1343" s="261" t="s">
        <v>324</v>
      </c>
      <c r="H1343" s="262" t="s">
        <v>87</v>
      </c>
      <c r="I1343" s="357"/>
      <c r="J1343" s="245" t="s">
        <v>561</v>
      </c>
      <c r="K1343" s="288"/>
      <c r="L1343" s="250" t="s">
        <v>5022</v>
      </c>
      <c r="M1343" s="250" t="s">
        <v>5022</v>
      </c>
      <c r="N1343" s="264"/>
      <c r="O1343" s="1520" t="s">
        <v>5434</v>
      </c>
      <c r="P1343" s="266"/>
      <c r="Q1343" s="786" t="s">
        <v>519</v>
      </c>
      <c r="R1343" s="834" t="s">
        <v>6144</v>
      </c>
      <c r="S1343" s="279">
        <v>27491</v>
      </c>
      <c r="T1343" s="414"/>
      <c r="U1343" s="250"/>
      <c r="V1343" s="250"/>
      <c r="W1343" s="197"/>
      <c r="X1343" s="289"/>
      <c r="Y1343" s="949"/>
      <c r="Z1343" s="246"/>
      <c r="AA1343" s="281"/>
      <c r="AB1343" s="288"/>
      <c r="AC1343" s="223"/>
      <c r="AD1343" s="245"/>
      <c r="AE1343" s="494"/>
      <c r="AF1343" s="494"/>
      <c r="AG1343" s="241"/>
      <c r="AH1343" s="253"/>
      <c r="AI1343" s="712"/>
      <c r="AJ1343" s="348" t="s">
        <v>560</v>
      </c>
      <c r="AK1343" s="241">
        <v>4</v>
      </c>
      <c r="AL1343" s="123" t="s">
        <v>497</v>
      </c>
      <c r="AM1343" s="175" t="s">
        <v>492</v>
      </c>
      <c r="AN1343" s="167"/>
      <c r="AO1343" s="151"/>
      <c r="AP1343" s="115"/>
      <c r="AQ1343" s="115"/>
      <c r="AR1343" s="115"/>
      <c r="AS1343" s="115"/>
      <c r="AT1343" s="115"/>
    </row>
    <row r="1344" spans="1:46" ht="39" customHeight="1" x14ac:dyDescent="0.25">
      <c r="A1344" s="1468">
        <v>1343</v>
      </c>
      <c r="B1344" s="117">
        <v>1</v>
      </c>
      <c r="C1344" s="260" t="s">
        <v>325</v>
      </c>
      <c r="D1344" s="241"/>
      <c r="E1344" s="241"/>
      <c r="F1344" s="241"/>
      <c r="G1344" s="261" t="s">
        <v>324</v>
      </c>
      <c r="H1344" s="262" t="s">
        <v>87</v>
      </c>
      <c r="I1344" s="357"/>
      <c r="J1344" s="245" t="s">
        <v>561</v>
      </c>
      <c r="K1344" s="288"/>
      <c r="L1344" s="281" t="s">
        <v>1676</v>
      </c>
      <c r="M1344" s="281" t="s">
        <v>1508</v>
      </c>
      <c r="N1344" s="366"/>
      <c r="O1344" s="392" t="s">
        <v>2991</v>
      </c>
      <c r="P1344" s="402"/>
      <c r="Q1344" s="380" t="s">
        <v>87</v>
      </c>
      <c r="R1344" s="682" t="s">
        <v>1768</v>
      </c>
      <c r="S1344" s="279" t="s">
        <v>4801</v>
      </c>
      <c r="T1344" s="197"/>
      <c r="U1344" s="251" t="s">
        <v>391</v>
      </c>
      <c r="V1344" s="245" t="s">
        <v>6005</v>
      </c>
      <c r="W1344" s="288" t="s">
        <v>3475</v>
      </c>
      <c r="X1344" s="626" t="s">
        <v>2002</v>
      </c>
      <c r="Y1344" s="245" t="s">
        <v>6004</v>
      </c>
      <c r="Z1344" s="246">
        <v>45314</v>
      </c>
      <c r="AA1344" s="252"/>
      <c r="AB1344" s="296" t="s">
        <v>4528</v>
      </c>
      <c r="AC1344" s="223" t="s">
        <v>946</v>
      </c>
      <c r="AD1344" s="376"/>
      <c r="AE1344" s="494" t="s">
        <v>4345</v>
      </c>
      <c r="AF1344" s="494">
        <v>45478</v>
      </c>
      <c r="AG1344" s="241"/>
      <c r="AH1344" s="283"/>
      <c r="AI1344" s="254" t="s">
        <v>1351</v>
      </c>
      <c r="AJ1344" s="303" t="s">
        <v>136</v>
      </c>
      <c r="AK1344" s="241">
        <v>4</v>
      </c>
      <c r="AL1344" s="123" t="s">
        <v>497</v>
      </c>
      <c r="AM1344" s="175" t="s">
        <v>492</v>
      </c>
      <c r="AN1344" s="151"/>
      <c r="AO1344" s="151"/>
      <c r="AP1344" s="115"/>
      <c r="AQ1344" s="115"/>
      <c r="AR1344" s="115"/>
      <c r="AS1344" s="115"/>
      <c r="AT1344" s="115"/>
    </row>
    <row r="1345" spans="1:46" ht="39" customHeight="1" x14ac:dyDescent="0.25">
      <c r="A1345" s="1468">
        <v>1344</v>
      </c>
      <c r="B1345" s="117"/>
      <c r="C1345" s="324"/>
      <c r="D1345" s="664"/>
      <c r="E1345" s="664"/>
      <c r="F1345" s="664"/>
      <c r="G1345" s="227"/>
      <c r="H1345" s="228"/>
      <c r="I1345" s="228"/>
      <c r="J1345" s="229"/>
      <c r="K1345" s="227"/>
      <c r="L1345" s="229"/>
      <c r="M1345" s="229"/>
      <c r="N1345" s="229"/>
      <c r="O1345" s="309"/>
      <c r="P1345" s="230" t="s">
        <v>327</v>
      </c>
      <c r="Q1345" s="726"/>
      <c r="R1345" s="1004"/>
      <c r="S1345" s="279"/>
      <c r="T1345" s="232"/>
      <c r="U1345" s="250"/>
      <c r="V1345" s="232"/>
      <c r="W1345" s="232"/>
      <c r="X1345" s="232"/>
      <c r="Y1345" s="232"/>
      <c r="Z1345" s="233"/>
      <c r="AA1345" s="252"/>
      <c r="AB1345" s="235"/>
      <c r="AC1345" s="236"/>
      <c r="AD1345" s="235"/>
      <c r="AE1345" s="494"/>
      <c r="AF1345" s="494"/>
      <c r="AG1345" s="664"/>
      <c r="AH1345" s="238"/>
      <c r="AI1345" s="239"/>
      <c r="AJ1345" s="303"/>
      <c r="AK1345" s="241"/>
      <c r="AL1345" s="122"/>
      <c r="AM1345" s="122"/>
      <c r="AN1345" s="163"/>
      <c r="AO1345" s="114"/>
      <c r="AP1345" s="115"/>
      <c r="AQ1345" s="115"/>
      <c r="AR1345" s="115"/>
      <c r="AS1345" s="115"/>
      <c r="AT1345" s="116"/>
    </row>
    <row r="1346" spans="1:46" ht="39" customHeight="1" x14ac:dyDescent="0.25">
      <c r="A1346" s="1468">
        <v>1345</v>
      </c>
      <c r="B1346" s="128">
        <v>5</v>
      </c>
      <c r="C1346" s="290" t="s">
        <v>288</v>
      </c>
      <c r="D1346" s="344"/>
      <c r="E1346" s="344" t="s">
        <v>47</v>
      </c>
      <c r="F1346" s="344"/>
      <c r="G1346" s="292" t="s">
        <v>289</v>
      </c>
      <c r="H1346" s="346" t="s">
        <v>132</v>
      </c>
      <c r="I1346" s="344">
        <v>144</v>
      </c>
      <c r="J1346" s="256">
        <v>403</v>
      </c>
      <c r="K1346" s="216"/>
      <c r="L1346" s="281" t="s">
        <v>4638</v>
      </c>
      <c r="M1346" s="281" t="s">
        <v>4638</v>
      </c>
      <c r="N1346" s="374"/>
      <c r="O1346" s="950" t="s">
        <v>5886</v>
      </c>
      <c r="P1346" s="287"/>
      <c r="Q1346" s="344" t="s">
        <v>87</v>
      </c>
      <c r="R1346" s="982" t="s">
        <v>5885</v>
      </c>
      <c r="S1346" s="279">
        <v>33030</v>
      </c>
      <c r="T1346" s="197"/>
      <c r="U1346" s="251"/>
      <c r="V1346" s="197"/>
      <c r="W1346" s="288" t="s">
        <v>6221</v>
      </c>
      <c r="X1346" s="197"/>
      <c r="Y1346" s="197"/>
      <c r="Z1346" s="246"/>
      <c r="AA1346" s="252"/>
      <c r="AB1346" s="836"/>
      <c r="AC1346" s="474"/>
      <c r="AD1346" s="836"/>
      <c r="AE1346" s="494"/>
      <c r="AF1346" s="494"/>
      <c r="AG1346" s="626"/>
      <c r="AH1346" s="585"/>
      <c r="AI1346" s="719"/>
      <c r="AJ1346" s="743" t="s">
        <v>560</v>
      </c>
      <c r="AK1346" s="348">
        <v>3</v>
      </c>
      <c r="AL1346" s="123" t="s">
        <v>497</v>
      </c>
      <c r="AM1346" s="175" t="s">
        <v>492</v>
      </c>
      <c r="AN1346" s="130"/>
      <c r="AO1346" s="130"/>
      <c r="AP1346" s="115"/>
      <c r="AQ1346" s="115"/>
      <c r="AR1346" s="115"/>
      <c r="AS1346" s="115"/>
      <c r="AT1346" s="115"/>
    </row>
    <row r="1347" spans="1:46" ht="39" customHeight="1" x14ac:dyDescent="0.25">
      <c r="A1347" s="1468">
        <v>1346</v>
      </c>
      <c r="B1347" s="141">
        <v>3</v>
      </c>
      <c r="C1347" s="356" t="s">
        <v>290</v>
      </c>
      <c r="D1347" s="241" t="s">
        <v>134</v>
      </c>
      <c r="E1347" s="241"/>
      <c r="F1347" s="241"/>
      <c r="G1347" s="261" t="s">
        <v>291</v>
      </c>
      <c r="H1347" s="262" t="s">
        <v>85</v>
      </c>
      <c r="I1347" s="346"/>
      <c r="J1347" s="245" t="s">
        <v>556</v>
      </c>
      <c r="K1347" s="216"/>
      <c r="L1347" s="288" t="s">
        <v>5144</v>
      </c>
      <c r="M1347" s="288" t="s">
        <v>5955</v>
      </c>
      <c r="N1347" s="281"/>
      <c r="O1347" s="1512" t="s">
        <v>5254</v>
      </c>
      <c r="P1347" s="402"/>
      <c r="Q1347" s="380" t="s">
        <v>87</v>
      </c>
      <c r="R1347" s="1003" t="s">
        <v>5207</v>
      </c>
      <c r="S1347" s="279">
        <v>36942</v>
      </c>
      <c r="T1347" s="197"/>
      <c r="U1347" s="250"/>
      <c r="V1347" s="245"/>
      <c r="W1347" s="250"/>
      <c r="X1347" s="197"/>
      <c r="Y1347" s="245"/>
      <c r="Z1347" s="246"/>
      <c r="AA1347" s="246"/>
      <c r="AB1347" s="288" t="s">
        <v>5281</v>
      </c>
      <c r="AC1347" s="223" t="s">
        <v>946</v>
      </c>
      <c r="AD1347" s="245" t="s">
        <v>467</v>
      </c>
      <c r="AE1347" s="494">
        <v>45256</v>
      </c>
      <c r="AF1347" s="494">
        <v>45621</v>
      </c>
      <c r="AG1347" s="241"/>
      <c r="AH1347" s="283"/>
      <c r="AI1347" s="296" t="s">
        <v>4208</v>
      </c>
      <c r="AJ1347" s="303" t="s">
        <v>136</v>
      </c>
      <c r="AK1347" s="241">
        <v>4</v>
      </c>
      <c r="AL1347" s="123" t="s">
        <v>497</v>
      </c>
      <c r="AM1347" s="175" t="s">
        <v>492</v>
      </c>
      <c r="AN1347" s="110" t="s">
        <v>4184</v>
      </c>
      <c r="AO1347" s="138"/>
      <c r="AP1347" s="115"/>
      <c r="AQ1347" s="115"/>
      <c r="AR1347" s="115"/>
      <c r="AS1347" s="115"/>
      <c r="AT1347" s="115"/>
    </row>
    <row r="1348" spans="1:46" ht="39" customHeight="1" x14ac:dyDescent="0.25">
      <c r="A1348" s="1468">
        <v>1347</v>
      </c>
      <c r="B1348" s="141">
        <v>3</v>
      </c>
      <c r="C1348" s="358" t="s">
        <v>297</v>
      </c>
      <c r="D1348" s="241" t="s">
        <v>134</v>
      </c>
      <c r="E1348" s="241"/>
      <c r="F1348" s="241"/>
      <c r="G1348" s="261" t="s">
        <v>298</v>
      </c>
      <c r="H1348" s="262" t="s">
        <v>85</v>
      </c>
      <c r="I1348" s="346"/>
      <c r="J1348" s="245" t="s">
        <v>556</v>
      </c>
      <c r="K1348" s="268"/>
      <c r="L1348" s="394" t="s">
        <v>1113</v>
      </c>
      <c r="M1348" s="394" t="s">
        <v>1208</v>
      </c>
      <c r="N1348" s="264"/>
      <c r="O1348" s="1525" t="s">
        <v>3085</v>
      </c>
      <c r="P1348" s="266"/>
      <c r="Q1348" s="394" t="s">
        <v>293</v>
      </c>
      <c r="R1348" s="1002" t="s">
        <v>1376</v>
      </c>
      <c r="S1348" s="279">
        <v>37733</v>
      </c>
      <c r="T1348" s="414"/>
      <c r="U1348" s="251" t="s">
        <v>54</v>
      </c>
      <c r="V1348" s="306" t="s">
        <v>4047</v>
      </c>
      <c r="W1348" s="981" t="s">
        <v>4050</v>
      </c>
      <c r="X1348" s="250" t="s">
        <v>5135</v>
      </c>
      <c r="Y1348" s="979" t="s">
        <v>4051</v>
      </c>
      <c r="Z1348" s="289">
        <v>45231</v>
      </c>
      <c r="AA1348" s="395"/>
      <c r="AB1348" s="438"/>
      <c r="AC1348" s="438" t="s">
        <v>4219</v>
      </c>
      <c r="AD1348" s="438"/>
      <c r="AE1348" s="494"/>
      <c r="AF1348" s="494"/>
      <c r="AG1348" s="481"/>
      <c r="AH1348" s="481"/>
      <c r="AI1348" s="719" t="s">
        <v>1351</v>
      </c>
      <c r="AJ1348" s="470" t="s">
        <v>136</v>
      </c>
      <c r="AK1348" s="241">
        <v>4</v>
      </c>
      <c r="AL1348" s="123" t="s">
        <v>497</v>
      </c>
      <c r="AM1348" s="175" t="s">
        <v>492</v>
      </c>
      <c r="AN1348" s="138"/>
      <c r="AO1348" s="138"/>
      <c r="AP1348" s="115"/>
      <c r="AQ1348" s="115"/>
      <c r="AR1348" s="115"/>
      <c r="AS1348" s="115"/>
      <c r="AT1348" s="116"/>
    </row>
    <row r="1349" spans="1:46" ht="39" customHeight="1" x14ac:dyDescent="0.25">
      <c r="A1349" s="1468">
        <v>1348</v>
      </c>
      <c r="B1349" s="141">
        <v>2</v>
      </c>
      <c r="C1349" s="260" t="s">
        <v>311</v>
      </c>
      <c r="D1349" s="241"/>
      <c r="E1349" s="241"/>
      <c r="F1349" s="241"/>
      <c r="G1349" s="261" t="s">
        <v>312</v>
      </c>
      <c r="H1349" s="262" t="s">
        <v>85</v>
      </c>
      <c r="I1349" s="346"/>
      <c r="J1349" s="245" t="s">
        <v>556</v>
      </c>
      <c r="K1349" s="392" t="s">
        <v>313</v>
      </c>
      <c r="L1349" s="392" t="s">
        <v>1983</v>
      </c>
      <c r="M1349" s="392" t="s">
        <v>1983</v>
      </c>
      <c r="N1349" s="595"/>
      <c r="O1349" s="392" t="s">
        <v>1984</v>
      </c>
      <c r="P1349" s="595"/>
      <c r="Q1349" s="348" t="s">
        <v>132</v>
      </c>
      <c r="R1349" s="1166" t="s">
        <v>1985</v>
      </c>
      <c r="S1349" s="279">
        <v>35234</v>
      </c>
      <c r="T1349" s="595"/>
      <c r="U1349" s="251" t="s">
        <v>391</v>
      </c>
      <c r="V1349" s="1462" t="s">
        <v>6000</v>
      </c>
      <c r="W1349" s="250" t="s">
        <v>6002</v>
      </c>
      <c r="X1349" s="268" t="s">
        <v>2002</v>
      </c>
      <c r="Y1349" s="288" t="s">
        <v>6003</v>
      </c>
      <c r="Z1349" s="246">
        <v>45315</v>
      </c>
      <c r="AA1349" s="252"/>
      <c r="AB1349" s="1289"/>
      <c r="AC1349" s="595"/>
      <c r="AD1349" s="658"/>
      <c r="AE1349" s="494"/>
      <c r="AF1349" s="494"/>
      <c r="AG1349" s="595"/>
      <c r="AH1349" s="595"/>
      <c r="AI1349" s="392"/>
      <c r="AJ1349" s="348" t="s">
        <v>560</v>
      </c>
      <c r="AK1349" s="241">
        <v>4</v>
      </c>
      <c r="AL1349" s="123" t="s">
        <v>497</v>
      </c>
      <c r="AM1349" s="175" t="s">
        <v>492</v>
      </c>
      <c r="AN1349" s="138"/>
      <c r="AO1349" s="138"/>
      <c r="AP1349" s="115"/>
      <c r="AQ1349" s="115"/>
      <c r="AR1349" s="115"/>
      <c r="AS1349" s="115"/>
      <c r="AT1349" s="115"/>
    </row>
    <row r="1350" spans="1:46" ht="39" customHeight="1" x14ac:dyDescent="0.25">
      <c r="A1350" s="1468">
        <v>1349</v>
      </c>
      <c r="B1350" s="141">
        <v>2</v>
      </c>
      <c r="C1350" s="260" t="s">
        <v>317</v>
      </c>
      <c r="D1350" s="241"/>
      <c r="E1350" s="241"/>
      <c r="F1350" s="241"/>
      <c r="G1350" s="261" t="s">
        <v>318</v>
      </c>
      <c r="H1350" s="262" t="s">
        <v>87</v>
      </c>
      <c r="I1350" s="357"/>
      <c r="J1350" s="245" t="s">
        <v>561</v>
      </c>
      <c r="K1350" s="263"/>
      <c r="L1350" s="264" t="s">
        <v>5916</v>
      </c>
      <c r="M1350" s="264" t="s">
        <v>5916</v>
      </c>
      <c r="N1350" s="752"/>
      <c r="O1350" s="1470" t="s">
        <v>6012</v>
      </c>
      <c r="P1350" s="431"/>
      <c r="Q1350" s="348" t="s">
        <v>87</v>
      </c>
      <c r="R1350" s="1166" t="s">
        <v>6011</v>
      </c>
      <c r="S1350" s="279">
        <v>37458</v>
      </c>
      <c r="T1350" s="440"/>
      <c r="U1350" s="197" t="s">
        <v>54</v>
      </c>
      <c r="V1350" s="197"/>
      <c r="W1350" s="250" t="s">
        <v>6188</v>
      </c>
      <c r="X1350" s="197"/>
      <c r="Y1350" s="197"/>
      <c r="Z1350" s="246"/>
      <c r="AA1350" s="252"/>
      <c r="AB1350" s="264"/>
      <c r="AC1350" s="474"/>
      <c r="AD1350" s="496"/>
      <c r="AE1350" s="494"/>
      <c r="AF1350" s="494"/>
      <c r="AG1350" s="471"/>
      <c r="AH1350" s="496"/>
      <c r="AI1350" s="223"/>
      <c r="AJ1350" s="348" t="s">
        <v>560</v>
      </c>
      <c r="AK1350" s="241">
        <v>4</v>
      </c>
      <c r="AL1350" s="123" t="s">
        <v>497</v>
      </c>
      <c r="AM1350" s="175" t="s">
        <v>492</v>
      </c>
      <c r="AN1350" s="110"/>
      <c r="AO1350" s="151"/>
      <c r="AP1350" s="115"/>
      <c r="AQ1350" s="115"/>
      <c r="AR1350" s="115"/>
      <c r="AS1350" s="115"/>
      <c r="AT1350" s="115"/>
    </row>
    <row r="1351" spans="1:46" ht="39" customHeight="1" x14ac:dyDescent="0.25">
      <c r="A1351" s="1468">
        <v>1350</v>
      </c>
      <c r="B1351" s="146">
        <v>2</v>
      </c>
      <c r="C1351" s="260" t="s">
        <v>319</v>
      </c>
      <c r="D1351" s="241"/>
      <c r="E1351" s="241"/>
      <c r="F1351" s="241"/>
      <c r="G1351" s="261" t="s">
        <v>320</v>
      </c>
      <c r="H1351" s="262" t="s">
        <v>87</v>
      </c>
      <c r="I1351" s="364"/>
      <c r="J1351" s="245" t="s">
        <v>561</v>
      </c>
      <c r="K1351" s="684"/>
      <c r="L1351" s="685"/>
      <c r="M1351" s="685"/>
      <c r="N1351" s="684"/>
      <c r="O1351" s="216" t="s">
        <v>2709</v>
      </c>
      <c r="P1351" s="247"/>
      <c r="Q1351" s="344" t="s">
        <v>293</v>
      </c>
      <c r="R1351" s="982" t="s">
        <v>2708</v>
      </c>
      <c r="S1351" s="279">
        <v>36311</v>
      </c>
      <c r="T1351" s="684"/>
      <c r="U1351" s="251" t="s">
        <v>54</v>
      </c>
      <c r="V1351" s="250" t="s">
        <v>2793</v>
      </c>
      <c r="W1351" s="197" t="s">
        <v>56</v>
      </c>
      <c r="X1351" s="197" t="s">
        <v>57</v>
      </c>
      <c r="Y1351" s="197" t="s">
        <v>2609</v>
      </c>
      <c r="Z1351" s="246">
        <v>45139</v>
      </c>
      <c r="AA1351" s="684"/>
      <c r="AB1351" s="1290"/>
      <c r="AC1351" s="684"/>
      <c r="AD1351" s="686"/>
      <c r="AE1351" s="684"/>
      <c r="AF1351" s="684"/>
      <c r="AG1351" s="684"/>
      <c r="AH1351" s="684"/>
      <c r="AI1351" s="685"/>
      <c r="AJ1351" s="348" t="s">
        <v>560</v>
      </c>
      <c r="AK1351" s="241">
        <v>4</v>
      </c>
      <c r="AL1351" s="123" t="s">
        <v>497</v>
      </c>
      <c r="AM1351" s="175" t="s">
        <v>492</v>
      </c>
      <c r="AN1351" s="110"/>
      <c r="AO1351" s="151"/>
      <c r="AP1351" s="115"/>
      <c r="AQ1351" s="115"/>
      <c r="AR1351" s="115"/>
      <c r="AS1351" s="115"/>
      <c r="AT1351" s="116"/>
    </row>
    <row r="1352" spans="1:46" ht="39" customHeight="1" x14ac:dyDescent="0.3">
      <c r="A1352" s="1468">
        <v>1351</v>
      </c>
      <c r="B1352" s="141">
        <v>2</v>
      </c>
      <c r="C1352" s="378" t="s">
        <v>321</v>
      </c>
      <c r="D1352" s="303"/>
      <c r="E1352" s="241"/>
      <c r="F1352" s="241"/>
      <c r="G1352" s="261" t="s">
        <v>322</v>
      </c>
      <c r="H1352" s="262" t="s">
        <v>87</v>
      </c>
      <c r="I1352" s="357"/>
      <c r="J1352" s="245" t="s">
        <v>561</v>
      </c>
      <c r="K1352" s="1018"/>
      <c r="L1352" s="1019"/>
      <c r="M1352" s="1019"/>
      <c r="N1352" s="1020"/>
      <c r="O1352" s="1018" t="s">
        <v>3920</v>
      </c>
      <c r="P1352" s="287" t="s">
        <v>1828</v>
      </c>
      <c r="Q1352" s="348" t="s">
        <v>293</v>
      </c>
      <c r="R1352" s="1166" t="s">
        <v>3919</v>
      </c>
      <c r="S1352" s="279">
        <v>36785</v>
      </c>
      <c r="T1352" s="121"/>
      <c r="U1352" s="251" t="s">
        <v>178</v>
      </c>
      <c r="V1352" s="197" t="s">
        <v>5830</v>
      </c>
      <c r="W1352" s="250" t="s">
        <v>1955</v>
      </c>
      <c r="X1352" s="197" t="s">
        <v>5069</v>
      </c>
      <c r="Y1352" s="949" t="s">
        <v>5843</v>
      </c>
      <c r="Z1352" s="246">
        <v>45292</v>
      </c>
      <c r="AA1352" s="252">
        <v>45301</v>
      </c>
      <c r="AB1352" s="2"/>
      <c r="AC1352" s="111"/>
      <c r="AD1352" s="2"/>
      <c r="AE1352" s="494"/>
      <c r="AF1352" s="494"/>
      <c r="AG1352" s="2"/>
      <c r="AH1352" s="2"/>
      <c r="AI1352" s="129"/>
      <c r="AJ1352" s="348" t="s">
        <v>560</v>
      </c>
      <c r="AK1352" s="241">
        <v>4</v>
      </c>
      <c r="AL1352" s="123" t="s">
        <v>497</v>
      </c>
      <c r="AM1352" s="175" t="s">
        <v>492</v>
      </c>
      <c r="AN1352" s="151"/>
      <c r="AO1352" s="151"/>
      <c r="AP1352" s="115"/>
      <c r="AQ1352" s="115"/>
      <c r="AR1352" s="115"/>
      <c r="AS1352" s="115"/>
      <c r="AT1352" s="115"/>
    </row>
    <row r="1353" spans="1:46" ht="39" customHeight="1" x14ac:dyDescent="0.25">
      <c r="A1353" s="1468">
        <v>1352</v>
      </c>
      <c r="B1353" s="141">
        <v>1</v>
      </c>
      <c r="C1353" s="378" t="s">
        <v>323</v>
      </c>
      <c r="D1353" s="303"/>
      <c r="E1353" s="241"/>
      <c r="F1353" s="241"/>
      <c r="G1353" s="261" t="s">
        <v>324</v>
      </c>
      <c r="H1353" s="262" t="s">
        <v>87</v>
      </c>
      <c r="I1353" s="357"/>
      <c r="J1353" s="245" t="s">
        <v>561</v>
      </c>
      <c r="K1353" s="684"/>
      <c r="L1353" s="256" t="s">
        <v>2151</v>
      </c>
      <c r="M1353" s="256" t="s">
        <v>2151</v>
      </c>
      <c r="N1353" s="684"/>
      <c r="O1353" s="392" t="s">
        <v>2150</v>
      </c>
      <c r="P1353" s="385" t="s">
        <v>1411</v>
      </c>
      <c r="Q1353" s="348" t="s">
        <v>293</v>
      </c>
      <c r="R1353" s="1166" t="s">
        <v>2149</v>
      </c>
      <c r="S1353" s="279">
        <v>27610</v>
      </c>
      <c r="T1353" s="684"/>
      <c r="U1353" s="251" t="s">
        <v>391</v>
      </c>
      <c r="V1353" s="252" t="s">
        <v>5939</v>
      </c>
      <c r="W1353" s="981" t="s">
        <v>5831</v>
      </c>
      <c r="X1353" s="197" t="s">
        <v>2002</v>
      </c>
      <c r="Y1353" s="949" t="s">
        <v>5940</v>
      </c>
      <c r="Z1353" s="258">
        <v>45307</v>
      </c>
      <c r="AA1353" s="252"/>
      <c r="AB1353" s="1290"/>
      <c r="AC1353" s="684"/>
      <c r="AD1353" s="686"/>
      <c r="AE1353" s="494"/>
      <c r="AF1353" s="494"/>
      <c r="AG1353" s="684"/>
      <c r="AH1353" s="684"/>
      <c r="AI1353" s="685"/>
      <c r="AJ1353" s="348" t="s">
        <v>560</v>
      </c>
      <c r="AK1353" s="241">
        <v>4</v>
      </c>
      <c r="AL1353" s="123" t="s">
        <v>497</v>
      </c>
      <c r="AM1353" s="175" t="s">
        <v>492</v>
      </c>
      <c r="AN1353" s="151"/>
      <c r="AO1353" s="151"/>
      <c r="AP1353" s="115"/>
      <c r="AQ1353" s="115"/>
      <c r="AR1353" s="115"/>
      <c r="AS1353" s="115"/>
      <c r="AT1353" s="115"/>
    </row>
    <row r="1354" spans="1:46" ht="39" customHeight="1" x14ac:dyDescent="0.25">
      <c r="A1354" s="1468">
        <v>1353</v>
      </c>
      <c r="B1354" s="117">
        <v>1</v>
      </c>
      <c r="C1354" s="260" t="s">
        <v>325</v>
      </c>
      <c r="D1354" s="241"/>
      <c r="E1354" s="241"/>
      <c r="F1354" s="241"/>
      <c r="G1354" s="261" t="s">
        <v>324</v>
      </c>
      <c r="H1354" s="262" t="s">
        <v>87</v>
      </c>
      <c r="I1354" s="357"/>
      <c r="J1354" s="245" t="s">
        <v>561</v>
      </c>
      <c r="K1354" s="197"/>
      <c r="L1354" s="256" t="s">
        <v>3996</v>
      </c>
      <c r="M1354" s="256" t="s">
        <v>3996</v>
      </c>
      <c r="N1354" s="245"/>
      <c r="O1354" s="392" t="s">
        <v>4026</v>
      </c>
      <c r="P1354" s="287" t="s">
        <v>1828</v>
      </c>
      <c r="Q1354" s="344" t="s">
        <v>570</v>
      </c>
      <c r="R1354" s="982" t="s">
        <v>4025</v>
      </c>
      <c r="S1354" s="279">
        <v>27672</v>
      </c>
      <c r="T1354" s="250"/>
      <c r="U1354" s="251" t="s">
        <v>54</v>
      </c>
      <c r="V1354" s="197" t="s">
        <v>4578</v>
      </c>
      <c r="W1354" s="197" t="s">
        <v>384</v>
      </c>
      <c r="X1354" s="250" t="s">
        <v>5135</v>
      </c>
      <c r="Y1354" s="288" t="s">
        <v>4623</v>
      </c>
      <c r="Z1354" s="246">
        <v>45238</v>
      </c>
      <c r="AA1354" s="246"/>
      <c r="AB1354" s="281"/>
      <c r="AC1354" s="281"/>
      <c r="AD1354" s="281"/>
      <c r="AE1354" s="494"/>
      <c r="AF1354" s="494"/>
      <c r="AG1354" s="282"/>
      <c r="AH1354" s="282"/>
      <c r="AI1354" s="296"/>
      <c r="AJ1354" s="348" t="s">
        <v>560</v>
      </c>
      <c r="AK1354" s="241">
        <v>4</v>
      </c>
      <c r="AL1354" s="123" t="s">
        <v>497</v>
      </c>
      <c r="AM1354" s="175" t="s">
        <v>492</v>
      </c>
      <c r="AN1354" s="151"/>
      <c r="AO1354" s="151"/>
      <c r="AP1354" s="115"/>
      <c r="AQ1354" s="115"/>
      <c r="AR1354" s="115"/>
      <c r="AS1354" s="115"/>
      <c r="AT1354" s="115"/>
    </row>
    <row r="1355" spans="1:46" ht="39" customHeight="1" x14ac:dyDescent="0.25">
      <c r="A1355" s="1468">
        <v>1354</v>
      </c>
      <c r="B1355" s="117"/>
      <c r="C1355" s="324"/>
      <c r="D1355" s="664"/>
      <c r="E1355" s="664"/>
      <c r="F1355" s="664"/>
      <c r="G1355" s="227"/>
      <c r="H1355" s="228"/>
      <c r="I1355" s="228"/>
      <c r="J1355" s="229"/>
      <c r="K1355" s="227"/>
      <c r="L1355" s="229"/>
      <c r="M1355" s="229"/>
      <c r="N1355" s="229"/>
      <c r="O1355" s="309"/>
      <c r="P1355" s="230" t="s">
        <v>330</v>
      </c>
      <c r="Q1355" s="726"/>
      <c r="R1355" s="232"/>
      <c r="S1355" s="232"/>
      <c r="T1355" s="232"/>
      <c r="U1355" s="232"/>
      <c r="V1355" s="232"/>
      <c r="W1355" s="232"/>
      <c r="X1355" s="232"/>
      <c r="Y1355" s="232"/>
      <c r="Z1355" s="233"/>
      <c r="AA1355" s="252"/>
      <c r="AB1355" s="235"/>
      <c r="AC1355" s="236"/>
      <c r="AD1355" s="235"/>
      <c r="AE1355" s="494"/>
      <c r="AF1355" s="494"/>
      <c r="AG1355" s="664"/>
      <c r="AH1355" s="238"/>
      <c r="AI1355" s="239"/>
      <c r="AJ1355" s="303"/>
      <c r="AK1355" s="241"/>
      <c r="AL1355" s="122"/>
      <c r="AM1355" s="122"/>
      <c r="AN1355" s="163"/>
      <c r="AO1355" s="114"/>
      <c r="AP1355" s="115"/>
      <c r="AQ1355" s="115"/>
      <c r="AR1355" s="115"/>
      <c r="AS1355" s="115"/>
      <c r="AT1355" s="116"/>
    </row>
    <row r="1356" spans="1:46" ht="39" customHeight="1" x14ac:dyDescent="0.25">
      <c r="A1356" s="1468">
        <v>1355</v>
      </c>
      <c r="B1356" s="119">
        <v>10</v>
      </c>
      <c r="C1356" s="240" t="s">
        <v>305</v>
      </c>
      <c r="D1356" s="282"/>
      <c r="E1356" s="338" t="s">
        <v>47</v>
      </c>
      <c r="F1356" s="282"/>
      <c r="G1356" s="339" t="s">
        <v>91</v>
      </c>
      <c r="H1356" s="244" t="s">
        <v>83</v>
      </c>
      <c r="I1356" s="340"/>
      <c r="J1356" s="245">
        <v>302</v>
      </c>
      <c r="K1356" s="816"/>
      <c r="L1356" s="554"/>
      <c r="M1356" s="554"/>
      <c r="N1356" s="809"/>
      <c r="O1356" s="216" t="s">
        <v>2333</v>
      </c>
      <c r="P1356" s="372"/>
      <c r="Q1356" s="978" t="s">
        <v>2053</v>
      </c>
      <c r="R1356" s="995" t="s">
        <v>2334</v>
      </c>
      <c r="S1356" s="279">
        <v>31368</v>
      </c>
      <c r="T1356" s="344"/>
      <c r="U1356" s="251" t="s">
        <v>54</v>
      </c>
      <c r="V1356" s="250" t="s">
        <v>4641</v>
      </c>
      <c r="W1356" s="197" t="s">
        <v>4215</v>
      </c>
      <c r="X1356" s="250" t="s">
        <v>5135</v>
      </c>
      <c r="Y1356" s="949" t="s">
        <v>4642</v>
      </c>
      <c r="Z1356" s="252">
        <v>45240</v>
      </c>
      <c r="AA1356" s="258"/>
      <c r="AB1356" s="282"/>
      <c r="AC1356" s="223"/>
      <c r="AD1356" s="282"/>
      <c r="AE1356" s="494"/>
      <c r="AF1356" s="494"/>
      <c r="AG1356" s="241"/>
      <c r="AH1356" s="465"/>
      <c r="AI1356" s="466"/>
      <c r="AJ1356" s="255" t="s">
        <v>62</v>
      </c>
      <c r="AK1356" s="242">
        <v>1</v>
      </c>
      <c r="AL1356" s="123" t="s">
        <v>497</v>
      </c>
      <c r="AM1356" s="175" t="s">
        <v>492</v>
      </c>
      <c r="AN1356" s="137"/>
      <c r="AO1356" s="137"/>
      <c r="AP1356" s="115"/>
      <c r="AQ1356" s="115"/>
      <c r="AR1356" s="115"/>
      <c r="AS1356" s="115"/>
      <c r="AT1356" s="115"/>
    </row>
    <row r="1357" spans="1:46" ht="39" customHeight="1" x14ac:dyDescent="0.25">
      <c r="A1357" s="1468">
        <v>1356</v>
      </c>
      <c r="B1357" s="117"/>
      <c r="C1357" s="324"/>
      <c r="D1357" s="664"/>
      <c r="E1357" s="664"/>
      <c r="F1357" s="664"/>
      <c r="G1357" s="227"/>
      <c r="H1357" s="228"/>
      <c r="I1357" s="228"/>
      <c r="J1357" s="229"/>
      <c r="K1357" s="227"/>
      <c r="L1357" s="229"/>
      <c r="M1357" s="229"/>
      <c r="N1357" s="229"/>
      <c r="O1357" s="309"/>
      <c r="P1357" s="230" t="s">
        <v>306</v>
      </c>
      <c r="Q1357" s="726"/>
      <c r="R1357" s="1004"/>
      <c r="S1357" s="279"/>
      <c r="T1357" s="232"/>
      <c r="U1357" s="250"/>
      <c r="V1357" s="232"/>
      <c r="W1357" s="232"/>
      <c r="X1357" s="232"/>
      <c r="Y1357" s="232"/>
      <c r="Z1357" s="233"/>
      <c r="AA1357" s="252"/>
      <c r="AB1357" s="235"/>
      <c r="AC1357" s="236"/>
      <c r="AD1357" s="235"/>
      <c r="AE1357" s="494"/>
      <c r="AF1357" s="494"/>
      <c r="AG1357" s="664"/>
      <c r="AH1357" s="238"/>
      <c r="AI1357" s="239"/>
      <c r="AJ1357" s="303"/>
      <c r="AK1357" s="241"/>
      <c r="AL1357" s="122"/>
      <c r="AM1357" s="122"/>
      <c r="AN1357" s="163"/>
      <c r="AO1357" s="114"/>
      <c r="AP1357" s="115"/>
      <c r="AQ1357" s="115"/>
      <c r="AR1357" s="115"/>
      <c r="AS1357" s="115"/>
      <c r="AT1357" s="116"/>
    </row>
    <row r="1358" spans="1:46" ht="39" customHeight="1" x14ac:dyDescent="0.25">
      <c r="A1358" s="1468">
        <v>1357</v>
      </c>
      <c r="B1358" s="128">
        <v>7</v>
      </c>
      <c r="C1358" s="290" t="s">
        <v>307</v>
      </c>
      <c r="D1358" s="344"/>
      <c r="E1358" s="344" t="s">
        <v>47</v>
      </c>
      <c r="F1358" s="344"/>
      <c r="G1358" s="345" t="s">
        <v>308</v>
      </c>
      <c r="H1358" s="346" t="s">
        <v>132</v>
      </c>
      <c r="I1358" s="371" t="s">
        <v>309</v>
      </c>
      <c r="J1358" s="256">
        <v>403</v>
      </c>
      <c r="K1358" s="216"/>
      <c r="L1358" s="281"/>
      <c r="M1358" s="281"/>
      <c r="N1358" s="197"/>
      <c r="O1358" s="216" t="s">
        <v>2214</v>
      </c>
      <c r="P1358" s="287" t="s">
        <v>1828</v>
      </c>
      <c r="Q1358" s="375" t="s">
        <v>2447</v>
      </c>
      <c r="R1358" s="982" t="s">
        <v>2213</v>
      </c>
      <c r="S1358" s="279">
        <v>30910</v>
      </c>
      <c r="T1358" s="197"/>
      <c r="U1358" s="251" t="s">
        <v>54</v>
      </c>
      <c r="V1358" s="1416" t="s">
        <v>5447</v>
      </c>
      <c r="W1358" s="280" t="s">
        <v>56</v>
      </c>
      <c r="X1358" s="280" t="s">
        <v>57</v>
      </c>
      <c r="Y1358" s="949" t="s">
        <v>4631</v>
      </c>
      <c r="Z1358" s="246">
        <v>45270</v>
      </c>
      <c r="AA1358" s="252"/>
      <c r="AB1358" s="245"/>
      <c r="AC1358" s="223"/>
      <c r="AD1358" s="281"/>
      <c r="AE1358" s="494"/>
      <c r="AF1358" s="494"/>
      <c r="AG1358" s="241"/>
      <c r="AH1358" s="283"/>
      <c r="AI1358" s="296"/>
      <c r="AJ1358" s="348" t="s">
        <v>560</v>
      </c>
      <c r="AK1358" s="291">
        <v>3</v>
      </c>
      <c r="AL1358" s="123" t="s">
        <v>497</v>
      </c>
      <c r="AM1358" s="175" t="s">
        <v>492</v>
      </c>
      <c r="AN1358" s="138"/>
      <c r="AO1358" s="138"/>
      <c r="AP1358" s="115"/>
      <c r="AQ1358" s="115"/>
      <c r="AR1358" s="115"/>
      <c r="AS1358" s="115"/>
      <c r="AT1358" s="115"/>
    </row>
    <row r="1359" spans="1:46" ht="39" customHeight="1" x14ac:dyDescent="0.25">
      <c r="A1359" s="1468">
        <v>1358</v>
      </c>
      <c r="B1359" s="141">
        <v>3</v>
      </c>
      <c r="C1359" s="356" t="s">
        <v>290</v>
      </c>
      <c r="D1359" s="241" t="s">
        <v>134</v>
      </c>
      <c r="E1359" s="241"/>
      <c r="F1359" s="241"/>
      <c r="G1359" s="261" t="s">
        <v>291</v>
      </c>
      <c r="H1359" s="262" t="s">
        <v>85</v>
      </c>
      <c r="I1359" s="364"/>
      <c r="J1359" s="245" t="s">
        <v>556</v>
      </c>
      <c r="K1359" s="216"/>
      <c r="L1359" s="216" t="s">
        <v>1860</v>
      </c>
      <c r="M1359" s="216" t="s">
        <v>1860</v>
      </c>
      <c r="N1359" s="374"/>
      <c r="O1359" s="250" t="s">
        <v>1861</v>
      </c>
      <c r="P1359" s="374"/>
      <c r="Q1359" s="344" t="s">
        <v>293</v>
      </c>
      <c r="R1359" s="982" t="s">
        <v>3291</v>
      </c>
      <c r="S1359" s="279">
        <v>34821</v>
      </c>
      <c r="T1359" s="223"/>
      <c r="U1359" s="251" t="s">
        <v>886</v>
      </c>
      <c r="V1359" s="299" t="s">
        <v>5941</v>
      </c>
      <c r="W1359" s="250" t="s">
        <v>886</v>
      </c>
      <c r="X1359" s="197" t="s">
        <v>886</v>
      </c>
      <c r="Y1359" s="197"/>
      <c r="Z1359" s="246">
        <v>45308</v>
      </c>
      <c r="AA1359" s="252"/>
      <c r="AB1359" s="223"/>
      <c r="AC1359" s="223"/>
      <c r="AD1359" s="281" t="s">
        <v>1862</v>
      </c>
      <c r="AE1359" s="494"/>
      <c r="AF1359" s="494"/>
      <c r="AG1359" s="282"/>
      <c r="AH1359" s="299"/>
      <c r="AI1359" s="254"/>
      <c r="AJ1359" s="348" t="s">
        <v>560</v>
      </c>
      <c r="AK1359" s="241">
        <v>4</v>
      </c>
      <c r="AL1359" s="123" t="s">
        <v>497</v>
      </c>
      <c r="AM1359" s="175" t="s">
        <v>492</v>
      </c>
      <c r="AN1359" s="110" t="s">
        <v>4184</v>
      </c>
      <c r="AO1359" s="151"/>
      <c r="AP1359" s="115"/>
      <c r="AQ1359" s="115"/>
      <c r="AR1359" s="115"/>
      <c r="AS1359" s="115"/>
      <c r="AT1359" s="115"/>
    </row>
    <row r="1360" spans="1:46" ht="39" customHeight="1" x14ac:dyDescent="0.25">
      <c r="A1360" s="1468">
        <v>1359</v>
      </c>
      <c r="B1360" s="141">
        <v>3</v>
      </c>
      <c r="C1360" s="358" t="s">
        <v>297</v>
      </c>
      <c r="D1360" s="241" t="s">
        <v>134</v>
      </c>
      <c r="E1360" s="241"/>
      <c r="F1360" s="241"/>
      <c r="G1360" s="261" t="s">
        <v>298</v>
      </c>
      <c r="H1360" s="262" t="s">
        <v>85</v>
      </c>
      <c r="I1360" s="364"/>
      <c r="J1360" s="245" t="s">
        <v>556</v>
      </c>
      <c r="K1360" s="216"/>
      <c r="L1360" s="250" t="s">
        <v>5022</v>
      </c>
      <c r="M1360" s="250" t="s">
        <v>5022</v>
      </c>
      <c r="N1360" s="366"/>
      <c r="O1360" s="250" t="s">
        <v>5429</v>
      </c>
      <c r="P1360" s="374"/>
      <c r="Q1360" s="344" t="s">
        <v>567</v>
      </c>
      <c r="R1360" s="982" t="s">
        <v>5428</v>
      </c>
      <c r="S1360" s="279">
        <v>27019</v>
      </c>
      <c r="T1360" s="223"/>
      <c r="U1360" s="251" t="s">
        <v>54</v>
      </c>
      <c r="V1360" s="197"/>
      <c r="W1360" s="1426" t="s">
        <v>56</v>
      </c>
      <c r="X1360" s="1282"/>
      <c r="Y1360" s="1127"/>
      <c r="Z1360" s="289"/>
      <c r="AA1360" s="815"/>
      <c r="AB1360" s="223"/>
      <c r="AC1360" s="223"/>
      <c r="AD1360" s="257"/>
      <c r="AE1360" s="494"/>
      <c r="AF1360" s="494"/>
      <c r="AG1360" s="282"/>
      <c r="AH1360" s="299"/>
      <c r="AI1360" s="386"/>
      <c r="AJ1360" s="348" t="s">
        <v>560</v>
      </c>
      <c r="AK1360" s="241">
        <v>4</v>
      </c>
      <c r="AL1360" s="123" t="s">
        <v>497</v>
      </c>
      <c r="AM1360" s="175" t="s">
        <v>492</v>
      </c>
      <c r="AN1360" s="110"/>
      <c r="AO1360" s="151"/>
      <c r="AP1360" s="115"/>
      <c r="AQ1360" s="115"/>
      <c r="AR1360" s="115"/>
      <c r="AS1360" s="115"/>
      <c r="AT1360" s="116"/>
    </row>
    <row r="1361" spans="1:47" ht="39" customHeight="1" x14ac:dyDescent="0.25">
      <c r="A1361" s="1468">
        <v>1360</v>
      </c>
      <c r="B1361" s="141">
        <v>2</v>
      </c>
      <c r="C1361" s="260" t="s">
        <v>311</v>
      </c>
      <c r="D1361" s="241"/>
      <c r="E1361" s="241"/>
      <c r="F1361" s="241"/>
      <c r="G1361" s="261" t="s">
        <v>312</v>
      </c>
      <c r="H1361" s="262" t="s">
        <v>85</v>
      </c>
      <c r="I1361" s="364"/>
      <c r="J1361" s="245" t="s">
        <v>556</v>
      </c>
      <c r="K1361" s="216"/>
      <c r="L1361" s="216" t="s">
        <v>5152</v>
      </c>
      <c r="M1361" s="216" t="s">
        <v>5152</v>
      </c>
      <c r="N1361" s="366"/>
      <c r="O1361" s="216" t="s">
        <v>5151</v>
      </c>
      <c r="P1361" s="385"/>
      <c r="Q1361" s="373" t="s">
        <v>519</v>
      </c>
      <c r="R1361" s="982" t="s">
        <v>5150</v>
      </c>
      <c r="S1361" s="279">
        <v>29380</v>
      </c>
      <c r="T1361" s="306"/>
      <c r="U1361" s="250"/>
      <c r="V1361" s="197"/>
      <c r="W1361" s="1422"/>
      <c r="X1361" s="819"/>
      <c r="Y1361" s="197"/>
      <c r="Z1361" s="246"/>
      <c r="AA1361" s="252"/>
      <c r="AB1361" s="301"/>
      <c r="AC1361" s="223"/>
      <c r="AD1361" s="301"/>
      <c r="AE1361" s="494"/>
      <c r="AF1361" s="494"/>
      <c r="AG1361" s="301"/>
      <c r="AH1361" s="301"/>
      <c r="AI1361" s="386"/>
      <c r="AJ1361" s="348" t="s">
        <v>560</v>
      </c>
      <c r="AK1361" s="241">
        <v>4</v>
      </c>
      <c r="AL1361" s="123" t="s">
        <v>497</v>
      </c>
      <c r="AM1361" s="175" t="s">
        <v>492</v>
      </c>
      <c r="AN1361" s="110"/>
      <c r="AO1361" s="151"/>
      <c r="AP1361" s="115"/>
      <c r="AQ1361" s="115"/>
      <c r="AR1361" s="115"/>
      <c r="AS1361" s="115"/>
      <c r="AT1361" s="115"/>
    </row>
    <row r="1362" spans="1:47" ht="39" customHeight="1" x14ac:dyDescent="0.25">
      <c r="A1362" s="1468">
        <v>1361</v>
      </c>
      <c r="B1362" s="141">
        <v>2</v>
      </c>
      <c r="C1362" s="260" t="s">
        <v>317</v>
      </c>
      <c r="D1362" s="241"/>
      <c r="E1362" s="241"/>
      <c r="F1362" s="241"/>
      <c r="G1362" s="261" t="s">
        <v>318</v>
      </c>
      <c r="H1362" s="262" t="s">
        <v>87</v>
      </c>
      <c r="I1362" s="364"/>
      <c r="J1362" s="245" t="s">
        <v>561</v>
      </c>
      <c r="K1362" s="197"/>
      <c r="L1362" s="250" t="s">
        <v>5163</v>
      </c>
      <c r="M1362" s="250" t="s">
        <v>5163</v>
      </c>
      <c r="N1362" s="809"/>
      <c r="O1362" s="1400" t="s">
        <v>5364</v>
      </c>
      <c r="P1362" s="706"/>
      <c r="Q1362" s="1400" t="s">
        <v>87</v>
      </c>
      <c r="R1362" s="1003" t="s">
        <v>5365</v>
      </c>
      <c r="S1362" s="279">
        <v>38537</v>
      </c>
      <c r="T1362" s="443"/>
      <c r="U1362" s="250"/>
      <c r="V1362" s="250"/>
      <c r="W1362" s="197"/>
      <c r="X1362" s="289"/>
      <c r="Y1362" s="949"/>
      <c r="Z1362" s="246"/>
      <c r="AA1362" s="281"/>
      <c r="AB1362" s="288" t="s">
        <v>5301</v>
      </c>
      <c r="AC1362" s="223"/>
      <c r="AD1362" s="245" t="s">
        <v>467</v>
      </c>
      <c r="AE1362" s="494">
        <v>45257</v>
      </c>
      <c r="AF1362" s="494">
        <v>45622</v>
      </c>
      <c r="AG1362" s="241"/>
      <c r="AH1362" s="253"/>
      <c r="AI1362" s="712" t="s">
        <v>4208</v>
      </c>
      <c r="AJ1362" s="303" t="s">
        <v>136</v>
      </c>
      <c r="AK1362" s="241">
        <v>4</v>
      </c>
      <c r="AL1362" s="123" t="s">
        <v>497</v>
      </c>
      <c r="AM1362" s="175" t="s">
        <v>492</v>
      </c>
      <c r="AN1362" s="110"/>
      <c r="AO1362" s="151"/>
      <c r="AP1362" s="115"/>
      <c r="AQ1362" s="115"/>
      <c r="AR1362" s="115"/>
      <c r="AS1362" s="115"/>
      <c r="AT1362" s="115"/>
    </row>
    <row r="1363" spans="1:47" ht="39" customHeight="1" x14ac:dyDescent="0.25">
      <c r="A1363" s="1468">
        <v>1362</v>
      </c>
      <c r="B1363" s="146">
        <v>2</v>
      </c>
      <c r="C1363" s="260" t="s">
        <v>319</v>
      </c>
      <c r="D1363" s="241"/>
      <c r="E1363" s="241"/>
      <c r="F1363" s="241"/>
      <c r="G1363" s="261" t="s">
        <v>320</v>
      </c>
      <c r="H1363" s="262" t="s">
        <v>87</v>
      </c>
      <c r="I1363" s="357"/>
      <c r="J1363" s="245" t="s">
        <v>561</v>
      </c>
      <c r="K1363" s="296"/>
      <c r="L1363" s="281" t="s">
        <v>2869</v>
      </c>
      <c r="M1363" s="288" t="s">
        <v>5955</v>
      </c>
      <c r="N1363" s="366"/>
      <c r="O1363" s="216" t="s">
        <v>3247</v>
      </c>
      <c r="P1363" s="402"/>
      <c r="Q1363" s="301" t="s">
        <v>293</v>
      </c>
      <c r="R1363" s="427" t="s">
        <v>2870</v>
      </c>
      <c r="S1363" s="279"/>
      <c r="T1363" s="197"/>
      <c r="U1363" s="250"/>
      <c r="V1363" s="197"/>
      <c r="W1363" s="197" t="s">
        <v>3586</v>
      </c>
      <c r="X1363" s="197"/>
      <c r="Y1363" s="245"/>
      <c r="Z1363" s="246"/>
      <c r="AA1363" s="252"/>
      <c r="AB1363" s="288" t="s">
        <v>4536</v>
      </c>
      <c r="AC1363" s="223" t="s">
        <v>946</v>
      </c>
      <c r="AD1363" s="376"/>
      <c r="AE1363" s="494">
        <v>45112</v>
      </c>
      <c r="AF1363" s="494">
        <v>45477</v>
      </c>
      <c r="AG1363" s="241"/>
      <c r="AH1363" s="283"/>
      <c r="AI1363" s="254" t="s">
        <v>1351</v>
      </c>
      <c r="AJ1363" s="303" t="s">
        <v>136</v>
      </c>
      <c r="AK1363" s="241">
        <v>4</v>
      </c>
      <c r="AL1363" s="123" t="s">
        <v>497</v>
      </c>
      <c r="AM1363" s="175" t="s">
        <v>492</v>
      </c>
      <c r="AN1363" s="110"/>
      <c r="AO1363" s="151"/>
      <c r="AP1363" s="115"/>
      <c r="AQ1363" s="115"/>
      <c r="AR1363" s="115"/>
      <c r="AS1363" s="115"/>
      <c r="AT1363" s="116"/>
    </row>
    <row r="1364" spans="1:47" ht="39" customHeight="1" x14ac:dyDescent="0.25">
      <c r="A1364" s="1468">
        <v>1363</v>
      </c>
      <c r="B1364" s="141">
        <v>2</v>
      </c>
      <c r="C1364" s="378" t="s">
        <v>321</v>
      </c>
      <c r="D1364" s="303"/>
      <c r="E1364" s="241"/>
      <c r="F1364" s="241"/>
      <c r="G1364" s="261" t="s">
        <v>322</v>
      </c>
      <c r="H1364" s="262" t="s">
        <v>87</v>
      </c>
      <c r="I1364" s="357"/>
      <c r="J1364" s="245" t="s">
        <v>561</v>
      </c>
      <c r="K1364" s="216"/>
      <c r="L1364" s="216"/>
      <c r="M1364" s="216"/>
      <c r="N1364" s="366"/>
      <c r="O1364" s="216" t="s">
        <v>2278</v>
      </c>
      <c r="P1364" s="372"/>
      <c r="Q1364" s="344" t="s">
        <v>567</v>
      </c>
      <c r="R1364" s="834" t="s">
        <v>2277</v>
      </c>
      <c r="S1364" s="279">
        <v>37078</v>
      </c>
      <c r="T1364" s="289"/>
      <c r="U1364" s="251" t="s">
        <v>391</v>
      </c>
      <c r="V1364" s="306" t="s">
        <v>6054</v>
      </c>
      <c r="W1364" s="981" t="s">
        <v>3475</v>
      </c>
      <c r="X1364" s="197" t="s">
        <v>559</v>
      </c>
      <c r="Y1364" s="197" t="s">
        <v>6056</v>
      </c>
      <c r="Z1364" s="246">
        <v>45315</v>
      </c>
      <c r="AA1364" s="252"/>
      <c r="AB1364" s="288"/>
      <c r="AC1364" s="223"/>
      <c r="AD1364" s="288"/>
      <c r="AE1364" s="494"/>
      <c r="AF1364" s="494"/>
      <c r="AG1364" s="301"/>
      <c r="AH1364" s="281"/>
      <c r="AI1364" s="254"/>
      <c r="AJ1364" s="348" t="s">
        <v>560</v>
      </c>
      <c r="AK1364" s="241">
        <v>4</v>
      </c>
      <c r="AL1364" s="123" t="s">
        <v>497</v>
      </c>
      <c r="AM1364" s="175" t="s">
        <v>492</v>
      </c>
      <c r="AN1364" s="151"/>
      <c r="AO1364" s="151"/>
      <c r="AP1364" s="115"/>
      <c r="AQ1364" s="115"/>
      <c r="AR1364" s="115"/>
      <c r="AS1364" s="115"/>
      <c r="AT1364" s="115"/>
    </row>
    <row r="1365" spans="1:47" ht="39" customHeight="1" x14ac:dyDescent="0.25">
      <c r="A1365" s="1468">
        <v>1364</v>
      </c>
      <c r="B1365" s="141">
        <v>1</v>
      </c>
      <c r="C1365" s="378" t="s">
        <v>323</v>
      </c>
      <c r="D1365" s="303"/>
      <c r="E1365" s="241"/>
      <c r="F1365" s="241"/>
      <c r="G1365" s="261" t="s">
        <v>324</v>
      </c>
      <c r="H1365" s="262" t="s">
        <v>87</v>
      </c>
      <c r="I1365" s="357"/>
      <c r="J1365" s="245" t="s">
        <v>561</v>
      </c>
      <c r="K1365" s="197"/>
      <c r="L1365" s="250" t="s">
        <v>5022</v>
      </c>
      <c r="M1365" s="250" t="s">
        <v>5022</v>
      </c>
      <c r="N1365" s="245"/>
      <c r="O1365" s="216" t="s">
        <v>5427</v>
      </c>
      <c r="P1365" s="372"/>
      <c r="Q1365" s="344" t="s">
        <v>87</v>
      </c>
      <c r="R1365" s="834" t="s">
        <v>5426</v>
      </c>
      <c r="S1365" s="279">
        <v>27472</v>
      </c>
      <c r="T1365" s="250"/>
      <c r="U1365" s="250"/>
      <c r="V1365" s="250"/>
      <c r="W1365" s="197" t="s">
        <v>5946</v>
      </c>
      <c r="X1365" s="289"/>
      <c r="Y1365" s="949"/>
      <c r="Z1365" s="246"/>
      <c r="AA1365" s="281"/>
      <c r="AB1365" s="288"/>
      <c r="AC1365" s="223"/>
      <c r="AD1365" s="245"/>
      <c r="AE1365" s="494"/>
      <c r="AF1365" s="494"/>
      <c r="AG1365" s="241"/>
      <c r="AH1365" s="253"/>
      <c r="AI1365" s="712"/>
      <c r="AJ1365" s="348" t="s">
        <v>560</v>
      </c>
      <c r="AK1365" s="241">
        <v>4</v>
      </c>
      <c r="AL1365" s="123" t="s">
        <v>497</v>
      </c>
      <c r="AM1365" s="175" t="s">
        <v>492</v>
      </c>
      <c r="AN1365" s="167"/>
      <c r="AO1365" s="151"/>
      <c r="AP1365" s="115"/>
      <c r="AQ1365" s="115"/>
      <c r="AR1365" s="115"/>
      <c r="AS1365" s="115"/>
      <c r="AT1365" s="115"/>
      <c r="AU1365" s="827"/>
    </row>
    <row r="1366" spans="1:47" ht="39" customHeight="1" x14ac:dyDescent="0.25">
      <c r="A1366" s="1468">
        <v>1365</v>
      </c>
      <c r="B1366" s="117">
        <v>1</v>
      </c>
      <c r="C1366" s="260" t="s">
        <v>325</v>
      </c>
      <c r="D1366" s="241"/>
      <c r="E1366" s="241"/>
      <c r="F1366" s="241"/>
      <c r="G1366" s="261" t="s">
        <v>324</v>
      </c>
      <c r="H1366" s="262" t="s">
        <v>87</v>
      </c>
      <c r="I1366" s="357"/>
      <c r="J1366" s="245" t="s">
        <v>561</v>
      </c>
      <c r="K1366" s="305"/>
      <c r="L1366" s="301"/>
      <c r="M1366" s="301"/>
      <c r="N1366" s="366"/>
      <c r="O1366" s="216" t="s">
        <v>3542</v>
      </c>
      <c r="P1366" s="305"/>
      <c r="Q1366" s="485" t="s">
        <v>132</v>
      </c>
      <c r="R1366" s="982" t="s">
        <v>3543</v>
      </c>
      <c r="S1366" s="279">
        <v>33676</v>
      </c>
      <c r="T1366" s="306"/>
      <c r="U1366" s="251" t="s">
        <v>54</v>
      </c>
      <c r="V1366" s="197" t="s">
        <v>5955</v>
      </c>
      <c r="W1366" s="197" t="s">
        <v>70</v>
      </c>
      <c r="X1366" s="197" t="s">
        <v>71</v>
      </c>
      <c r="Y1366" s="949" t="s">
        <v>5993</v>
      </c>
      <c r="Z1366" s="612">
        <v>45312</v>
      </c>
      <c r="AA1366" s="252"/>
      <c r="AB1366" s="282"/>
      <c r="AC1366" s="252"/>
      <c r="AD1366" s="289"/>
      <c r="AE1366" s="494"/>
      <c r="AF1366" s="494"/>
      <c r="AG1366" s="289"/>
      <c r="AH1366" s="289"/>
      <c r="AI1366" s="386"/>
      <c r="AJ1366" s="348" t="s">
        <v>560</v>
      </c>
      <c r="AK1366" s="241">
        <v>4</v>
      </c>
      <c r="AL1366" s="123" t="s">
        <v>497</v>
      </c>
      <c r="AM1366" s="175" t="s">
        <v>492</v>
      </c>
      <c r="AN1366" s="110"/>
      <c r="AO1366" s="110"/>
      <c r="AP1366" s="115"/>
      <c r="AQ1366" s="115"/>
      <c r="AR1366" s="115"/>
      <c r="AS1366" s="115"/>
      <c r="AT1366" s="115"/>
    </row>
    <row r="1367" spans="1:47" ht="39" customHeight="1" x14ac:dyDescent="0.25">
      <c r="A1367" s="1468">
        <v>1366</v>
      </c>
      <c r="B1367" s="117"/>
      <c r="C1367" s="324"/>
      <c r="D1367" s="664"/>
      <c r="E1367" s="664"/>
      <c r="F1367" s="664"/>
      <c r="G1367" s="227"/>
      <c r="H1367" s="228"/>
      <c r="I1367" s="228"/>
      <c r="J1367" s="229"/>
      <c r="K1367" s="227"/>
      <c r="L1367" s="229"/>
      <c r="M1367" s="229"/>
      <c r="N1367" s="229"/>
      <c r="O1367" s="309"/>
      <c r="P1367" s="230" t="s">
        <v>326</v>
      </c>
      <c r="Q1367" s="726"/>
      <c r="R1367" s="1004"/>
      <c r="S1367" s="279"/>
      <c r="T1367" s="232"/>
      <c r="U1367" s="250"/>
      <c r="V1367" s="232"/>
      <c r="W1367" s="232"/>
      <c r="X1367" s="232"/>
      <c r="Y1367" s="232"/>
      <c r="Z1367" s="233"/>
      <c r="AA1367" s="252"/>
      <c r="AB1367" s="235"/>
      <c r="AC1367" s="236"/>
      <c r="AD1367" s="235"/>
      <c r="AE1367" s="494"/>
      <c r="AF1367" s="494"/>
      <c r="AG1367" s="664"/>
      <c r="AH1367" s="238"/>
      <c r="AI1367" s="239"/>
      <c r="AJ1367" s="303"/>
      <c r="AK1367" s="241"/>
      <c r="AL1367" s="122"/>
      <c r="AM1367" s="122"/>
      <c r="AN1367" s="163"/>
      <c r="AO1367" s="114"/>
      <c r="AP1367" s="115"/>
      <c r="AQ1367" s="115"/>
      <c r="AR1367" s="115"/>
      <c r="AS1367" s="115"/>
      <c r="AT1367" s="116"/>
    </row>
    <row r="1368" spans="1:47" ht="39" customHeight="1" x14ac:dyDescent="0.25">
      <c r="A1368" s="1468">
        <v>1367</v>
      </c>
      <c r="B1368" s="128">
        <v>5</v>
      </c>
      <c r="C1368" s="290" t="s">
        <v>288</v>
      </c>
      <c r="D1368" s="344"/>
      <c r="E1368" s="344" t="s">
        <v>47</v>
      </c>
      <c r="F1368" s="344"/>
      <c r="G1368" s="292" t="s">
        <v>289</v>
      </c>
      <c r="H1368" s="346" t="s">
        <v>132</v>
      </c>
      <c r="I1368" s="344">
        <v>144</v>
      </c>
      <c r="J1368" s="256">
        <v>403</v>
      </c>
      <c r="K1368" s="280"/>
      <c r="L1368" s="250" t="s">
        <v>5022</v>
      </c>
      <c r="M1368" s="250" t="s">
        <v>5022</v>
      </c>
      <c r="N1368" s="451"/>
      <c r="O1368" s="216" t="s">
        <v>5425</v>
      </c>
      <c r="P1368" s="305"/>
      <c r="Q1368" s="485" t="s">
        <v>519</v>
      </c>
      <c r="R1368" s="982" t="s">
        <v>5424</v>
      </c>
      <c r="S1368" s="279">
        <v>31330</v>
      </c>
      <c r="T1368" s="280"/>
      <c r="U1368" s="251" t="s">
        <v>54</v>
      </c>
      <c r="V1368" s="250"/>
      <c r="W1368" s="426" t="s">
        <v>56</v>
      </c>
      <c r="X1368" s="197"/>
      <c r="Y1368" s="197"/>
      <c r="Z1368" s="246"/>
      <c r="AA1368" s="252"/>
      <c r="AB1368" s="245"/>
      <c r="AC1368" s="223"/>
      <c r="AD1368" s="245"/>
      <c r="AE1368" s="494"/>
      <c r="AF1368" s="494"/>
      <c r="AG1368" s="241"/>
      <c r="AH1368" s="253"/>
      <c r="AI1368" s="284"/>
      <c r="AJ1368" s="348" t="s">
        <v>560</v>
      </c>
      <c r="AK1368" s="348">
        <v>3</v>
      </c>
      <c r="AL1368" s="123" t="s">
        <v>497</v>
      </c>
      <c r="AM1368" s="175" t="s">
        <v>492</v>
      </c>
      <c r="AN1368" s="138"/>
      <c r="AO1368" s="138"/>
      <c r="AP1368" s="115"/>
      <c r="AQ1368" s="115"/>
      <c r="AR1368" s="115"/>
      <c r="AS1368" s="115"/>
      <c r="AT1368" s="115"/>
    </row>
    <row r="1369" spans="1:47" ht="39" customHeight="1" x14ac:dyDescent="0.25">
      <c r="A1369" s="1468">
        <v>1368</v>
      </c>
      <c r="B1369" s="141">
        <v>3</v>
      </c>
      <c r="C1369" s="356" t="s">
        <v>290</v>
      </c>
      <c r="D1369" s="241" t="s">
        <v>134</v>
      </c>
      <c r="E1369" s="241"/>
      <c r="F1369" s="241"/>
      <c r="G1369" s="261" t="s">
        <v>291</v>
      </c>
      <c r="H1369" s="262" t="s">
        <v>85</v>
      </c>
      <c r="I1369" s="346"/>
      <c r="J1369" s="245" t="s">
        <v>556</v>
      </c>
      <c r="K1369" s="250"/>
      <c r="L1369" s="301" t="s">
        <v>2014</v>
      </c>
      <c r="M1369" s="301" t="s">
        <v>2014</v>
      </c>
      <c r="N1369" s="366"/>
      <c r="O1369" s="1416" t="s">
        <v>3031</v>
      </c>
      <c r="P1369" s="467"/>
      <c r="Q1369" s="594" t="s">
        <v>87</v>
      </c>
      <c r="R1369" s="1267" t="s">
        <v>2240</v>
      </c>
      <c r="S1369" s="279"/>
      <c r="T1369" s="268"/>
      <c r="U1369" s="250"/>
      <c r="V1369" s="366"/>
      <c r="W1369" s="1416"/>
      <c r="X1369" s="1416"/>
      <c r="Y1369" s="197"/>
      <c r="Z1369" s="246"/>
      <c r="AA1369" s="252"/>
      <c r="AB1369" s="197"/>
      <c r="AC1369" s="223" t="s">
        <v>946</v>
      </c>
      <c r="AD1369" s="305"/>
      <c r="AE1369" s="494"/>
      <c r="AF1369" s="494"/>
      <c r="AG1369" s="570"/>
      <c r="AH1369" s="281"/>
      <c r="AI1369" s="296" t="s">
        <v>1351</v>
      </c>
      <c r="AJ1369" s="303" t="s">
        <v>136</v>
      </c>
      <c r="AK1369" s="241">
        <v>4</v>
      </c>
      <c r="AL1369" s="123" t="s">
        <v>497</v>
      </c>
      <c r="AM1369" s="175" t="s">
        <v>492</v>
      </c>
      <c r="AN1369" s="110" t="s">
        <v>4184</v>
      </c>
      <c r="AO1369" s="138"/>
      <c r="AP1369" s="115"/>
      <c r="AQ1369" s="115"/>
      <c r="AR1369" s="115"/>
      <c r="AS1369" s="115"/>
      <c r="AT1369" s="115"/>
    </row>
    <row r="1370" spans="1:47" ht="39" customHeight="1" x14ac:dyDescent="0.25">
      <c r="A1370" s="1468">
        <v>1369</v>
      </c>
      <c r="B1370" s="141">
        <v>3</v>
      </c>
      <c r="C1370" s="358" t="s">
        <v>297</v>
      </c>
      <c r="D1370" s="241" t="s">
        <v>134</v>
      </c>
      <c r="E1370" s="241"/>
      <c r="F1370" s="241"/>
      <c r="G1370" s="261" t="s">
        <v>298</v>
      </c>
      <c r="H1370" s="262" t="s">
        <v>85</v>
      </c>
      <c r="I1370" s="346"/>
      <c r="J1370" s="245" t="s">
        <v>556</v>
      </c>
      <c r="K1370" s="268"/>
      <c r="L1370" s="250" t="s">
        <v>5916</v>
      </c>
      <c r="M1370" s="250" t="s">
        <v>5916</v>
      </c>
      <c r="N1370" s="264"/>
      <c r="O1370" s="250" t="s">
        <v>6018</v>
      </c>
      <c r="P1370" s="266"/>
      <c r="Q1370" s="373" t="s">
        <v>132</v>
      </c>
      <c r="R1370" s="982" t="s">
        <v>6017</v>
      </c>
      <c r="S1370" s="279">
        <v>29015</v>
      </c>
      <c r="T1370" s="414"/>
      <c r="U1370" s="250"/>
      <c r="V1370" s="250"/>
      <c r="W1370" s="197"/>
      <c r="X1370" s="289"/>
      <c r="Y1370" s="949"/>
      <c r="Z1370" s="246"/>
      <c r="AA1370" s="281"/>
      <c r="AB1370" s="288"/>
      <c r="AC1370" s="223"/>
      <c r="AD1370" s="245"/>
      <c r="AE1370" s="494"/>
      <c r="AF1370" s="494"/>
      <c r="AG1370" s="241"/>
      <c r="AH1370" s="253"/>
      <c r="AI1370" s="712"/>
      <c r="AJ1370" s="348" t="s">
        <v>560</v>
      </c>
      <c r="AK1370" s="241">
        <v>4</v>
      </c>
      <c r="AL1370" s="123" t="s">
        <v>497</v>
      </c>
      <c r="AM1370" s="175" t="s">
        <v>492</v>
      </c>
      <c r="AN1370" s="138"/>
      <c r="AO1370" s="138"/>
      <c r="AP1370" s="115"/>
      <c r="AQ1370" s="115"/>
      <c r="AR1370" s="115"/>
      <c r="AS1370" s="115"/>
      <c r="AT1370" s="116"/>
    </row>
    <row r="1371" spans="1:47" ht="39" customHeight="1" x14ac:dyDescent="0.25">
      <c r="A1371" s="1468">
        <v>1370</v>
      </c>
      <c r="B1371" s="141">
        <v>2</v>
      </c>
      <c r="C1371" s="260" t="s">
        <v>311</v>
      </c>
      <c r="D1371" s="241"/>
      <c r="E1371" s="241"/>
      <c r="F1371" s="241"/>
      <c r="G1371" s="261" t="s">
        <v>312</v>
      </c>
      <c r="H1371" s="262" t="s">
        <v>85</v>
      </c>
      <c r="I1371" s="346"/>
      <c r="J1371" s="245" t="s">
        <v>556</v>
      </c>
      <c r="K1371" s="216"/>
      <c r="L1371" s="626" t="s">
        <v>3518</v>
      </c>
      <c r="M1371" s="626" t="s">
        <v>3518</v>
      </c>
      <c r="N1371" s="245"/>
      <c r="O1371" s="216" t="s">
        <v>3368</v>
      </c>
      <c r="P1371" s="247"/>
      <c r="Q1371" s="373" t="s">
        <v>570</v>
      </c>
      <c r="R1371" s="982" t="s">
        <v>3367</v>
      </c>
      <c r="S1371" s="279">
        <v>29785</v>
      </c>
      <c r="T1371" s="289"/>
      <c r="U1371" s="251" t="s">
        <v>54</v>
      </c>
      <c r="V1371" s="1416" t="s">
        <v>5447</v>
      </c>
      <c r="W1371" s="280" t="s">
        <v>56</v>
      </c>
      <c r="X1371" s="280" t="s">
        <v>57</v>
      </c>
      <c r="Y1371" s="949" t="s">
        <v>4631</v>
      </c>
      <c r="Z1371" s="246">
        <v>45270</v>
      </c>
      <c r="AA1371" s="252"/>
      <c r="AB1371" s="245"/>
      <c r="AC1371" s="223"/>
      <c r="AD1371" s="245"/>
      <c r="AE1371" s="494"/>
      <c r="AF1371" s="494"/>
      <c r="AG1371" s="241"/>
      <c r="AH1371" s="253"/>
      <c r="AI1371" s="284"/>
      <c r="AJ1371" s="348" t="s">
        <v>560</v>
      </c>
      <c r="AK1371" s="241">
        <v>4</v>
      </c>
      <c r="AL1371" s="123" t="s">
        <v>497</v>
      </c>
      <c r="AM1371" s="175" t="s">
        <v>492</v>
      </c>
      <c r="AN1371" s="138"/>
      <c r="AO1371" s="138"/>
      <c r="AP1371" s="115"/>
      <c r="AQ1371" s="115"/>
      <c r="AR1371" s="115"/>
      <c r="AS1371" s="115"/>
      <c r="AT1371" s="115"/>
    </row>
    <row r="1372" spans="1:47" ht="39" customHeight="1" x14ac:dyDescent="0.25">
      <c r="A1372" s="1468">
        <v>1371</v>
      </c>
      <c r="B1372" s="141">
        <v>2</v>
      </c>
      <c r="C1372" s="260" t="s">
        <v>317</v>
      </c>
      <c r="D1372" s="241"/>
      <c r="E1372" s="241"/>
      <c r="F1372" s="241"/>
      <c r="G1372" s="261" t="s">
        <v>318</v>
      </c>
      <c r="H1372" s="262" t="s">
        <v>87</v>
      </c>
      <c r="I1372" s="357"/>
      <c r="J1372" s="245" t="s">
        <v>561</v>
      </c>
      <c r="K1372" s="288"/>
      <c r="L1372" s="250" t="s">
        <v>5163</v>
      </c>
      <c r="M1372" s="250" t="s">
        <v>5163</v>
      </c>
      <c r="N1372" s="366"/>
      <c r="O1372" s="1400" t="s">
        <v>5370</v>
      </c>
      <c r="P1372" s="467"/>
      <c r="Q1372" s="1400" t="s">
        <v>87</v>
      </c>
      <c r="R1372" s="1003" t="s">
        <v>5369</v>
      </c>
      <c r="S1372" s="279">
        <v>38370</v>
      </c>
      <c r="T1372" s="250"/>
      <c r="U1372" s="250"/>
      <c r="V1372" s="250"/>
      <c r="W1372" s="197"/>
      <c r="X1372" s="289"/>
      <c r="Y1372" s="949"/>
      <c r="Z1372" s="246"/>
      <c r="AA1372" s="281"/>
      <c r="AB1372" s="288" t="s">
        <v>5383</v>
      </c>
      <c r="AC1372" s="223"/>
      <c r="AD1372" s="245" t="s">
        <v>467</v>
      </c>
      <c r="AE1372" s="494">
        <v>45258</v>
      </c>
      <c r="AF1372" s="494">
        <v>45623</v>
      </c>
      <c r="AG1372" s="241"/>
      <c r="AH1372" s="253"/>
      <c r="AI1372" s="712" t="s">
        <v>4208</v>
      </c>
      <c r="AJ1372" s="303" t="s">
        <v>136</v>
      </c>
      <c r="AK1372" s="241">
        <v>4</v>
      </c>
      <c r="AL1372" s="123" t="s">
        <v>497</v>
      </c>
      <c r="AM1372" s="175" t="s">
        <v>492</v>
      </c>
      <c r="AN1372" s="110"/>
      <c r="AO1372" s="151"/>
      <c r="AP1372" s="115"/>
      <c r="AQ1372" s="115"/>
      <c r="AR1372" s="115"/>
      <c r="AS1372" s="115"/>
      <c r="AT1372" s="115"/>
    </row>
    <row r="1373" spans="1:47" ht="39" customHeight="1" x14ac:dyDescent="0.25">
      <c r="A1373" s="1468">
        <v>1372</v>
      </c>
      <c r="B1373" s="146">
        <v>2</v>
      </c>
      <c r="C1373" s="260" t="s">
        <v>319</v>
      </c>
      <c r="D1373" s="241"/>
      <c r="E1373" s="241"/>
      <c r="F1373" s="241"/>
      <c r="G1373" s="261" t="s">
        <v>320</v>
      </c>
      <c r="H1373" s="262" t="s">
        <v>87</v>
      </c>
      <c r="I1373" s="364"/>
      <c r="J1373" s="245" t="s">
        <v>561</v>
      </c>
      <c r="K1373" s="684"/>
      <c r="L1373" s="282" t="s">
        <v>2800</v>
      </c>
      <c r="M1373" s="282" t="s">
        <v>2800</v>
      </c>
      <c r="N1373" s="684"/>
      <c r="O1373" s="216" t="s">
        <v>3392</v>
      </c>
      <c r="P1373" s="247"/>
      <c r="Q1373" s="373" t="s">
        <v>87</v>
      </c>
      <c r="R1373" s="982" t="s">
        <v>3391</v>
      </c>
      <c r="S1373" s="279">
        <v>34557</v>
      </c>
      <c r="T1373" s="684"/>
      <c r="U1373" s="250" t="s">
        <v>391</v>
      </c>
      <c r="V1373" s="250" t="s">
        <v>6163</v>
      </c>
      <c r="W1373" s="197" t="s">
        <v>3475</v>
      </c>
      <c r="X1373" s="197" t="s">
        <v>559</v>
      </c>
      <c r="Y1373" s="949" t="s">
        <v>6201</v>
      </c>
      <c r="Z1373" s="246">
        <v>45324</v>
      </c>
      <c r="AA1373" s="252"/>
      <c r="AB1373" s="1290"/>
      <c r="AC1373" s="684"/>
      <c r="AD1373" s="686"/>
      <c r="AE1373" s="494"/>
      <c r="AF1373" s="494"/>
      <c r="AG1373" s="684"/>
      <c r="AH1373" s="684"/>
      <c r="AI1373" s="685"/>
      <c r="AJ1373" s="348" t="s">
        <v>560</v>
      </c>
      <c r="AK1373" s="241">
        <v>4</v>
      </c>
      <c r="AL1373" s="123" t="s">
        <v>497</v>
      </c>
      <c r="AM1373" s="175" t="s">
        <v>492</v>
      </c>
      <c r="AN1373" s="110"/>
      <c r="AO1373" s="151"/>
      <c r="AP1373" s="115"/>
      <c r="AQ1373" s="115"/>
      <c r="AR1373" s="115"/>
      <c r="AS1373" s="115"/>
      <c r="AT1373" s="116"/>
    </row>
    <row r="1374" spans="1:47" ht="39" customHeight="1" x14ac:dyDescent="0.25">
      <c r="A1374" s="1468">
        <v>1373</v>
      </c>
      <c r="B1374" s="141">
        <v>2</v>
      </c>
      <c r="C1374" s="378" t="s">
        <v>321</v>
      </c>
      <c r="D1374" s="303"/>
      <c r="E1374" s="241"/>
      <c r="F1374" s="241"/>
      <c r="G1374" s="261" t="s">
        <v>322</v>
      </c>
      <c r="H1374" s="262" t="s">
        <v>87</v>
      </c>
      <c r="I1374" s="357"/>
      <c r="J1374" s="245" t="s">
        <v>561</v>
      </c>
      <c r="K1374" s="250"/>
      <c r="L1374" s="282" t="s">
        <v>5916</v>
      </c>
      <c r="M1374" s="282" t="s">
        <v>5916</v>
      </c>
      <c r="N1374" s="684"/>
      <c r="O1374" s="216" t="s">
        <v>5980</v>
      </c>
      <c r="P1374" s="247"/>
      <c r="Q1374" s="373" t="s">
        <v>567</v>
      </c>
      <c r="R1374" s="982" t="s">
        <v>5979</v>
      </c>
      <c r="S1374" s="279">
        <v>33026</v>
      </c>
      <c r="T1374" s="684"/>
      <c r="U1374" s="251" t="s">
        <v>886</v>
      </c>
      <c r="V1374" s="250" t="s">
        <v>6111</v>
      </c>
      <c r="W1374" s="197" t="s">
        <v>886</v>
      </c>
      <c r="X1374" s="197" t="s">
        <v>886</v>
      </c>
      <c r="Y1374" s="197"/>
      <c r="Z1374" s="246">
        <v>45320</v>
      </c>
      <c r="AA1374" s="252"/>
      <c r="AB1374" s="361"/>
      <c r="AC1374" s="223"/>
      <c r="AD1374" s="376"/>
      <c r="AE1374" s="494"/>
      <c r="AF1374" s="494"/>
      <c r="AG1374" s="241"/>
      <c r="AH1374" s="283"/>
      <c r="AI1374" s="254"/>
      <c r="AJ1374" s="348" t="s">
        <v>560</v>
      </c>
      <c r="AK1374" s="241">
        <v>4</v>
      </c>
      <c r="AL1374" s="123" t="s">
        <v>497</v>
      </c>
      <c r="AM1374" s="175" t="s">
        <v>492</v>
      </c>
      <c r="AN1374" s="151"/>
      <c r="AO1374" s="151"/>
      <c r="AP1374" s="115"/>
      <c r="AQ1374" s="115"/>
      <c r="AR1374" s="115"/>
      <c r="AS1374" s="115"/>
      <c r="AT1374" s="115"/>
    </row>
    <row r="1375" spans="1:47" ht="39" customHeight="1" x14ac:dyDescent="0.25">
      <c r="A1375" s="1468">
        <v>1374</v>
      </c>
      <c r="B1375" s="141">
        <v>1</v>
      </c>
      <c r="C1375" s="378" t="s">
        <v>323</v>
      </c>
      <c r="D1375" s="303"/>
      <c r="E1375" s="241"/>
      <c r="F1375" s="241"/>
      <c r="G1375" s="261" t="s">
        <v>324</v>
      </c>
      <c r="H1375" s="262" t="s">
        <v>87</v>
      </c>
      <c r="I1375" s="364"/>
      <c r="J1375" s="245" t="s">
        <v>561</v>
      </c>
      <c r="K1375" s="268"/>
      <c r="L1375" s="250" t="s">
        <v>5022</v>
      </c>
      <c r="M1375" s="250" t="s">
        <v>5022</v>
      </c>
      <c r="N1375" s="264"/>
      <c r="O1375" s="1407" t="s">
        <v>5423</v>
      </c>
      <c r="P1375" s="402"/>
      <c r="Q1375" s="373" t="s">
        <v>87</v>
      </c>
      <c r="R1375" s="982" t="s">
        <v>5422</v>
      </c>
      <c r="S1375" s="279">
        <v>29905</v>
      </c>
      <c r="T1375" s="414"/>
      <c r="U1375" s="251" t="s">
        <v>54</v>
      </c>
      <c r="V1375" s="250"/>
      <c r="W1375" s="1425" t="s">
        <v>56</v>
      </c>
      <c r="X1375" s="289"/>
      <c r="Y1375" s="949"/>
      <c r="Z1375" s="246">
        <v>45230</v>
      </c>
      <c r="AA1375" s="281"/>
      <c r="AB1375" s="288"/>
      <c r="AC1375" s="223"/>
      <c r="AD1375" s="245"/>
      <c r="AE1375" s="494"/>
      <c r="AF1375" s="494"/>
      <c r="AG1375" s="241"/>
      <c r="AH1375" s="253"/>
      <c r="AI1375" s="712"/>
      <c r="AJ1375" s="348" t="s">
        <v>560</v>
      </c>
      <c r="AK1375" s="241">
        <v>4</v>
      </c>
      <c r="AL1375" s="123" t="s">
        <v>497</v>
      </c>
      <c r="AM1375" s="175" t="s">
        <v>492</v>
      </c>
      <c r="AN1375" s="167"/>
      <c r="AO1375" s="151"/>
      <c r="AP1375" s="115"/>
      <c r="AQ1375" s="115"/>
      <c r="AR1375" s="115"/>
      <c r="AS1375" s="115"/>
      <c r="AT1375" s="115"/>
    </row>
    <row r="1376" spans="1:47" ht="39" customHeight="1" x14ac:dyDescent="0.25">
      <c r="A1376" s="1468">
        <v>1375</v>
      </c>
      <c r="B1376" s="117">
        <v>1</v>
      </c>
      <c r="C1376" s="260" t="s">
        <v>325</v>
      </c>
      <c r="D1376" s="241"/>
      <c r="E1376" s="241"/>
      <c r="F1376" s="241"/>
      <c r="G1376" s="261" t="s">
        <v>324</v>
      </c>
      <c r="H1376" s="262" t="s">
        <v>87</v>
      </c>
      <c r="I1376" s="357"/>
      <c r="J1376" s="245" t="s">
        <v>561</v>
      </c>
      <c r="K1376" s="265"/>
      <c r="L1376" s="250" t="s">
        <v>5163</v>
      </c>
      <c r="M1376" s="250" t="s">
        <v>5163</v>
      </c>
      <c r="N1376" s="264"/>
      <c r="O1376" s="1400" t="s">
        <v>5374</v>
      </c>
      <c r="P1376" s="247"/>
      <c r="Q1376" s="1400" t="s">
        <v>87</v>
      </c>
      <c r="R1376" s="1003" t="s">
        <v>5372</v>
      </c>
      <c r="S1376" s="279">
        <v>38370</v>
      </c>
      <c r="T1376" s="440"/>
      <c r="U1376" s="250"/>
      <c r="V1376" s="250"/>
      <c r="W1376" s="197"/>
      <c r="X1376" s="289"/>
      <c r="Y1376" s="949"/>
      <c r="Z1376" s="246"/>
      <c r="AA1376" s="281"/>
      <c r="AB1376" s="288" t="s">
        <v>5383</v>
      </c>
      <c r="AC1376" s="223"/>
      <c r="AD1376" s="245" t="s">
        <v>467</v>
      </c>
      <c r="AE1376" s="494">
        <v>45258</v>
      </c>
      <c r="AF1376" s="494">
        <v>45623</v>
      </c>
      <c r="AG1376" s="241"/>
      <c r="AH1376" s="253"/>
      <c r="AI1376" s="712" t="s">
        <v>4208</v>
      </c>
      <c r="AJ1376" s="303" t="s">
        <v>136</v>
      </c>
      <c r="AK1376" s="241">
        <v>4</v>
      </c>
      <c r="AL1376" s="123" t="s">
        <v>497</v>
      </c>
      <c r="AM1376" s="175" t="s">
        <v>492</v>
      </c>
      <c r="AN1376" s="151"/>
      <c r="AO1376" s="151"/>
      <c r="AP1376" s="115"/>
      <c r="AQ1376" s="115"/>
      <c r="AR1376" s="115"/>
      <c r="AS1376" s="115"/>
      <c r="AT1376" s="115"/>
    </row>
    <row r="1377" spans="1:46" ht="39" customHeight="1" x14ac:dyDescent="0.25">
      <c r="A1377" s="1468">
        <v>1376</v>
      </c>
      <c r="B1377" s="117"/>
      <c r="C1377" s="324"/>
      <c r="D1377" s="664"/>
      <c r="E1377" s="664"/>
      <c r="F1377" s="664"/>
      <c r="G1377" s="227"/>
      <c r="H1377" s="228"/>
      <c r="I1377" s="228"/>
      <c r="J1377" s="229"/>
      <c r="K1377" s="227"/>
      <c r="L1377" s="229"/>
      <c r="M1377" s="229"/>
      <c r="N1377" s="229"/>
      <c r="O1377" s="309"/>
      <c r="P1377" s="230" t="s">
        <v>327</v>
      </c>
      <c r="Q1377" s="726"/>
      <c r="R1377" s="1004"/>
      <c r="S1377" s="279"/>
      <c r="T1377" s="232"/>
      <c r="U1377" s="250"/>
      <c r="V1377" s="232"/>
      <c r="W1377" s="232"/>
      <c r="X1377" s="232"/>
      <c r="Y1377" s="232"/>
      <c r="Z1377" s="233"/>
      <c r="AA1377" s="252"/>
      <c r="AB1377" s="235"/>
      <c r="AC1377" s="236"/>
      <c r="AD1377" s="235"/>
      <c r="AE1377" s="494"/>
      <c r="AF1377" s="494"/>
      <c r="AG1377" s="664"/>
      <c r="AH1377" s="238"/>
      <c r="AI1377" s="239"/>
      <c r="AJ1377" s="303"/>
      <c r="AK1377" s="241"/>
      <c r="AL1377" s="122"/>
      <c r="AM1377" s="122"/>
      <c r="AN1377" s="163"/>
      <c r="AO1377" s="114"/>
      <c r="AP1377" s="115"/>
      <c r="AQ1377" s="115"/>
      <c r="AR1377" s="115"/>
      <c r="AS1377" s="115"/>
      <c r="AT1377" s="116"/>
    </row>
    <row r="1378" spans="1:46" ht="39" customHeight="1" x14ac:dyDescent="0.25">
      <c r="A1378" s="1468">
        <v>1377</v>
      </c>
      <c r="B1378" s="128">
        <v>5</v>
      </c>
      <c r="C1378" s="290" t="s">
        <v>288</v>
      </c>
      <c r="D1378" s="344"/>
      <c r="E1378" s="344" t="s">
        <v>47</v>
      </c>
      <c r="F1378" s="344"/>
      <c r="G1378" s="292" t="s">
        <v>289</v>
      </c>
      <c r="H1378" s="346" t="s">
        <v>132</v>
      </c>
      <c r="I1378" s="344">
        <v>144</v>
      </c>
      <c r="J1378" s="256">
        <v>403</v>
      </c>
      <c r="K1378" s="280"/>
      <c r="L1378" s="281" t="s">
        <v>5916</v>
      </c>
      <c r="M1378" s="281" t="s">
        <v>5916</v>
      </c>
      <c r="N1378" s="216"/>
      <c r="O1378" s="216" t="s">
        <v>5982</v>
      </c>
      <c r="P1378" s="247"/>
      <c r="Q1378" s="373" t="s">
        <v>132</v>
      </c>
      <c r="R1378" s="982" t="s">
        <v>5981</v>
      </c>
      <c r="S1378" s="279">
        <v>34029</v>
      </c>
      <c r="T1378" s="250"/>
      <c r="U1378" s="251" t="s">
        <v>54</v>
      </c>
      <c r="V1378" s="250"/>
      <c r="W1378" s="1518" t="s">
        <v>56</v>
      </c>
      <c r="X1378" s="197"/>
      <c r="Y1378" s="197"/>
      <c r="Z1378" s="246"/>
      <c r="AA1378" s="252"/>
      <c r="AB1378" s="245"/>
      <c r="AC1378" s="223"/>
      <c r="AD1378" s="245"/>
      <c r="AE1378" s="494"/>
      <c r="AF1378" s="494"/>
      <c r="AG1378" s="241"/>
      <c r="AH1378" s="253"/>
      <c r="AI1378" s="284"/>
      <c r="AJ1378" s="348" t="s">
        <v>560</v>
      </c>
      <c r="AK1378" s="348">
        <v>3</v>
      </c>
      <c r="AL1378" s="123" t="s">
        <v>497</v>
      </c>
      <c r="AM1378" s="175" t="s">
        <v>492</v>
      </c>
      <c r="AN1378" s="138"/>
      <c r="AO1378" s="138"/>
      <c r="AP1378" s="115"/>
      <c r="AQ1378" s="115"/>
      <c r="AR1378" s="115"/>
      <c r="AS1378" s="115"/>
      <c r="AT1378" s="115"/>
    </row>
    <row r="1379" spans="1:46" ht="39" customHeight="1" x14ac:dyDescent="0.25">
      <c r="A1379" s="1468">
        <v>1378</v>
      </c>
      <c r="B1379" s="141">
        <v>3</v>
      </c>
      <c r="C1379" s="356" t="s">
        <v>290</v>
      </c>
      <c r="D1379" s="241" t="s">
        <v>134</v>
      </c>
      <c r="E1379" s="241"/>
      <c r="F1379" s="241"/>
      <c r="G1379" s="261" t="s">
        <v>291</v>
      </c>
      <c r="H1379" s="262" t="s">
        <v>85</v>
      </c>
      <c r="I1379" s="346"/>
      <c r="J1379" s="245" t="s">
        <v>556</v>
      </c>
      <c r="K1379" s="257"/>
      <c r="L1379" s="299"/>
      <c r="M1379" s="299"/>
      <c r="N1379" s="299"/>
      <c r="O1379" s="216" t="s">
        <v>3499</v>
      </c>
      <c r="P1379" s="247" t="s">
        <v>1828</v>
      </c>
      <c r="Q1379" s="373" t="s">
        <v>293</v>
      </c>
      <c r="R1379" s="982" t="s">
        <v>3498</v>
      </c>
      <c r="S1379" s="279">
        <v>31584</v>
      </c>
      <c r="T1379" s="289"/>
      <c r="U1379" s="251" t="s">
        <v>54</v>
      </c>
      <c r="V1379" s="197" t="s">
        <v>5512</v>
      </c>
      <c r="W1379" s="250" t="s">
        <v>56</v>
      </c>
      <c r="X1379" s="197" t="s">
        <v>57</v>
      </c>
      <c r="Y1379" s="197" t="s">
        <v>5726</v>
      </c>
      <c r="Z1379" s="246">
        <v>45272</v>
      </c>
      <c r="AA1379" s="252"/>
      <c r="AB1379" s="299"/>
      <c r="AC1379" s="223"/>
      <c r="AD1379" s="299"/>
      <c r="AE1379" s="494"/>
      <c r="AF1379" s="494"/>
      <c r="AG1379" s="299"/>
      <c r="AH1379" s="299"/>
      <c r="AI1379" s="223"/>
      <c r="AJ1379" s="348" t="s">
        <v>560</v>
      </c>
      <c r="AK1379" s="241">
        <v>4</v>
      </c>
      <c r="AL1379" s="123" t="s">
        <v>497</v>
      </c>
      <c r="AM1379" s="175" t="s">
        <v>492</v>
      </c>
      <c r="AN1379" s="110" t="s">
        <v>4184</v>
      </c>
      <c r="AO1379" s="138"/>
      <c r="AP1379" s="115"/>
      <c r="AQ1379" s="115"/>
      <c r="AR1379" s="115"/>
      <c r="AS1379" s="115"/>
      <c r="AT1379" s="115"/>
    </row>
    <row r="1380" spans="1:46" ht="39" customHeight="1" x14ac:dyDescent="0.25">
      <c r="A1380" s="1468">
        <v>1379</v>
      </c>
      <c r="B1380" s="141">
        <v>3</v>
      </c>
      <c r="C1380" s="358" t="s">
        <v>297</v>
      </c>
      <c r="D1380" s="241" t="s">
        <v>134</v>
      </c>
      <c r="E1380" s="241"/>
      <c r="F1380" s="241"/>
      <c r="G1380" s="261" t="s">
        <v>298</v>
      </c>
      <c r="H1380" s="262" t="s">
        <v>85</v>
      </c>
      <c r="I1380" s="346"/>
      <c r="J1380" s="245" t="s">
        <v>556</v>
      </c>
      <c r="K1380" s="216"/>
      <c r="L1380" s="281"/>
      <c r="M1380" s="281"/>
      <c r="N1380" s="216"/>
      <c r="O1380" s="216" t="s">
        <v>3388</v>
      </c>
      <c r="P1380" s="247"/>
      <c r="Q1380" s="373" t="s">
        <v>570</v>
      </c>
      <c r="R1380" s="982" t="s">
        <v>3387</v>
      </c>
      <c r="S1380" s="279">
        <v>36923</v>
      </c>
      <c r="T1380" s="250"/>
      <c r="U1380" s="251" t="s">
        <v>886</v>
      </c>
      <c r="V1380" s="250" t="s">
        <v>6113</v>
      </c>
      <c r="W1380" s="979" t="s">
        <v>886</v>
      </c>
      <c r="X1380" s="197" t="s">
        <v>886</v>
      </c>
      <c r="Y1380" s="197"/>
      <c r="Z1380" s="246">
        <v>45320</v>
      </c>
      <c r="AA1380" s="252"/>
      <c r="AB1380" s="282"/>
      <c r="AC1380" s="223"/>
      <c r="AD1380" s="282"/>
      <c r="AE1380" s="494"/>
      <c r="AF1380" s="494"/>
      <c r="AG1380" s="241"/>
      <c r="AH1380" s="283"/>
      <c r="AI1380" s="322"/>
      <c r="AJ1380" s="348" t="s">
        <v>560</v>
      </c>
      <c r="AK1380" s="241">
        <v>4</v>
      </c>
      <c r="AL1380" s="123" t="s">
        <v>497</v>
      </c>
      <c r="AM1380" s="175" t="s">
        <v>492</v>
      </c>
      <c r="AN1380" s="138"/>
      <c r="AO1380" s="138"/>
      <c r="AP1380" s="115"/>
      <c r="AQ1380" s="115"/>
      <c r="AR1380" s="115"/>
      <c r="AS1380" s="115"/>
      <c r="AT1380" s="116"/>
    </row>
    <row r="1381" spans="1:46" ht="39" customHeight="1" x14ac:dyDescent="0.25">
      <c r="A1381" s="1468">
        <v>1380</v>
      </c>
      <c r="B1381" s="141">
        <v>2</v>
      </c>
      <c r="C1381" s="260" t="s">
        <v>311</v>
      </c>
      <c r="D1381" s="241"/>
      <c r="E1381" s="241"/>
      <c r="F1381" s="241"/>
      <c r="G1381" s="261" t="s">
        <v>312</v>
      </c>
      <c r="H1381" s="262" t="s">
        <v>85</v>
      </c>
      <c r="I1381" s="346"/>
      <c r="J1381" s="245" t="s">
        <v>556</v>
      </c>
      <c r="K1381" s="216"/>
      <c r="L1381" s="281" t="s">
        <v>1898</v>
      </c>
      <c r="M1381" s="281" t="s">
        <v>1898</v>
      </c>
      <c r="N1381" s="256"/>
      <c r="O1381" s="950" t="s">
        <v>1899</v>
      </c>
      <c r="P1381" s="247" t="s">
        <v>1828</v>
      </c>
      <c r="Q1381" s="373" t="s">
        <v>293</v>
      </c>
      <c r="R1381" s="982" t="s">
        <v>1897</v>
      </c>
      <c r="S1381" s="279">
        <v>31115</v>
      </c>
      <c r="T1381" s="197"/>
      <c r="U1381" s="197"/>
      <c r="V1381" s="197"/>
      <c r="W1381" s="250"/>
      <c r="X1381" s="197"/>
      <c r="Y1381" s="949"/>
      <c r="Z1381" s="289"/>
      <c r="AA1381" s="252"/>
      <c r="AB1381" s="299"/>
      <c r="AC1381" s="223"/>
      <c r="AD1381" s="299"/>
      <c r="AE1381" s="494"/>
      <c r="AF1381" s="494"/>
      <c r="AG1381" s="299"/>
      <c r="AH1381" s="299"/>
      <c r="AI1381" s="296"/>
      <c r="AJ1381" s="348" t="s">
        <v>560</v>
      </c>
      <c r="AK1381" s="241">
        <v>4</v>
      </c>
      <c r="AL1381" s="123" t="s">
        <v>497</v>
      </c>
      <c r="AM1381" s="175" t="s">
        <v>492</v>
      </c>
      <c r="AN1381" s="138"/>
      <c r="AO1381" s="138"/>
      <c r="AP1381" s="115"/>
      <c r="AQ1381" s="115"/>
      <c r="AR1381" s="115"/>
      <c r="AS1381" s="115"/>
      <c r="AT1381" s="115"/>
    </row>
    <row r="1382" spans="1:46" ht="39" customHeight="1" x14ac:dyDescent="0.25">
      <c r="A1382" s="1468">
        <v>1381</v>
      </c>
      <c r="B1382" s="141">
        <v>2</v>
      </c>
      <c r="C1382" s="260" t="s">
        <v>317</v>
      </c>
      <c r="D1382" s="241"/>
      <c r="E1382" s="241"/>
      <c r="F1382" s="241"/>
      <c r="G1382" s="261" t="s">
        <v>318</v>
      </c>
      <c r="H1382" s="262" t="s">
        <v>87</v>
      </c>
      <c r="I1382" s="357"/>
      <c r="J1382" s="245" t="s">
        <v>561</v>
      </c>
      <c r="K1382" s="216"/>
      <c r="L1382" s="250" t="s">
        <v>5022</v>
      </c>
      <c r="M1382" s="250" t="s">
        <v>5022</v>
      </c>
      <c r="N1382" s="366"/>
      <c r="O1382" s="950" t="s">
        <v>5431</v>
      </c>
      <c r="P1382" s="247"/>
      <c r="Q1382" s="373" t="s">
        <v>87</v>
      </c>
      <c r="R1382" s="982" t="s">
        <v>5430</v>
      </c>
      <c r="S1382" s="279">
        <v>27757</v>
      </c>
      <c r="T1382" s="306"/>
      <c r="U1382" s="251" t="s">
        <v>886</v>
      </c>
      <c r="V1382" s="197" t="s">
        <v>6104</v>
      </c>
      <c r="W1382" s="250" t="s">
        <v>886</v>
      </c>
      <c r="X1382" s="306" t="s">
        <v>886</v>
      </c>
      <c r="Y1382" s="197"/>
      <c r="Z1382" s="246">
        <v>45317</v>
      </c>
      <c r="AA1382" s="252"/>
      <c r="AB1382" s="301"/>
      <c r="AC1382" s="223"/>
      <c r="AD1382" s="301"/>
      <c r="AE1382" s="494"/>
      <c r="AF1382" s="494"/>
      <c r="AG1382" s="301"/>
      <c r="AH1382" s="301"/>
      <c r="AI1382" s="386"/>
      <c r="AJ1382" s="348" t="s">
        <v>560</v>
      </c>
      <c r="AK1382" s="241">
        <v>4</v>
      </c>
      <c r="AL1382" s="123" t="s">
        <v>497</v>
      </c>
      <c r="AM1382" s="175" t="s">
        <v>492</v>
      </c>
      <c r="AN1382" s="110"/>
      <c r="AO1382" s="151"/>
      <c r="AP1382" s="115"/>
      <c r="AQ1382" s="115"/>
      <c r="AR1382" s="115"/>
      <c r="AS1382" s="115"/>
      <c r="AT1382" s="115"/>
    </row>
    <row r="1383" spans="1:46" ht="39" customHeight="1" x14ac:dyDescent="0.25">
      <c r="A1383" s="1468">
        <v>1382</v>
      </c>
      <c r="B1383" s="146">
        <v>2</v>
      </c>
      <c r="C1383" s="260" t="s">
        <v>319</v>
      </c>
      <c r="D1383" s="241"/>
      <c r="E1383" s="241"/>
      <c r="F1383" s="241"/>
      <c r="G1383" s="261" t="s">
        <v>320</v>
      </c>
      <c r="H1383" s="262" t="s">
        <v>87</v>
      </c>
      <c r="I1383" s="357"/>
      <c r="J1383" s="245" t="s">
        <v>561</v>
      </c>
      <c r="K1383" s="216"/>
      <c r="L1383" s="299"/>
      <c r="M1383" s="299"/>
      <c r="N1383" s="245"/>
      <c r="O1383" s="216" t="s">
        <v>3376</v>
      </c>
      <c r="P1383" s="247"/>
      <c r="Q1383" s="373" t="s">
        <v>293</v>
      </c>
      <c r="R1383" s="982" t="s">
        <v>3375</v>
      </c>
      <c r="S1383" s="279">
        <v>35650</v>
      </c>
      <c r="T1383" s="289"/>
      <c r="U1383" s="197"/>
      <c r="V1383" s="250"/>
      <c r="W1383" s="197"/>
      <c r="X1383" s="197"/>
      <c r="Y1383" s="981"/>
      <c r="Z1383" s="246"/>
      <c r="AA1383" s="252"/>
      <c r="AB1383" s="245"/>
      <c r="AC1383" s="223"/>
      <c r="AD1383" s="245"/>
      <c r="AE1383" s="494"/>
      <c r="AF1383" s="494"/>
      <c r="AG1383" s="241"/>
      <c r="AH1383" s="253"/>
      <c r="AI1383" s="284"/>
      <c r="AJ1383" s="348" t="s">
        <v>560</v>
      </c>
      <c r="AK1383" s="241">
        <v>4</v>
      </c>
      <c r="AL1383" s="123" t="s">
        <v>497</v>
      </c>
      <c r="AM1383" s="175" t="s">
        <v>492</v>
      </c>
      <c r="AN1383" s="110"/>
      <c r="AO1383" s="110"/>
      <c r="AP1383" s="115"/>
      <c r="AQ1383" s="115"/>
      <c r="AR1383" s="115"/>
      <c r="AS1383" s="115"/>
      <c r="AT1383" s="116"/>
    </row>
    <row r="1384" spans="1:46" ht="39" customHeight="1" x14ac:dyDescent="0.25">
      <c r="A1384" s="1468">
        <v>1383</v>
      </c>
      <c r="B1384" s="141">
        <v>2</v>
      </c>
      <c r="C1384" s="378" t="s">
        <v>321</v>
      </c>
      <c r="D1384" s="303"/>
      <c r="E1384" s="241"/>
      <c r="F1384" s="241"/>
      <c r="G1384" s="261" t="s">
        <v>322</v>
      </c>
      <c r="H1384" s="262" t="s">
        <v>87</v>
      </c>
      <c r="I1384" s="357"/>
      <c r="J1384" s="245" t="s">
        <v>561</v>
      </c>
      <c r="K1384" s="305"/>
      <c r="L1384" s="299"/>
      <c r="M1384" s="299"/>
      <c r="N1384" s="245"/>
      <c r="O1384" s="216" t="s">
        <v>3374</v>
      </c>
      <c r="P1384" s="247"/>
      <c r="Q1384" s="373" t="s">
        <v>293</v>
      </c>
      <c r="R1384" s="982" t="s">
        <v>3373</v>
      </c>
      <c r="S1384" s="279">
        <v>36048</v>
      </c>
      <c r="T1384" s="289"/>
      <c r="U1384" s="251" t="s">
        <v>391</v>
      </c>
      <c r="V1384" s="250" t="s">
        <v>6193</v>
      </c>
      <c r="W1384" s="981" t="s">
        <v>3475</v>
      </c>
      <c r="X1384" s="197" t="s">
        <v>559</v>
      </c>
      <c r="Y1384" s="197" t="s">
        <v>6196</v>
      </c>
      <c r="Z1384" s="246">
        <v>45324</v>
      </c>
      <c r="AA1384" s="252"/>
      <c r="AB1384" s="245"/>
      <c r="AC1384" s="223"/>
      <c r="AD1384" s="245"/>
      <c r="AE1384" s="494"/>
      <c r="AF1384" s="494"/>
      <c r="AG1384" s="241"/>
      <c r="AH1384" s="253"/>
      <c r="AI1384" s="284"/>
      <c r="AJ1384" s="348" t="s">
        <v>560</v>
      </c>
      <c r="AK1384" s="241">
        <v>4</v>
      </c>
      <c r="AL1384" s="123" t="s">
        <v>497</v>
      </c>
      <c r="AM1384" s="175" t="s">
        <v>492</v>
      </c>
      <c r="AN1384" s="151"/>
      <c r="AO1384" s="151"/>
      <c r="AP1384" s="115"/>
      <c r="AQ1384" s="115"/>
      <c r="AR1384" s="115"/>
      <c r="AS1384" s="115"/>
      <c r="AT1384" s="115"/>
    </row>
    <row r="1385" spans="1:46" ht="39" customHeight="1" x14ac:dyDescent="0.25">
      <c r="A1385" s="1468">
        <v>1384</v>
      </c>
      <c r="B1385" s="141">
        <v>1</v>
      </c>
      <c r="C1385" s="378" t="s">
        <v>323</v>
      </c>
      <c r="D1385" s="303"/>
      <c r="E1385" s="241"/>
      <c r="F1385" s="241"/>
      <c r="G1385" s="261" t="s">
        <v>324</v>
      </c>
      <c r="H1385" s="262" t="s">
        <v>87</v>
      </c>
      <c r="I1385" s="357"/>
      <c r="J1385" s="245" t="s">
        <v>561</v>
      </c>
      <c r="K1385" s="257"/>
      <c r="L1385" s="299" t="s">
        <v>3906</v>
      </c>
      <c r="M1385" s="299" t="s">
        <v>3906</v>
      </c>
      <c r="N1385" s="245"/>
      <c r="O1385" s="216" t="s">
        <v>3910</v>
      </c>
      <c r="P1385" s="247" t="s">
        <v>1828</v>
      </c>
      <c r="Q1385" s="373" t="s">
        <v>293</v>
      </c>
      <c r="R1385" s="982" t="s">
        <v>3909</v>
      </c>
      <c r="S1385" s="279">
        <v>24799</v>
      </c>
      <c r="T1385" s="289"/>
      <c r="U1385" s="251" t="s">
        <v>54</v>
      </c>
      <c r="V1385" s="197" t="s">
        <v>5512</v>
      </c>
      <c r="W1385" s="250" t="s">
        <v>56</v>
      </c>
      <c r="X1385" s="197" t="s">
        <v>57</v>
      </c>
      <c r="Y1385" s="197" t="s">
        <v>5726</v>
      </c>
      <c r="Z1385" s="246">
        <v>45272</v>
      </c>
      <c r="AA1385" s="252"/>
      <c r="AB1385" s="245"/>
      <c r="AC1385" s="223"/>
      <c r="AD1385" s="245"/>
      <c r="AE1385" s="494"/>
      <c r="AF1385" s="494"/>
      <c r="AG1385" s="241"/>
      <c r="AH1385" s="253"/>
      <c r="AI1385" s="284"/>
      <c r="AJ1385" s="348" t="s">
        <v>560</v>
      </c>
      <c r="AK1385" s="241">
        <v>4</v>
      </c>
      <c r="AL1385" s="123" t="s">
        <v>497</v>
      </c>
      <c r="AM1385" s="175" t="s">
        <v>492</v>
      </c>
      <c r="AN1385" s="167"/>
      <c r="AO1385" s="151"/>
      <c r="AP1385" s="115"/>
      <c r="AQ1385" s="115"/>
      <c r="AR1385" s="115"/>
      <c r="AS1385" s="115"/>
      <c r="AT1385" s="115"/>
    </row>
    <row r="1386" spans="1:46" ht="39" customHeight="1" x14ac:dyDescent="0.25">
      <c r="A1386" s="1468">
        <v>1385</v>
      </c>
      <c r="B1386" s="161">
        <v>1</v>
      </c>
      <c r="C1386" s="503" t="s">
        <v>325</v>
      </c>
      <c r="D1386" s="471"/>
      <c r="E1386" s="471"/>
      <c r="F1386" s="471"/>
      <c r="G1386" s="472" t="s">
        <v>324</v>
      </c>
      <c r="H1386" s="262" t="s">
        <v>87</v>
      </c>
      <c r="I1386" s="492"/>
      <c r="J1386" s="245" t="s">
        <v>561</v>
      </c>
      <c r="K1386" s="197"/>
      <c r="L1386" s="250" t="s">
        <v>5163</v>
      </c>
      <c r="M1386" s="250" t="s">
        <v>5163</v>
      </c>
      <c r="N1386" s="245"/>
      <c r="O1386" s="1407" t="s">
        <v>5368</v>
      </c>
      <c r="P1386" s="247"/>
      <c r="Q1386" s="1407" t="s">
        <v>87</v>
      </c>
      <c r="R1386" s="1003" t="s">
        <v>5367</v>
      </c>
      <c r="S1386" s="279">
        <v>36696</v>
      </c>
      <c r="T1386" s="250"/>
      <c r="U1386" s="250"/>
      <c r="V1386" s="250"/>
      <c r="W1386" s="197"/>
      <c r="X1386" s="289"/>
      <c r="Y1386" s="949"/>
      <c r="Z1386" s="246"/>
      <c r="AA1386" s="281"/>
      <c r="AB1386" s="288" t="s">
        <v>5383</v>
      </c>
      <c r="AC1386" s="223"/>
      <c r="AD1386" s="245" t="s">
        <v>467</v>
      </c>
      <c r="AE1386" s="494">
        <v>45258</v>
      </c>
      <c r="AF1386" s="494">
        <v>45623</v>
      </c>
      <c r="AG1386" s="241"/>
      <c r="AH1386" s="253"/>
      <c r="AI1386" s="712" t="s">
        <v>4208</v>
      </c>
      <c r="AJ1386" s="303" t="s">
        <v>136</v>
      </c>
      <c r="AK1386" s="241">
        <v>4</v>
      </c>
      <c r="AL1386" s="123" t="s">
        <v>497</v>
      </c>
      <c r="AM1386" s="175" t="s">
        <v>492</v>
      </c>
      <c r="AN1386" s="151"/>
      <c r="AO1386" s="167"/>
      <c r="AP1386" s="115"/>
      <c r="AQ1386" s="115"/>
      <c r="AR1386" s="115"/>
      <c r="AS1386" s="115"/>
      <c r="AT1386" s="115"/>
    </row>
    <row r="1387" spans="1:46" ht="39" customHeight="1" x14ac:dyDescent="0.25">
      <c r="A1387" s="1468">
        <v>1386</v>
      </c>
      <c r="B1387" s="117"/>
      <c r="C1387" s="324"/>
      <c r="D1387" s="664"/>
      <c r="E1387" s="664"/>
      <c r="F1387" s="664"/>
      <c r="G1387" s="227"/>
      <c r="H1387" s="228"/>
      <c r="I1387" s="228"/>
      <c r="J1387" s="229"/>
      <c r="K1387" s="227"/>
      <c r="L1387" s="229"/>
      <c r="M1387" s="229"/>
      <c r="N1387" s="229"/>
      <c r="O1387" s="309"/>
      <c r="P1387" s="230" t="s">
        <v>498</v>
      </c>
      <c r="Q1387" s="726"/>
      <c r="R1387" s="1004"/>
      <c r="S1387" s="279"/>
      <c r="T1387" s="232"/>
      <c r="U1387" s="250"/>
      <c r="V1387" s="232"/>
      <c r="W1387" s="232"/>
      <c r="X1387" s="232"/>
      <c r="Y1387" s="232"/>
      <c r="Z1387" s="233"/>
      <c r="AA1387" s="252"/>
      <c r="AB1387" s="235"/>
      <c r="AC1387" s="236"/>
      <c r="AD1387" s="235"/>
      <c r="AE1387" s="494"/>
      <c r="AF1387" s="494"/>
      <c r="AG1387" s="664"/>
      <c r="AH1387" s="238"/>
      <c r="AI1387" s="239"/>
      <c r="AJ1387" s="576"/>
      <c r="AK1387" s="664"/>
      <c r="AL1387" s="113"/>
      <c r="AM1387" s="113"/>
      <c r="AN1387" s="163"/>
      <c r="AO1387" s="114"/>
      <c r="AP1387" s="115"/>
      <c r="AQ1387" s="115"/>
      <c r="AR1387" s="115"/>
      <c r="AS1387" s="115"/>
      <c r="AT1387" s="116"/>
    </row>
    <row r="1388" spans="1:46" ht="39" customHeight="1" x14ac:dyDescent="0.25">
      <c r="A1388" s="1468">
        <v>1387</v>
      </c>
      <c r="B1388" s="174">
        <v>14</v>
      </c>
      <c r="C1388" s="804" t="s">
        <v>339</v>
      </c>
      <c r="D1388" s="805"/>
      <c r="E1388" s="806" t="s">
        <v>47</v>
      </c>
      <c r="F1388" s="805"/>
      <c r="G1388" s="807" t="s">
        <v>340</v>
      </c>
      <c r="H1388" s="808" t="s">
        <v>78</v>
      </c>
      <c r="I1388" s="808"/>
      <c r="J1388" s="245">
        <v>300</v>
      </c>
      <c r="K1388" s="277" t="s">
        <v>1120</v>
      </c>
      <c r="L1388" s="441" t="s">
        <v>1096</v>
      </c>
      <c r="M1388" s="441" t="s">
        <v>1096</v>
      </c>
      <c r="N1388" s="441"/>
      <c r="O1388" s="277" t="s">
        <v>1121</v>
      </c>
      <c r="P1388" s="708"/>
      <c r="Q1388" s="978" t="s">
        <v>78</v>
      </c>
      <c r="R1388" s="259" t="s">
        <v>1122</v>
      </c>
      <c r="S1388" s="279">
        <v>34914</v>
      </c>
      <c r="T1388" s="250"/>
      <c r="U1388" s="250"/>
      <c r="V1388" s="252"/>
      <c r="W1388" s="1127"/>
      <c r="X1388" s="197"/>
      <c r="Y1388" s="981"/>
      <c r="Z1388" s="252"/>
      <c r="AA1388" s="252"/>
      <c r="AB1388" s="487"/>
      <c r="AC1388" s="488" t="s">
        <v>946</v>
      </c>
      <c r="AD1388" s="441" t="s">
        <v>128</v>
      </c>
      <c r="AE1388" s="494"/>
      <c r="AF1388" s="494">
        <v>45099</v>
      </c>
      <c r="AG1388" s="476" t="s">
        <v>61</v>
      </c>
      <c r="AH1388" s="489"/>
      <c r="AI1388" s="712"/>
      <c r="AJ1388" s="755" t="s">
        <v>62</v>
      </c>
      <c r="AK1388" s="806">
        <v>1</v>
      </c>
      <c r="AL1388" s="810" t="s">
        <v>499</v>
      </c>
      <c r="AM1388" s="175" t="s">
        <v>492</v>
      </c>
      <c r="AN1388" s="137"/>
      <c r="AO1388" s="811"/>
      <c r="AP1388" s="115"/>
      <c r="AQ1388" s="115"/>
      <c r="AR1388" s="115"/>
      <c r="AS1388" s="115"/>
      <c r="AT1388" s="115"/>
    </row>
    <row r="1389" spans="1:46" ht="39" customHeight="1" x14ac:dyDescent="0.25">
      <c r="A1389" s="1468">
        <v>1388</v>
      </c>
      <c r="B1389" s="131">
        <v>9</v>
      </c>
      <c r="C1389" s="1140" t="s">
        <v>284</v>
      </c>
      <c r="D1389" s="471"/>
      <c r="E1389" s="774" t="s">
        <v>47</v>
      </c>
      <c r="F1389" s="471"/>
      <c r="G1389" s="775" t="s">
        <v>285</v>
      </c>
      <c r="H1389" s="776" t="s">
        <v>283</v>
      </c>
      <c r="I1389" s="777"/>
      <c r="J1389" s="281">
        <v>410</v>
      </c>
      <c r="K1389" s="216" t="s">
        <v>158</v>
      </c>
      <c r="L1389" s="281" t="s">
        <v>1092</v>
      </c>
      <c r="M1389" s="281" t="s">
        <v>1092</v>
      </c>
      <c r="N1389" s="216"/>
      <c r="O1389" s="216" t="s">
        <v>1093</v>
      </c>
      <c r="P1389" s="247"/>
      <c r="Q1389" s="353" t="s">
        <v>283</v>
      </c>
      <c r="R1389" s="1140" t="s">
        <v>1094</v>
      </c>
      <c r="S1389" s="279">
        <v>28658</v>
      </c>
      <c r="T1389" s="197"/>
      <c r="U1389" s="250"/>
      <c r="V1389" s="197"/>
      <c r="W1389" s="197"/>
      <c r="X1389" s="197"/>
      <c r="Y1389" s="197"/>
      <c r="Z1389" s="252"/>
      <c r="AA1389" s="252"/>
      <c r="AB1389" s="361"/>
      <c r="AC1389" s="223" t="s">
        <v>946</v>
      </c>
      <c r="AD1389" s="281"/>
      <c r="AE1389" s="494">
        <v>43084</v>
      </c>
      <c r="AF1389" s="494">
        <v>44909</v>
      </c>
      <c r="AG1389" s="241" t="s">
        <v>61</v>
      </c>
      <c r="AH1389" s="283"/>
      <c r="AI1389" s="296"/>
      <c r="AJ1389" s="317" t="s">
        <v>47</v>
      </c>
      <c r="AK1389" s="312">
        <v>2</v>
      </c>
      <c r="AL1389" s="132" t="s">
        <v>499</v>
      </c>
      <c r="AM1389" s="175" t="s">
        <v>492</v>
      </c>
      <c r="AN1389" s="157"/>
      <c r="AO1389" s="799"/>
      <c r="AP1389" s="115"/>
      <c r="AQ1389" s="115"/>
      <c r="AR1389" s="115"/>
      <c r="AS1389" s="115"/>
      <c r="AT1389" s="115"/>
    </row>
    <row r="1390" spans="1:46" ht="39" customHeight="1" x14ac:dyDescent="0.25">
      <c r="A1390" s="1468">
        <v>1389</v>
      </c>
      <c r="B1390" s="131"/>
      <c r="C1390" s="766"/>
      <c r="D1390" s="664"/>
      <c r="E1390" s="767"/>
      <c r="F1390" s="664"/>
      <c r="G1390" s="768"/>
      <c r="H1390" s="769"/>
      <c r="I1390" s="731"/>
      <c r="J1390" s="309"/>
      <c r="K1390" s="309"/>
      <c r="L1390" s="538"/>
      <c r="M1390" s="538"/>
      <c r="N1390" s="309"/>
      <c r="O1390" s="309"/>
      <c r="P1390" s="230" t="s">
        <v>342</v>
      </c>
      <c r="Q1390" s="726"/>
      <c r="R1390" s="1004"/>
      <c r="S1390" s="279"/>
      <c r="T1390" s="232"/>
      <c r="U1390" s="250"/>
      <c r="V1390" s="232"/>
      <c r="W1390" s="334"/>
      <c r="X1390" s="232"/>
      <c r="Y1390" s="232"/>
      <c r="Z1390" s="233"/>
      <c r="AA1390" s="252"/>
      <c r="AB1390" s="546"/>
      <c r="AC1390" s="236"/>
      <c r="AD1390" s="538"/>
      <c r="AE1390" s="494"/>
      <c r="AF1390" s="494"/>
      <c r="AG1390" s="664"/>
      <c r="AH1390" s="631"/>
      <c r="AI1390" s="632"/>
      <c r="AJ1390" s="770"/>
      <c r="AK1390" s="767"/>
      <c r="AL1390" s="771"/>
      <c r="AM1390" s="771"/>
      <c r="AN1390" s="163"/>
      <c r="AO1390" s="751"/>
      <c r="AP1390" s="115"/>
      <c r="AQ1390" s="115"/>
      <c r="AR1390" s="115"/>
      <c r="AS1390" s="115"/>
      <c r="AT1390" s="115"/>
    </row>
    <row r="1391" spans="1:46" ht="39" customHeight="1" x14ac:dyDescent="0.25">
      <c r="A1391" s="1468">
        <v>1390</v>
      </c>
      <c r="B1391" s="119">
        <v>10</v>
      </c>
      <c r="C1391" s="793" t="s">
        <v>343</v>
      </c>
      <c r="D1391" s="476"/>
      <c r="E1391" s="442" t="s">
        <v>47</v>
      </c>
      <c r="F1391" s="476"/>
      <c r="G1391" s="757" t="s">
        <v>340</v>
      </c>
      <c r="H1391" s="244" t="s">
        <v>83</v>
      </c>
      <c r="I1391" s="733"/>
      <c r="J1391" s="245">
        <v>302</v>
      </c>
      <c r="K1391" s="197" t="s">
        <v>50</v>
      </c>
      <c r="L1391" s="277"/>
      <c r="M1391" s="277"/>
      <c r="N1391" s="276"/>
      <c r="O1391" s="1476" t="s">
        <v>3218</v>
      </c>
      <c r="P1391" s="708"/>
      <c r="Q1391" s="728" t="s">
        <v>119</v>
      </c>
      <c r="R1391" s="995" t="s">
        <v>2357</v>
      </c>
      <c r="S1391" s="279">
        <v>32298</v>
      </c>
      <c r="T1391" s="443"/>
      <c r="U1391" s="251" t="s">
        <v>54</v>
      </c>
      <c r="V1391" s="250" t="s">
        <v>6084</v>
      </c>
      <c r="W1391" s="197" t="s">
        <v>2039</v>
      </c>
      <c r="X1391" s="197" t="s">
        <v>475</v>
      </c>
      <c r="Y1391" s="949" t="s">
        <v>6085</v>
      </c>
      <c r="Z1391" s="246">
        <v>45318</v>
      </c>
      <c r="AA1391" s="252"/>
      <c r="AB1391" s="487"/>
      <c r="AC1391" s="488"/>
      <c r="AD1391" s="487"/>
      <c r="AE1391" s="494"/>
      <c r="AF1391" s="494"/>
      <c r="AG1391" s="476"/>
      <c r="AH1391" s="489"/>
      <c r="AI1391" s="712"/>
      <c r="AJ1391" s="755" t="s">
        <v>62</v>
      </c>
      <c r="AK1391" s="242">
        <v>1</v>
      </c>
      <c r="AL1391" s="123" t="s">
        <v>499</v>
      </c>
      <c r="AM1391" s="175" t="s">
        <v>492</v>
      </c>
      <c r="AN1391" s="137"/>
      <c r="AO1391" s="800"/>
      <c r="AP1391" s="115"/>
      <c r="AQ1391" s="115"/>
      <c r="AR1391" s="115"/>
      <c r="AS1391" s="115"/>
      <c r="AT1391" s="115"/>
    </row>
    <row r="1392" spans="1:46" ht="39" customHeight="1" x14ac:dyDescent="0.25">
      <c r="A1392" s="1468">
        <v>1391</v>
      </c>
      <c r="B1392" s="128">
        <v>7</v>
      </c>
      <c r="C1392" s="497" t="s">
        <v>344</v>
      </c>
      <c r="D1392" s="498"/>
      <c r="E1392" s="498" t="s">
        <v>47</v>
      </c>
      <c r="F1392" s="498"/>
      <c r="G1392" s="499" t="s">
        <v>345</v>
      </c>
      <c r="H1392" s="500" t="s">
        <v>132</v>
      </c>
      <c r="I1392" s="479"/>
      <c r="J1392" s="256">
        <v>403</v>
      </c>
      <c r="K1392" s="277"/>
      <c r="L1392" s="441"/>
      <c r="M1392" s="441"/>
      <c r="N1392" s="276"/>
      <c r="O1392" s="277"/>
      <c r="P1392" s="484"/>
      <c r="Q1392" s="978"/>
      <c r="R1392" s="1169" t="s">
        <v>66</v>
      </c>
      <c r="S1392" s="279"/>
      <c r="T1392" s="398"/>
      <c r="U1392" s="250"/>
      <c r="V1392" s="443"/>
      <c r="W1392" s="280"/>
      <c r="X1392" s="280"/>
      <c r="Y1392" s="398"/>
      <c r="Z1392" s="398"/>
      <c r="AA1392" s="588"/>
      <c r="AB1392" s="487"/>
      <c r="AC1392" s="488"/>
      <c r="AD1392" s="487"/>
      <c r="AE1392" s="494"/>
      <c r="AF1392" s="494"/>
      <c r="AG1392" s="487"/>
      <c r="AH1392" s="489"/>
      <c r="AI1392" s="490"/>
      <c r="AJ1392" s="755"/>
      <c r="AK1392" s="491">
        <v>3</v>
      </c>
      <c r="AL1392" s="175" t="s">
        <v>499</v>
      </c>
      <c r="AM1392" s="175" t="s">
        <v>492</v>
      </c>
      <c r="AN1392" s="170"/>
      <c r="AO1392" s="170"/>
      <c r="AP1392" s="115"/>
      <c r="AQ1392" s="115"/>
      <c r="AR1392" s="115"/>
      <c r="AS1392" s="115"/>
      <c r="AT1392" s="115"/>
    </row>
    <row r="1393" spans="1:46" ht="39" customHeight="1" x14ac:dyDescent="0.25">
      <c r="A1393" s="1468">
        <v>1392</v>
      </c>
      <c r="B1393" s="117">
        <v>3</v>
      </c>
      <c r="C1393" s="510" t="s">
        <v>346</v>
      </c>
      <c r="D1393" s="476"/>
      <c r="E1393" s="476"/>
      <c r="F1393" s="476"/>
      <c r="G1393" s="477" t="s">
        <v>347</v>
      </c>
      <c r="H1393" s="262" t="s">
        <v>85</v>
      </c>
      <c r="I1393" s="508"/>
      <c r="J1393" s="245" t="s">
        <v>556</v>
      </c>
      <c r="K1393" s="216"/>
      <c r="L1393" s="288"/>
      <c r="M1393" s="288"/>
      <c r="N1393" s="299"/>
      <c r="O1393" s="1520"/>
      <c r="P1393" s="300"/>
      <c r="Q1393" s="1520"/>
      <c r="R1393" s="1201" t="s">
        <v>66</v>
      </c>
      <c r="S1393" s="279"/>
      <c r="T1393" s="289"/>
      <c r="U1393" s="250"/>
      <c r="V1393" s="299"/>
      <c r="W1393" s="197"/>
      <c r="X1393" s="197"/>
      <c r="Y1393" s="197"/>
      <c r="Z1393" s="246"/>
      <c r="AA1393" s="289"/>
      <c r="AB1393" s="288"/>
      <c r="AC1393" s="223"/>
      <c r="AD1393" s="299"/>
      <c r="AE1393" s="494"/>
      <c r="AF1393" s="494"/>
      <c r="AG1393" s="299"/>
      <c r="AH1393" s="299"/>
      <c r="AI1393" s="307"/>
      <c r="AJ1393" s="303"/>
      <c r="AK1393" s="241">
        <v>4</v>
      </c>
      <c r="AL1393" s="123" t="s">
        <v>499</v>
      </c>
      <c r="AM1393" s="175" t="s">
        <v>492</v>
      </c>
      <c r="AN1393" s="151"/>
      <c r="AO1393" s="173"/>
      <c r="AP1393" s="115"/>
      <c r="AQ1393" s="115"/>
      <c r="AR1393" s="115"/>
      <c r="AS1393" s="115"/>
      <c r="AT1393" s="115"/>
    </row>
    <row r="1394" spans="1:46" ht="39" customHeight="1" x14ac:dyDescent="0.25">
      <c r="A1394" s="1468">
        <v>1393</v>
      </c>
      <c r="B1394" s="161">
        <v>3</v>
      </c>
      <c r="C1394" s="501" t="s">
        <v>348</v>
      </c>
      <c r="D1394" s="241"/>
      <c r="E1394" s="241"/>
      <c r="F1394" s="241"/>
      <c r="G1394" s="261" t="s">
        <v>349</v>
      </c>
      <c r="H1394" s="262" t="s">
        <v>85</v>
      </c>
      <c r="I1394" s="364"/>
      <c r="J1394" s="245" t="s">
        <v>556</v>
      </c>
      <c r="K1394" s="216"/>
      <c r="L1394" s="288"/>
      <c r="M1394" s="288"/>
      <c r="N1394" s="299"/>
      <c r="O1394" s="1520"/>
      <c r="P1394" s="300"/>
      <c r="Q1394" s="1520"/>
      <c r="R1394" s="1201" t="s">
        <v>66</v>
      </c>
      <c r="S1394" s="279"/>
      <c r="T1394" s="289"/>
      <c r="U1394" s="250"/>
      <c r="V1394" s="299"/>
      <c r="W1394" s="197"/>
      <c r="X1394" s="197"/>
      <c r="Y1394" s="197"/>
      <c r="Z1394" s="246"/>
      <c r="AA1394" s="289"/>
      <c r="AB1394" s="288"/>
      <c r="AC1394" s="223"/>
      <c r="AD1394" s="299"/>
      <c r="AE1394" s="494"/>
      <c r="AF1394" s="494"/>
      <c r="AG1394" s="299"/>
      <c r="AH1394" s="299"/>
      <c r="AI1394" s="307"/>
      <c r="AJ1394" s="303"/>
      <c r="AK1394" s="241">
        <v>4</v>
      </c>
      <c r="AL1394" s="123" t="s">
        <v>499</v>
      </c>
      <c r="AM1394" s="175" t="s">
        <v>492</v>
      </c>
      <c r="AN1394" s="151" t="s">
        <v>5764</v>
      </c>
      <c r="AO1394" s="151"/>
      <c r="AP1394" s="115"/>
      <c r="AQ1394" s="115"/>
      <c r="AR1394" s="115"/>
      <c r="AS1394" s="115"/>
      <c r="AT1394" s="115"/>
    </row>
    <row r="1395" spans="1:46" ht="39" customHeight="1" x14ac:dyDescent="0.25">
      <c r="A1395" s="1468">
        <v>1394</v>
      </c>
      <c r="B1395" s="146">
        <v>2</v>
      </c>
      <c r="C1395" s="260" t="s">
        <v>319</v>
      </c>
      <c r="D1395" s="241"/>
      <c r="E1395" s="241"/>
      <c r="F1395" s="241"/>
      <c r="G1395" s="261" t="s">
        <v>350</v>
      </c>
      <c r="H1395" s="262" t="s">
        <v>87</v>
      </c>
      <c r="I1395" s="357"/>
      <c r="J1395" s="245" t="s">
        <v>561</v>
      </c>
      <c r="K1395" s="265"/>
      <c r="L1395" s="394"/>
      <c r="M1395" s="265"/>
      <c r="N1395" s="404"/>
      <c r="O1395" s="950" t="s">
        <v>2744</v>
      </c>
      <c r="P1395" s="325"/>
      <c r="Q1395" s="373" t="s">
        <v>293</v>
      </c>
      <c r="R1395" s="982" t="s">
        <v>2743</v>
      </c>
      <c r="S1395" s="279">
        <v>29821</v>
      </c>
      <c r="T1395" s="396"/>
      <c r="U1395" s="251" t="s">
        <v>54</v>
      </c>
      <c r="V1395" s="250" t="s">
        <v>2793</v>
      </c>
      <c r="W1395" s="197" t="s">
        <v>56</v>
      </c>
      <c r="X1395" s="197" t="s">
        <v>57</v>
      </c>
      <c r="Y1395" s="197" t="s">
        <v>2609</v>
      </c>
      <c r="Z1395" s="246">
        <v>45139</v>
      </c>
      <c r="AA1395" s="405"/>
      <c r="AB1395" s="394"/>
      <c r="AC1395" s="474"/>
      <c r="AD1395" s="301"/>
      <c r="AE1395" s="306"/>
      <c r="AF1395" s="306"/>
      <c r="AG1395" s="301"/>
      <c r="AH1395" s="394"/>
      <c r="AI1395" s="493"/>
      <c r="AJ1395" s="348" t="s">
        <v>560</v>
      </c>
      <c r="AK1395" s="241">
        <v>4</v>
      </c>
      <c r="AL1395" s="123" t="s">
        <v>499</v>
      </c>
      <c r="AM1395" s="175" t="s">
        <v>492</v>
      </c>
      <c r="AN1395" s="151"/>
      <c r="AO1395" s="151"/>
      <c r="AP1395" s="115"/>
      <c r="AQ1395" s="115"/>
      <c r="AR1395" s="115"/>
      <c r="AS1395" s="115"/>
      <c r="AT1395" s="115"/>
    </row>
    <row r="1396" spans="1:46" ht="39" customHeight="1" x14ac:dyDescent="0.25">
      <c r="A1396" s="1468">
        <v>1395</v>
      </c>
      <c r="B1396" s="146">
        <v>2</v>
      </c>
      <c r="C1396" s="260" t="s">
        <v>319</v>
      </c>
      <c r="D1396" s="241"/>
      <c r="E1396" s="241"/>
      <c r="F1396" s="241"/>
      <c r="G1396" s="261" t="s">
        <v>350</v>
      </c>
      <c r="H1396" s="262" t="s">
        <v>87</v>
      </c>
      <c r="I1396" s="357"/>
      <c r="J1396" s="245" t="s">
        <v>561</v>
      </c>
      <c r="K1396" s="216"/>
      <c r="L1396" s="250" t="s">
        <v>2797</v>
      </c>
      <c r="M1396" s="250" t="s">
        <v>2797</v>
      </c>
      <c r="N1396" s="366"/>
      <c r="O1396" s="250" t="s">
        <v>2872</v>
      </c>
      <c r="P1396" s="706" t="s">
        <v>1828</v>
      </c>
      <c r="Q1396" s="485" t="s">
        <v>293</v>
      </c>
      <c r="R1396" s="998" t="s">
        <v>2873</v>
      </c>
      <c r="S1396" s="279">
        <v>31851</v>
      </c>
      <c r="T1396" s="257"/>
      <c r="U1396" s="197" t="s">
        <v>54</v>
      </c>
      <c r="V1396" s="1416" t="s">
        <v>6226</v>
      </c>
      <c r="W1396" s="197" t="s">
        <v>70</v>
      </c>
      <c r="X1396" s="197" t="s">
        <v>71</v>
      </c>
      <c r="Y1396" s="981" t="s">
        <v>6231</v>
      </c>
      <c r="Z1396" s="252">
        <v>45328</v>
      </c>
      <c r="AA1396" s="252"/>
      <c r="AB1396" s="257"/>
      <c r="AC1396" s="223"/>
      <c r="AD1396" s="257"/>
      <c r="AE1396" s="258"/>
      <c r="AF1396" s="258"/>
      <c r="AG1396" s="241"/>
      <c r="AH1396" s="283"/>
      <c r="AI1396" s="386"/>
      <c r="AJ1396" s="491" t="s">
        <v>560</v>
      </c>
      <c r="AK1396" s="241">
        <v>4</v>
      </c>
      <c r="AL1396" s="123" t="s">
        <v>499</v>
      </c>
      <c r="AM1396" s="175" t="s">
        <v>492</v>
      </c>
      <c r="AN1396" s="151"/>
      <c r="AO1396" s="151"/>
      <c r="AP1396" s="115"/>
      <c r="AQ1396" s="115"/>
      <c r="AR1396" s="115"/>
      <c r="AS1396" s="115"/>
      <c r="AT1396" s="115"/>
    </row>
    <row r="1397" spans="1:46" ht="39" customHeight="1" x14ac:dyDescent="0.25">
      <c r="A1397" s="1468">
        <v>1396</v>
      </c>
      <c r="B1397" s="128">
        <v>4</v>
      </c>
      <c r="C1397" s="290" t="s">
        <v>351</v>
      </c>
      <c r="D1397" s="291"/>
      <c r="E1397" s="291" t="s">
        <v>47</v>
      </c>
      <c r="F1397" s="291"/>
      <c r="G1397" s="292" t="s">
        <v>352</v>
      </c>
      <c r="H1397" s="293" t="s">
        <v>132</v>
      </c>
      <c r="I1397" s="346"/>
      <c r="J1397" s="256">
        <v>403</v>
      </c>
      <c r="K1397" s="216"/>
      <c r="L1397" s="245"/>
      <c r="M1397" s="245"/>
      <c r="N1397" s="299"/>
      <c r="O1397" s="250" t="s">
        <v>3390</v>
      </c>
      <c r="P1397" s="684"/>
      <c r="Q1397" s="485" t="s">
        <v>132</v>
      </c>
      <c r="R1397" s="998" t="s">
        <v>3389</v>
      </c>
      <c r="S1397" s="279">
        <v>36700</v>
      </c>
      <c r="T1397" s="197"/>
      <c r="U1397" s="251" t="s">
        <v>54</v>
      </c>
      <c r="V1397" s="197" t="s">
        <v>5955</v>
      </c>
      <c r="W1397" s="197" t="s">
        <v>70</v>
      </c>
      <c r="X1397" s="197" t="s">
        <v>71</v>
      </c>
      <c r="Y1397" s="949" t="s">
        <v>5993</v>
      </c>
      <c r="Z1397" s="612">
        <v>45312</v>
      </c>
      <c r="AA1397" s="252"/>
      <c r="AB1397" s="590"/>
      <c r="AC1397" s="223"/>
      <c r="AD1397" s="591"/>
      <c r="AE1397" s="258"/>
      <c r="AF1397" s="258"/>
      <c r="AG1397" s="241"/>
      <c r="AH1397" s="253"/>
      <c r="AI1397" s="297"/>
      <c r="AJ1397" s="491" t="s">
        <v>560</v>
      </c>
      <c r="AK1397" s="348">
        <v>3</v>
      </c>
      <c r="AL1397" s="123" t="s">
        <v>499</v>
      </c>
      <c r="AM1397" s="175" t="s">
        <v>492</v>
      </c>
      <c r="AN1397" s="138"/>
      <c r="AO1397" s="138"/>
      <c r="AP1397" s="115"/>
      <c r="AQ1397" s="115"/>
      <c r="AR1397" s="115"/>
      <c r="AS1397" s="115"/>
      <c r="AT1397" s="115"/>
    </row>
    <row r="1398" spans="1:46" ht="39" customHeight="1" x14ac:dyDescent="0.25">
      <c r="A1398" s="1468">
        <v>1397</v>
      </c>
      <c r="B1398" s="117">
        <v>3</v>
      </c>
      <c r="C1398" s="260" t="s">
        <v>346</v>
      </c>
      <c r="D1398" s="241"/>
      <c r="E1398" s="241"/>
      <c r="F1398" s="241"/>
      <c r="G1398" s="261" t="s">
        <v>347</v>
      </c>
      <c r="H1398" s="262" t="s">
        <v>85</v>
      </c>
      <c r="I1398" s="357"/>
      <c r="J1398" s="245" t="s">
        <v>556</v>
      </c>
      <c r="K1398" s="288"/>
      <c r="L1398" s="301"/>
      <c r="M1398" s="301"/>
      <c r="N1398" s="299"/>
      <c r="O1398" s="1520"/>
      <c r="P1398" s="300"/>
      <c r="Q1398" s="301"/>
      <c r="R1398" s="427" t="s">
        <v>66</v>
      </c>
      <c r="S1398" s="279"/>
      <c r="T1398" s="289"/>
      <c r="U1398" s="197"/>
      <c r="V1398" s="280"/>
      <c r="W1398" s="197"/>
      <c r="X1398" s="197"/>
      <c r="Y1398" s="949"/>
      <c r="Z1398" s="612"/>
      <c r="AA1398" s="289"/>
      <c r="AB1398" s="288"/>
      <c r="AC1398" s="223"/>
      <c r="AD1398" s="299"/>
      <c r="AE1398" s="494"/>
      <c r="AF1398" s="494"/>
      <c r="AG1398" s="299"/>
      <c r="AH1398" s="299"/>
      <c r="AI1398" s="254"/>
      <c r="AJ1398" s="303"/>
      <c r="AK1398" s="241">
        <v>4</v>
      </c>
      <c r="AL1398" s="123" t="s">
        <v>499</v>
      </c>
      <c r="AM1398" s="175" t="s">
        <v>492</v>
      </c>
      <c r="AN1398" s="110"/>
      <c r="AO1398" s="110"/>
      <c r="AP1398" s="115"/>
      <c r="AQ1398" s="115"/>
      <c r="AR1398" s="115"/>
      <c r="AS1398" s="115"/>
      <c r="AT1398" s="115"/>
    </row>
    <row r="1399" spans="1:46" ht="39" customHeight="1" x14ac:dyDescent="0.25">
      <c r="A1399" s="1468">
        <v>1398</v>
      </c>
      <c r="B1399" s="146">
        <v>2</v>
      </c>
      <c r="C1399" s="260" t="s">
        <v>319</v>
      </c>
      <c r="D1399" s="241"/>
      <c r="E1399" s="241"/>
      <c r="F1399" s="241"/>
      <c r="G1399" s="261" t="s">
        <v>350</v>
      </c>
      <c r="H1399" s="262" t="s">
        <v>87</v>
      </c>
      <c r="I1399" s="357"/>
      <c r="J1399" s="245" t="s">
        <v>561</v>
      </c>
      <c r="K1399" s="216"/>
      <c r="L1399" s="281"/>
      <c r="M1399" s="281"/>
      <c r="N1399" s="366"/>
      <c r="O1399" s="250" t="s">
        <v>3448</v>
      </c>
      <c r="P1399" s="684"/>
      <c r="Q1399" s="485" t="s">
        <v>293</v>
      </c>
      <c r="R1399" s="998" t="s">
        <v>3447</v>
      </c>
      <c r="S1399" s="279">
        <v>28641</v>
      </c>
      <c r="T1399" s="197"/>
      <c r="U1399" s="251" t="s">
        <v>886</v>
      </c>
      <c r="V1399" s="250" t="s">
        <v>5936</v>
      </c>
      <c r="W1399" s="197" t="s">
        <v>886</v>
      </c>
      <c r="X1399" s="197" t="s">
        <v>886</v>
      </c>
      <c r="Y1399" s="197"/>
      <c r="Z1399" s="246">
        <v>45304</v>
      </c>
      <c r="AA1399" s="252"/>
      <c r="AB1399" s="361"/>
      <c r="AC1399" s="223"/>
      <c r="AD1399" s="376"/>
      <c r="AE1399" s="494"/>
      <c r="AF1399" s="494"/>
      <c r="AG1399" s="241"/>
      <c r="AH1399" s="283"/>
      <c r="AI1399" s="254"/>
      <c r="AJ1399" s="491" t="s">
        <v>560</v>
      </c>
      <c r="AK1399" s="241">
        <v>4</v>
      </c>
      <c r="AL1399" s="123" t="s">
        <v>499</v>
      </c>
      <c r="AM1399" s="175" t="s">
        <v>492</v>
      </c>
      <c r="AN1399" s="151"/>
      <c r="AO1399" s="151"/>
      <c r="AP1399" s="115"/>
      <c r="AQ1399" s="115"/>
      <c r="AR1399" s="115"/>
      <c r="AS1399" s="115"/>
      <c r="AT1399" s="115"/>
    </row>
    <row r="1400" spans="1:46" ht="39" customHeight="1" x14ac:dyDescent="0.25">
      <c r="A1400" s="1468">
        <v>1399</v>
      </c>
      <c r="B1400" s="146">
        <v>2</v>
      </c>
      <c r="C1400" s="260" t="s">
        <v>319</v>
      </c>
      <c r="D1400" s="241"/>
      <c r="E1400" s="241"/>
      <c r="F1400" s="241"/>
      <c r="G1400" s="261" t="s">
        <v>350</v>
      </c>
      <c r="H1400" s="262" t="s">
        <v>87</v>
      </c>
      <c r="I1400" s="357"/>
      <c r="J1400" s="245" t="s">
        <v>561</v>
      </c>
      <c r="K1400" s="216"/>
      <c r="L1400" s="299"/>
      <c r="M1400" s="299"/>
      <c r="N1400" s="245"/>
      <c r="O1400" s="250" t="s">
        <v>3289</v>
      </c>
      <c r="P1400" s="706" t="s">
        <v>1828</v>
      </c>
      <c r="Q1400" s="485" t="s">
        <v>293</v>
      </c>
      <c r="R1400" s="998" t="s">
        <v>3288</v>
      </c>
      <c r="S1400" s="279">
        <v>31076</v>
      </c>
      <c r="T1400" s="289"/>
      <c r="U1400" s="251" t="s">
        <v>54</v>
      </c>
      <c r="V1400" s="197" t="s">
        <v>3562</v>
      </c>
      <c r="W1400" s="197" t="s">
        <v>56</v>
      </c>
      <c r="X1400" s="268" t="s">
        <v>57</v>
      </c>
      <c r="Y1400" s="197" t="s">
        <v>3563</v>
      </c>
      <c r="Z1400" s="246">
        <v>45214</v>
      </c>
      <c r="AA1400" s="252"/>
      <c r="AB1400" s="245"/>
      <c r="AC1400" s="223"/>
      <c r="AD1400" s="245"/>
      <c r="AE1400" s="494"/>
      <c r="AF1400" s="494"/>
      <c r="AG1400" s="241"/>
      <c r="AH1400" s="253"/>
      <c r="AI1400" s="284"/>
      <c r="AJ1400" s="491" t="s">
        <v>560</v>
      </c>
      <c r="AK1400" s="241">
        <v>4</v>
      </c>
      <c r="AL1400" s="123" t="s">
        <v>499</v>
      </c>
      <c r="AM1400" s="175" t="s">
        <v>492</v>
      </c>
      <c r="AN1400" s="151"/>
      <c r="AO1400" s="151"/>
      <c r="AP1400" s="115"/>
      <c r="AQ1400" s="115"/>
      <c r="AR1400" s="115"/>
      <c r="AS1400" s="115"/>
      <c r="AT1400" s="115"/>
    </row>
    <row r="1401" spans="1:46" ht="39" customHeight="1" x14ac:dyDescent="0.25">
      <c r="A1401" s="1468">
        <v>1400</v>
      </c>
      <c r="B1401" s="117">
        <v>2</v>
      </c>
      <c r="C1401" s="501" t="s">
        <v>353</v>
      </c>
      <c r="D1401" s="241"/>
      <c r="E1401" s="241"/>
      <c r="F1401" s="241"/>
      <c r="G1401" s="261" t="s">
        <v>354</v>
      </c>
      <c r="H1401" s="262" t="s">
        <v>87</v>
      </c>
      <c r="I1401" s="357"/>
      <c r="J1401" s="245" t="s">
        <v>561</v>
      </c>
      <c r="K1401" s="216"/>
      <c r="L1401" s="288"/>
      <c r="M1401" s="288"/>
      <c r="N1401" s="366"/>
      <c r="O1401" s="250" t="s">
        <v>3408</v>
      </c>
      <c r="P1401" s="801" t="s">
        <v>1411</v>
      </c>
      <c r="Q1401" s="485" t="s">
        <v>293</v>
      </c>
      <c r="R1401" s="998" t="s">
        <v>3407</v>
      </c>
      <c r="S1401" s="279">
        <v>27696</v>
      </c>
      <c r="T1401" s="197"/>
      <c r="U1401" s="251" t="s">
        <v>886</v>
      </c>
      <c r="V1401" s="250" t="s">
        <v>6105</v>
      </c>
      <c r="W1401" s="280" t="s">
        <v>886</v>
      </c>
      <c r="X1401" s="197" t="s">
        <v>886</v>
      </c>
      <c r="Y1401" s="197"/>
      <c r="Z1401" s="246">
        <v>45317</v>
      </c>
      <c r="AA1401" s="252"/>
      <c r="AB1401" s="306"/>
      <c r="AC1401" s="223"/>
      <c r="AD1401" s="306"/>
      <c r="AE1401" s="494"/>
      <c r="AF1401" s="494"/>
      <c r="AG1401" s="282"/>
      <c r="AH1401" s="283"/>
      <c r="AI1401" s="296"/>
      <c r="AJ1401" s="491" t="s">
        <v>560</v>
      </c>
      <c r="AK1401" s="241">
        <v>4</v>
      </c>
      <c r="AL1401" s="123" t="s">
        <v>499</v>
      </c>
      <c r="AM1401" s="175" t="s">
        <v>492</v>
      </c>
      <c r="AN1401" s="151" t="s">
        <v>5764</v>
      </c>
      <c r="AO1401" s="151"/>
      <c r="AP1401" s="115"/>
      <c r="AQ1401" s="115"/>
      <c r="AR1401" s="115"/>
      <c r="AS1401" s="115"/>
      <c r="AT1401" s="115"/>
    </row>
    <row r="1402" spans="1:46" ht="39" customHeight="1" x14ac:dyDescent="0.25">
      <c r="A1402" s="1468">
        <v>1401</v>
      </c>
      <c r="B1402" s="158">
        <v>4</v>
      </c>
      <c r="C1402" s="290" t="s">
        <v>351</v>
      </c>
      <c r="D1402" s="291"/>
      <c r="E1402" s="291" t="s">
        <v>47</v>
      </c>
      <c r="F1402" s="291"/>
      <c r="G1402" s="292" t="s">
        <v>352</v>
      </c>
      <c r="H1402" s="370" t="s">
        <v>132</v>
      </c>
      <c r="I1402" s="371"/>
      <c r="J1402" s="256">
        <v>403</v>
      </c>
      <c r="K1402" s="216"/>
      <c r="L1402" s="216"/>
      <c r="M1402" s="216"/>
      <c r="N1402" s="245"/>
      <c r="O1402" s="1388" t="s">
        <v>3190</v>
      </c>
      <c r="P1402" s="247"/>
      <c r="Q1402" s="344" t="s">
        <v>567</v>
      </c>
      <c r="R1402" s="982" t="s">
        <v>1106</v>
      </c>
      <c r="S1402" s="279">
        <v>37140</v>
      </c>
      <c r="T1402" s="250"/>
      <c r="U1402" s="251" t="s">
        <v>54</v>
      </c>
      <c r="V1402" s="1416" t="s">
        <v>5447</v>
      </c>
      <c r="W1402" s="280" t="s">
        <v>56</v>
      </c>
      <c r="X1402" s="280" t="s">
        <v>57</v>
      </c>
      <c r="Y1402" s="949" t="s">
        <v>4631</v>
      </c>
      <c r="Z1402" s="246">
        <v>45270</v>
      </c>
      <c r="AA1402" s="252"/>
      <c r="AB1402" s="301"/>
      <c r="AC1402" s="223"/>
      <c r="AD1402" s="301"/>
      <c r="AE1402" s="494"/>
      <c r="AF1402" s="494"/>
      <c r="AG1402" s="241"/>
      <c r="AH1402" s="301"/>
      <c r="AI1402" s="223"/>
      <c r="AJ1402" s="348" t="s">
        <v>560</v>
      </c>
      <c r="AK1402" s="348">
        <v>3</v>
      </c>
      <c r="AL1402" s="123" t="s">
        <v>499</v>
      </c>
      <c r="AM1402" s="175" t="s">
        <v>492</v>
      </c>
      <c r="AN1402" s="138"/>
      <c r="AO1402" s="138"/>
      <c r="AP1402" s="115"/>
      <c r="AQ1402" s="115"/>
      <c r="AR1402" s="115"/>
      <c r="AS1402" s="115"/>
      <c r="AT1402" s="115"/>
    </row>
    <row r="1403" spans="1:46" ht="39" customHeight="1" x14ac:dyDescent="0.25">
      <c r="A1403" s="1468">
        <v>1402</v>
      </c>
      <c r="B1403" s="117">
        <v>3</v>
      </c>
      <c r="C1403" s="260" t="s">
        <v>346</v>
      </c>
      <c r="D1403" s="241"/>
      <c r="E1403" s="241"/>
      <c r="F1403" s="241"/>
      <c r="G1403" s="261" t="s">
        <v>347</v>
      </c>
      <c r="H1403" s="262" t="s">
        <v>85</v>
      </c>
      <c r="I1403" s="357"/>
      <c r="J1403" s="245" t="s">
        <v>556</v>
      </c>
      <c r="K1403" s="250"/>
      <c r="L1403" s="301" t="s">
        <v>5503</v>
      </c>
      <c r="M1403" s="301" t="s">
        <v>5503</v>
      </c>
      <c r="N1403" s="366"/>
      <c r="O1403" s="392" t="s">
        <v>5502</v>
      </c>
      <c r="P1403" s="467"/>
      <c r="Q1403" s="344" t="s">
        <v>567</v>
      </c>
      <c r="R1403" s="982" t="s">
        <v>5501</v>
      </c>
      <c r="S1403" s="279">
        <v>36947</v>
      </c>
      <c r="T1403" s="268"/>
      <c r="U1403" s="251" t="s">
        <v>54</v>
      </c>
      <c r="V1403" s="1449" t="s">
        <v>5815</v>
      </c>
      <c r="W1403" s="250" t="s">
        <v>5728</v>
      </c>
      <c r="X1403" s="197" t="s">
        <v>57</v>
      </c>
      <c r="Y1403" s="949" t="s">
        <v>4631</v>
      </c>
      <c r="Z1403" s="246">
        <v>45288</v>
      </c>
      <c r="AA1403" s="252"/>
      <c r="AB1403" s="197"/>
      <c r="AC1403" s="223"/>
      <c r="AD1403" s="305"/>
      <c r="AE1403" s="494"/>
      <c r="AF1403" s="494"/>
      <c r="AG1403" s="570"/>
      <c r="AH1403" s="281"/>
      <c r="AI1403" s="296"/>
      <c r="AJ1403" s="348" t="s">
        <v>560</v>
      </c>
      <c r="AK1403" s="241">
        <v>4</v>
      </c>
      <c r="AL1403" s="123" t="s">
        <v>499</v>
      </c>
      <c r="AM1403" s="175" t="s">
        <v>492</v>
      </c>
      <c r="AN1403" s="151"/>
      <c r="AO1403" s="151"/>
      <c r="AP1403" s="115"/>
      <c r="AQ1403" s="115"/>
      <c r="AR1403" s="115"/>
      <c r="AS1403" s="115"/>
      <c r="AT1403" s="115"/>
    </row>
    <row r="1404" spans="1:46" ht="39" customHeight="1" x14ac:dyDescent="0.25">
      <c r="A1404" s="1468">
        <v>1403</v>
      </c>
      <c r="B1404" s="146">
        <v>2</v>
      </c>
      <c r="C1404" s="260" t="s">
        <v>319</v>
      </c>
      <c r="D1404" s="241"/>
      <c r="E1404" s="241"/>
      <c r="F1404" s="241"/>
      <c r="G1404" s="261" t="s">
        <v>350</v>
      </c>
      <c r="H1404" s="262" t="s">
        <v>87</v>
      </c>
      <c r="I1404" s="364"/>
      <c r="J1404" s="245" t="s">
        <v>561</v>
      </c>
      <c r="K1404" s="288"/>
      <c r="L1404" s="281" t="s">
        <v>1685</v>
      </c>
      <c r="M1404" s="281" t="s">
        <v>3296</v>
      </c>
      <c r="N1404" s="366"/>
      <c r="O1404" s="392" t="s">
        <v>2929</v>
      </c>
      <c r="P1404" s="402"/>
      <c r="Q1404" s="301" t="s">
        <v>87</v>
      </c>
      <c r="R1404" s="427" t="s">
        <v>1691</v>
      </c>
      <c r="S1404" s="279">
        <v>37648</v>
      </c>
      <c r="T1404" s="197"/>
      <c r="U1404" s="250"/>
      <c r="V1404" s="306"/>
      <c r="W1404" s="949"/>
      <c r="X1404" s="250"/>
      <c r="Y1404" s="288"/>
      <c r="Z1404" s="289"/>
      <c r="AA1404" s="252"/>
      <c r="AB1404" s="288" t="s">
        <v>4529</v>
      </c>
      <c r="AC1404" s="223" t="s">
        <v>946</v>
      </c>
      <c r="AD1404" s="376"/>
      <c r="AE1404" s="494">
        <v>45111</v>
      </c>
      <c r="AF1404" s="494">
        <v>45476</v>
      </c>
      <c r="AG1404" s="241"/>
      <c r="AH1404" s="283"/>
      <c r="AI1404" s="254" t="s">
        <v>1351</v>
      </c>
      <c r="AJ1404" s="303" t="s">
        <v>136</v>
      </c>
      <c r="AK1404" s="241">
        <v>4</v>
      </c>
      <c r="AL1404" s="123" t="s">
        <v>499</v>
      </c>
      <c r="AM1404" s="175" t="s">
        <v>492</v>
      </c>
      <c r="AN1404" s="151"/>
      <c r="AO1404" s="151"/>
      <c r="AP1404" s="115"/>
      <c r="AQ1404" s="115"/>
      <c r="AR1404" s="115"/>
      <c r="AS1404" s="115"/>
      <c r="AT1404" s="115"/>
    </row>
    <row r="1405" spans="1:46" ht="39" customHeight="1" x14ac:dyDescent="0.25">
      <c r="A1405" s="1468">
        <v>1404</v>
      </c>
      <c r="B1405" s="146">
        <v>2</v>
      </c>
      <c r="C1405" s="260" t="s">
        <v>319</v>
      </c>
      <c r="D1405" s="241"/>
      <c r="E1405" s="241"/>
      <c r="F1405" s="241"/>
      <c r="G1405" s="261" t="s">
        <v>350</v>
      </c>
      <c r="H1405" s="262" t="s">
        <v>87</v>
      </c>
      <c r="I1405" s="357"/>
      <c r="J1405" s="245" t="s">
        <v>561</v>
      </c>
      <c r="K1405" s="216"/>
      <c r="L1405" s="281" t="s">
        <v>3959</v>
      </c>
      <c r="M1405" s="281" t="s">
        <v>3959</v>
      </c>
      <c r="N1405" s="366"/>
      <c r="O1405" s="216" t="s">
        <v>4568</v>
      </c>
      <c r="P1405" s="402"/>
      <c r="Q1405" s="301" t="s">
        <v>87</v>
      </c>
      <c r="R1405" s="381" t="s">
        <v>3993</v>
      </c>
      <c r="S1405" s="279">
        <v>37650</v>
      </c>
      <c r="T1405" s="306"/>
      <c r="U1405" s="250"/>
      <c r="V1405" s="452"/>
      <c r="W1405" s="1237"/>
      <c r="X1405" s="250"/>
      <c r="Y1405" s="979"/>
      <c r="Z1405" s="399"/>
      <c r="AA1405" s="252"/>
      <c r="AB1405" s="288" t="s">
        <v>4530</v>
      </c>
      <c r="AC1405" s="223" t="s">
        <v>946</v>
      </c>
      <c r="AD1405" s="306"/>
      <c r="AE1405" s="494">
        <v>45112</v>
      </c>
      <c r="AF1405" s="494">
        <v>45477</v>
      </c>
      <c r="AG1405" s="241"/>
      <c r="AH1405" s="301"/>
      <c r="AI1405" s="254" t="s">
        <v>1351</v>
      </c>
      <c r="AJ1405" s="303" t="s">
        <v>136</v>
      </c>
      <c r="AK1405" s="241">
        <v>4</v>
      </c>
      <c r="AL1405" s="123" t="s">
        <v>499</v>
      </c>
      <c r="AM1405" s="175" t="s">
        <v>492</v>
      </c>
      <c r="AN1405" s="167"/>
      <c r="AO1405" s="151"/>
      <c r="AP1405" s="115"/>
      <c r="AQ1405" s="115"/>
      <c r="AR1405" s="115"/>
      <c r="AS1405" s="115"/>
      <c r="AT1405" s="115"/>
    </row>
    <row r="1406" spans="1:46" ht="39" customHeight="1" x14ac:dyDescent="0.25">
      <c r="A1406" s="1468">
        <v>1405</v>
      </c>
      <c r="B1406" s="117">
        <v>2</v>
      </c>
      <c r="C1406" s="504" t="s">
        <v>353</v>
      </c>
      <c r="D1406" s="471"/>
      <c r="E1406" s="471"/>
      <c r="F1406" s="471"/>
      <c r="G1406" s="261" t="s">
        <v>354</v>
      </c>
      <c r="H1406" s="262" t="s">
        <v>87</v>
      </c>
      <c r="I1406" s="473"/>
      <c r="J1406" s="245" t="s">
        <v>561</v>
      </c>
      <c r="K1406" s="257"/>
      <c r="L1406" s="299"/>
      <c r="M1406" s="299"/>
      <c r="N1406" s="299"/>
      <c r="O1406" s="216" t="s">
        <v>2736</v>
      </c>
      <c r="P1406" s="402"/>
      <c r="Q1406" s="344" t="s">
        <v>87</v>
      </c>
      <c r="R1406" s="982" t="s">
        <v>2735</v>
      </c>
      <c r="S1406" s="279">
        <v>26782</v>
      </c>
      <c r="T1406" s="289"/>
      <c r="U1406" s="251" t="s">
        <v>54</v>
      </c>
      <c r="V1406" s="250" t="s">
        <v>2793</v>
      </c>
      <c r="W1406" s="197" t="s">
        <v>56</v>
      </c>
      <c r="X1406" s="197" t="s">
        <v>57</v>
      </c>
      <c r="Y1406" s="197" t="s">
        <v>2609</v>
      </c>
      <c r="Z1406" s="246">
        <v>45141</v>
      </c>
      <c r="AA1406" s="289"/>
      <c r="AB1406" s="299"/>
      <c r="AC1406" s="223"/>
      <c r="AD1406" s="299"/>
      <c r="AE1406" s="289"/>
      <c r="AF1406" s="289"/>
      <c r="AG1406" s="299"/>
      <c r="AH1406" s="299"/>
      <c r="AI1406" s="223"/>
      <c r="AJ1406" s="348" t="s">
        <v>560</v>
      </c>
      <c r="AK1406" s="471">
        <v>4</v>
      </c>
      <c r="AL1406" s="176" t="s">
        <v>499</v>
      </c>
      <c r="AM1406" s="175" t="s">
        <v>492</v>
      </c>
      <c r="AN1406" s="151" t="s">
        <v>5764</v>
      </c>
      <c r="AO1406" s="167"/>
      <c r="AP1406" s="115"/>
      <c r="AQ1406" s="115"/>
      <c r="AR1406" s="115"/>
      <c r="AS1406" s="115"/>
      <c r="AT1406" s="115"/>
    </row>
    <row r="1407" spans="1:46" ht="39" customHeight="1" x14ac:dyDescent="0.25">
      <c r="A1407" s="1468">
        <v>1406</v>
      </c>
      <c r="B1407" s="117"/>
      <c r="C1407" s="324"/>
      <c r="D1407" s="664"/>
      <c r="E1407" s="664"/>
      <c r="F1407" s="664"/>
      <c r="G1407" s="227"/>
      <c r="H1407" s="228"/>
      <c r="I1407" s="228"/>
      <c r="J1407" s="229"/>
      <c r="K1407" s="227"/>
      <c r="L1407" s="229"/>
      <c r="M1407" s="229"/>
      <c r="N1407" s="229"/>
      <c r="O1407" s="309"/>
      <c r="P1407" s="230" t="s">
        <v>355</v>
      </c>
      <c r="Q1407" s="726"/>
      <c r="R1407" s="1004"/>
      <c r="S1407" s="279"/>
      <c r="T1407" s="232"/>
      <c r="U1407" s="250"/>
      <c r="V1407" s="232"/>
      <c r="W1407" s="232"/>
      <c r="X1407" s="232"/>
      <c r="Y1407" s="232"/>
      <c r="Z1407" s="233"/>
      <c r="AA1407" s="252"/>
      <c r="AB1407" s="235"/>
      <c r="AC1407" s="236"/>
      <c r="AD1407" s="235"/>
      <c r="AE1407" s="494"/>
      <c r="AF1407" s="494"/>
      <c r="AG1407" s="664"/>
      <c r="AH1407" s="238"/>
      <c r="AI1407" s="239"/>
      <c r="AJ1407" s="576"/>
      <c r="AK1407" s="664"/>
      <c r="AL1407" s="134"/>
      <c r="AM1407" s="134"/>
      <c r="AN1407" s="163"/>
      <c r="AO1407" s="114"/>
      <c r="AP1407" s="115"/>
      <c r="AQ1407" s="115"/>
      <c r="AR1407" s="115"/>
      <c r="AS1407" s="115"/>
      <c r="AT1407" s="116"/>
    </row>
    <row r="1408" spans="1:46" ht="39" customHeight="1" x14ac:dyDescent="0.25">
      <c r="A1408" s="1468">
        <v>1407</v>
      </c>
      <c r="B1408" s="119">
        <v>10</v>
      </c>
      <c r="C1408" s="793" t="s">
        <v>305</v>
      </c>
      <c r="D1408" s="476"/>
      <c r="E1408" s="442" t="s">
        <v>47</v>
      </c>
      <c r="F1408" s="476"/>
      <c r="G1408" s="757" t="s">
        <v>340</v>
      </c>
      <c r="H1408" s="244" t="s">
        <v>83</v>
      </c>
      <c r="I1408" s="733"/>
      <c r="J1408" s="245">
        <v>302</v>
      </c>
      <c r="K1408" s="216" t="s">
        <v>158</v>
      </c>
      <c r="L1408" s="301" t="s">
        <v>1103</v>
      </c>
      <c r="M1408" s="301" t="s">
        <v>1103</v>
      </c>
      <c r="N1408" s="245"/>
      <c r="O1408" s="216" t="s">
        <v>1104</v>
      </c>
      <c r="P1408" s="402"/>
      <c r="Q1408" s="338" t="s">
        <v>2053</v>
      </c>
      <c r="R1408" s="990" t="s">
        <v>1105</v>
      </c>
      <c r="S1408" s="279">
        <v>37199</v>
      </c>
      <c r="T1408" s="197"/>
      <c r="U1408" s="251" t="s">
        <v>54</v>
      </c>
      <c r="V1408" s="252" t="s">
        <v>5909</v>
      </c>
      <c r="W1408" s="197" t="s">
        <v>5944</v>
      </c>
      <c r="X1408" s="197" t="s">
        <v>5942</v>
      </c>
      <c r="Y1408" s="197" t="s">
        <v>5943</v>
      </c>
      <c r="Z1408" s="252">
        <v>45303</v>
      </c>
      <c r="AA1408" s="246"/>
      <c r="AB1408" s="241"/>
      <c r="AC1408" s="223" t="s">
        <v>946</v>
      </c>
      <c r="AD1408" s="241"/>
      <c r="AE1408" s="494">
        <v>44511</v>
      </c>
      <c r="AF1408" s="494">
        <v>45240</v>
      </c>
      <c r="AG1408" s="241" t="s">
        <v>61</v>
      </c>
      <c r="AH1408" s="253"/>
      <c r="AI1408" s="284"/>
      <c r="AJ1408" s="1014" t="s">
        <v>62</v>
      </c>
      <c r="AK1408" s="442">
        <v>1</v>
      </c>
      <c r="AL1408" s="175" t="s">
        <v>499</v>
      </c>
      <c r="AM1408" s="175" t="s">
        <v>492</v>
      </c>
      <c r="AN1408" s="137"/>
      <c r="AO1408" s="800"/>
      <c r="AP1408" s="115"/>
      <c r="AQ1408" s="115"/>
      <c r="AR1408" s="115"/>
      <c r="AS1408" s="115"/>
      <c r="AT1408" s="115"/>
    </row>
    <row r="1409" spans="1:47" ht="39" customHeight="1" x14ac:dyDescent="0.25">
      <c r="A1409" s="1468">
        <v>1408</v>
      </c>
      <c r="B1409" s="128">
        <v>7</v>
      </c>
      <c r="C1409" s="290" t="s">
        <v>344</v>
      </c>
      <c r="D1409" s="291"/>
      <c r="E1409" s="291" t="s">
        <v>47</v>
      </c>
      <c r="F1409" s="291"/>
      <c r="G1409" s="292" t="s">
        <v>345</v>
      </c>
      <c r="H1409" s="293" t="s">
        <v>132</v>
      </c>
      <c r="I1409" s="346">
        <v>178</v>
      </c>
      <c r="J1409" s="256">
        <v>403</v>
      </c>
      <c r="K1409" s="216" t="s">
        <v>158</v>
      </c>
      <c r="L1409" s="281" t="s">
        <v>1115</v>
      </c>
      <c r="M1409" s="281" t="s">
        <v>1115</v>
      </c>
      <c r="N1409" s="245"/>
      <c r="O1409" s="216" t="s">
        <v>1116</v>
      </c>
      <c r="P1409" s="372"/>
      <c r="Q1409" s="344" t="s">
        <v>519</v>
      </c>
      <c r="R1409" s="982" t="s">
        <v>1117</v>
      </c>
      <c r="S1409" s="279">
        <v>27830</v>
      </c>
      <c r="T1409" s="250"/>
      <c r="U1409" s="250"/>
      <c r="V1409" s="245"/>
      <c r="W1409" s="250" t="s">
        <v>3581</v>
      </c>
      <c r="X1409" s="250"/>
      <c r="Y1409" s="250"/>
      <c r="Z1409" s="246"/>
      <c r="AA1409" s="252"/>
      <c r="AB1409" s="281"/>
      <c r="AC1409" s="223" t="s">
        <v>946</v>
      </c>
      <c r="AD1409" s="281"/>
      <c r="AE1409" s="494">
        <v>43534</v>
      </c>
      <c r="AF1409" s="494">
        <v>46092</v>
      </c>
      <c r="AG1409" s="241" t="s">
        <v>61</v>
      </c>
      <c r="AH1409" s="283"/>
      <c r="AI1409" s="296"/>
      <c r="AJ1409" s="348" t="s">
        <v>560</v>
      </c>
      <c r="AK1409" s="348">
        <v>3</v>
      </c>
      <c r="AL1409" s="123" t="s">
        <v>499</v>
      </c>
      <c r="AM1409" s="175" t="s">
        <v>492</v>
      </c>
      <c r="AN1409" s="177"/>
      <c r="AO1409" s="130"/>
      <c r="AP1409" s="115"/>
      <c r="AQ1409" s="115"/>
      <c r="AR1409" s="115"/>
      <c r="AS1409" s="115"/>
      <c r="AT1409" s="115"/>
    </row>
    <row r="1410" spans="1:47" ht="39" customHeight="1" x14ac:dyDescent="0.25">
      <c r="A1410" s="1468">
        <v>1409</v>
      </c>
      <c r="B1410" s="117">
        <v>3</v>
      </c>
      <c r="C1410" s="260" t="s">
        <v>346</v>
      </c>
      <c r="D1410" s="241"/>
      <c r="E1410" s="241"/>
      <c r="F1410" s="241"/>
      <c r="G1410" s="261" t="s">
        <v>347</v>
      </c>
      <c r="H1410" s="262" t="s">
        <v>85</v>
      </c>
      <c r="I1410" s="357"/>
      <c r="J1410" s="245" t="s">
        <v>556</v>
      </c>
      <c r="K1410" s="684"/>
      <c r="L1410" s="288" t="s">
        <v>5415</v>
      </c>
      <c r="M1410" s="288" t="s">
        <v>5415</v>
      </c>
      <c r="N1410" s="684"/>
      <c r="O1410" s="1414" t="s">
        <v>5493</v>
      </c>
      <c r="P1410" s="372"/>
      <c r="Q1410" s="1414" t="s">
        <v>87</v>
      </c>
      <c r="R1410" s="1201" t="s">
        <v>5492</v>
      </c>
      <c r="S1410" s="279">
        <v>38322</v>
      </c>
      <c r="T1410" s="684"/>
      <c r="U1410" s="250"/>
      <c r="V1410" s="299"/>
      <c r="W1410" s="197"/>
      <c r="X1410" s="197"/>
      <c r="Y1410" s="197"/>
      <c r="Z1410" s="246"/>
      <c r="AA1410" s="252"/>
      <c r="AB1410" s="288" t="s">
        <v>5494</v>
      </c>
      <c r="AC1410" s="684"/>
      <c r="AD1410" s="686"/>
      <c r="AE1410" s="494">
        <v>45261</v>
      </c>
      <c r="AF1410" s="494">
        <v>45626</v>
      </c>
      <c r="AG1410" s="684"/>
      <c r="AH1410" s="684"/>
      <c r="AI1410" s="307" t="s">
        <v>4208</v>
      </c>
      <c r="AJ1410" s="303" t="s">
        <v>136</v>
      </c>
      <c r="AK1410" s="241">
        <v>4</v>
      </c>
      <c r="AL1410" s="123" t="s">
        <v>499</v>
      </c>
      <c r="AM1410" s="175" t="s">
        <v>492</v>
      </c>
      <c r="AN1410" s="151"/>
      <c r="AO1410" s="151"/>
      <c r="AP1410" s="115"/>
      <c r="AQ1410" s="115"/>
      <c r="AR1410" s="115"/>
      <c r="AS1410" s="115"/>
      <c r="AT1410" s="115"/>
      <c r="AU1410" t="s">
        <v>4209</v>
      </c>
    </row>
    <row r="1411" spans="1:47" ht="39" customHeight="1" x14ac:dyDescent="0.25">
      <c r="A1411" s="1468">
        <v>1410</v>
      </c>
      <c r="B1411" s="146">
        <v>2</v>
      </c>
      <c r="C1411" s="260" t="s">
        <v>319</v>
      </c>
      <c r="D1411" s="241"/>
      <c r="E1411" s="241"/>
      <c r="F1411" s="241"/>
      <c r="G1411" s="261" t="s">
        <v>350</v>
      </c>
      <c r="H1411" s="262" t="s">
        <v>87</v>
      </c>
      <c r="I1411" s="357"/>
      <c r="J1411" s="245" t="s">
        <v>561</v>
      </c>
      <c r="K1411" s="261"/>
      <c r="L1411" s="256"/>
      <c r="M1411" s="256"/>
      <c r="N1411" s="256"/>
      <c r="O1411" s="950" t="s">
        <v>2755</v>
      </c>
      <c r="P1411" s="325"/>
      <c r="Q1411" s="373" t="s">
        <v>293</v>
      </c>
      <c r="R1411" s="982" t="s">
        <v>2754</v>
      </c>
      <c r="S1411" s="279">
        <v>30230</v>
      </c>
      <c r="T1411" s="197"/>
      <c r="U1411" s="251" t="s">
        <v>178</v>
      </c>
      <c r="V1411" s="250" t="s">
        <v>5806</v>
      </c>
      <c r="W1411" s="949" t="s">
        <v>5895</v>
      </c>
      <c r="X1411" s="197" t="s">
        <v>3477</v>
      </c>
      <c r="Y1411" s="949" t="s">
        <v>5813</v>
      </c>
      <c r="Z1411" s="246">
        <v>45287</v>
      </c>
      <c r="AA1411" s="252">
        <v>45331</v>
      </c>
      <c r="AB1411" s="245"/>
      <c r="AC1411" s="223"/>
      <c r="AD1411" s="245"/>
      <c r="AE1411" s="269"/>
      <c r="AF1411" s="246"/>
      <c r="AG1411" s="241"/>
      <c r="AH1411" s="253"/>
      <c r="AI1411" s="254"/>
      <c r="AJ1411" s="348" t="s">
        <v>560</v>
      </c>
      <c r="AK1411" s="241">
        <v>4</v>
      </c>
      <c r="AL1411" s="123" t="s">
        <v>499</v>
      </c>
      <c r="AM1411" s="175" t="s">
        <v>492</v>
      </c>
      <c r="AN1411" s="151"/>
      <c r="AO1411" s="151"/>
      <c r="AP1411" s="115"/>
      <c r="AQ1411" s="115"/>
      <c r="AR1411" s="115"/>
      <c r="AS1411" s="115"/>
      <c r="AT1411" s="115"/>
    </row>
    <row r="1412" spans="1:47" ht="39" customHeight="1" x14ac:dyDescent="0.25">
      <c r="A1412" s="1468">
        <v>1411</v>
      </c>
      <c r="B1412" s="161">
        <v>2</v>
      </c>
      <c r="C1412" s="260" t="s">
        <v>356</v>
      </c>
      <c r="D1412" s="241"/>
      <c r="E1412" s="241"/>
      <c r="F1412" s="241"/>
      <c r="G1412" s="261" t="s">
        <v>357</v>
      </c>
      <c r="H1412" s="262" t="s">
        <v>87</v>
      </c>
      <c r="I1412" s="364">
        <v>533</v>
      </c>
      <c r="J1412" s="245" t="s">
        <v>561</v>
      </c>
      <c r="K1412" s="216"/>
      <c r="L1412" s="281" t="s">
        <v>1681</v>
      </c>
      <c r="M1412" s="281" t="s">
        <v>1430</v>
      </c>
      <c r="N1412" s="366"/>
      <c r="O1412" s="1457" t="s">
        <v>3093</v>
      </c>
      <c r="P1412" s="247"/>
      <c r="Q1412" s="301" t="s">
        <v>87</v>
      </c>
      <c r="R1412" s="381" t="s">
        <v>1455</v>
      </c>
      <c r="S1412" s="279">
        <v>38127</v>
      </c>
      <c r="T1412" s="250"/>
      <c r="U1412" s="251" t="s">
        <v>54</v>
      </c>
      <c r="V1412" s="306" t="s">
        <v>4047</v>
      </c>
      <c r="W1412" s="949" t="s">
        <v>4050</v>
      </c>
      <c r="X1412" s="250" t="s">
        <v>5135</v>
      </c>
      <c r="Y1412" s="288" t="s">
        <v>4051</v>
      </c>
      <c r="Z1412" s="289">
        <v>45231</v>
      </c>
      <c r="AA1412" s="252"/>
      <c r="AB1412" s="288" t="s">
        <v>4534</v>
      </c>
      <c r="AC1412" s="223" t="s">
        <v>946</v>
      </c>
      <c r="AD1412" s="299"/>
      <c r="AE1412" s="494">
        <v>45098</v>
      </c>
      <c r="AF1412" s="494">
        <v>45463</v>
      </c>
      <c r="AG1412" s="299"/>
      <c r="AH1412" s="299"/>
      <c r="AI1412" s="296" t="s">
        <v>1351</v>
      </c>
      <c r="AJ1412" s="303" t="s">
        <v>136</v>
      </c>
      <c r="AK1412" s="241">
        <v>4</v>
      </c>
      <c r="AL1412" s="123" t="s">
        <v>499</v>
      </c>
      <c r="AM1412" s="175" t="s">
        <v>492</v>
      </c>
      <c r="AN1412" s="151"/>
      <c r="AO1412" s="151"/>
      <c r="AP1412" s="115"/>
      <c r="AQ1412" s="115"/>
      <c r="AR1412" s="115"/>
      <c r="AS1412" s="115"/>
      <c r="AT1412" s="115"/>
    </row>
    <row r="1413" spans="1:47" ht="39" customHeight="1" x14ac:dyDescent="0.25">
      <c r="A1413" s="1468">
        <v>1412</v>
      </c>
      <c r="B1413" s="117">
        <v>2</v>
      </c>
      <c r="C1413" s="501" t="s">
        <v>353</v>
      </c>
      <c r="D1413" s="241"/>
      <c r="E1413" s="241"/>
      <c r="F1413" s="241"/>
      <c r="G1413" s="261" t="s">
        <v>354</v>
      </c>
      <c r="H1413" s="262" t="s">
        <v>87</v>
      </c>
      <c r="I1413" s="357"/>
      <c r="J1413" s="245" t="s">
        <v>561</v>
      </c>
      <c r="K1413" s="216"/>
      <c r="L1413" s="301" t="s">
        <v>4055</v>
      </c>
      <c r="M1413" s="301" t="s">
        <v>4055</v>
      </c>
      <c r="N1413" s="256"/>
      <c r="O1413" s="216" t="s">
        <v>4071</v>
      </c>
      <c r="P1413" s="801" t="s">
        <v>1828</v>
      </c>
      <c r="Q1413" s="344" t="s">
        <v>87</v>
      </c>
      <c r="R1413" s="982" t="s">
        <v>4072</v>
      </c>
      <c r="S1413" s="279">
        <v>23765</v>
      </c>
      <c r="T1413" s="197"/>
      <c r="U1413" s="251" t="s">
        <v>54</v>
      </c>
      <c r="V1413" s="1416" t="s">
        <v>5447</v>
      </c>
      <c r="W1413" s="197" t="s">
        <v>56</v>
      </c>
      <c r="X1413" s="280" t="s">
        <v>57</v>
      </c>
      <c r="Y1413" s="949" t="s">
        <v>4631</v>
      </c>
      <c r="Z1413" s="246">
        <v>45270</v>
      </c>
      <c r="AA1413" s="252"/>
      <c r="AB1413" s="281"/>
      <c r="AC1413" s="223"/>
      <c r="AD1413" s="281"/>
      <c r="AE1413" s="494"/>
      <c r="AF1413" s="494"/>
      <c r="AG1413" s="241"/>
      <c r="AH1413" s="283"/>
      <c r="AI1413" s="296"/>
      <c r="AJ1413" s="348" t="s">
        <v>560</v>
      </c>
      <c r="AK1413" s="241">
        <v>4</v>
      </c>
      <c r="AL1413" s="123" t="s">
        <v>499</v>
      </c>
      <c r="AM1413" s="175" t="s">
        <v>492</v>
      </c>
      <c r="AN1413" s="151" t="s">
        <v>4193</v>
      </c>
      <c r="AO1413" s="151"/>
      <c r="AP1413" s="115"/>
      <c r="AQ1413" s="115"/>
      <c r="AR1413" s="115"/>
      <c r="AS1413" s="115"/>
      <c r="AT1413" s="115"/>
    </row>
    <row r="1414" spans="1:47" ht="39" customHeight="1" x14ac:dyDescent="0.25">
      <c r="A1414" s="1468">
        <v>1413</v>
      </c>
      <c r="B1414" s="128">
        <v>4</v>
      </c>
      <c r="C1414" s="290" t="s">
        <v>351</v>
      </c>
      <c r="D1414" s="291"/>
      <c r="E1414" s="291" t="s">
        <v>47</v>
      </c>
      <c r="F1414" s="291"/>
      <c r="G1414" s="292" t="s">
        <v>352</v>
      </c>
      <c r="H1414" s="293" t="s">
        <v>132</v>
      </c>
      <c r="I1414" s="346"/>
      <c r="J1414" s="256">
        <v>403</v>
      </c>
      <c r="K1414" s="665"/>
      <c r="L1414" s="289"/>
      <c r="M1414" s="289"/>
      <c r="N1414" s="392"/>
      <c r="O1414" s="216" t="s">
        <v>3926</v>
      </c>
      <c r="P1414" s="801" t="s">
        <v>1828</v>
      </c>
      <c r="Q1414" s="344" t="s">
        <v>567</v>
      </c>
      <c r="R1414" s="982" t="s">
        <v>3925</v>
      </c>
      <c r="S1414" s="279">
        <v>36122</v>
      </c>
      <c r="T1414" s="299"/>
      <c r="U1414" s="251" t="s">
        <v>54</v>
      </c>
      <c r="V1414" s="197" t="s">
        <v>5512</v>
      </c>
      <c r="W1414" s="250" t="s">
        <v>56</v>
      </c>
      <c r="X1414" s="197" t="s">
        <v>57</v>
      </c>
      <c r="Y1414" s="197" t="s">
        <v>5726</v>
      </c>
      <c r="Z1414" s="246">
        <v>45272</v>
      </c>
      <c r="AA1414" s="252"/>
      <c r="AB1414" s="299"/>
      <c r="AC1414" s="223"/>
      <c r="AD1414" s="299"/>
      <c r="AE1414" s="494"/>
      <c r="AF1414" s="494"/>
      <c r="AG1414" s="241"/>
      <c r="AH1414" s="281"/>
      <c r="AI1414" s="401"/>
      <c r="AJ1414" s="348" t="s">
        <v>560</v>
      </c>
      <c r="AK1414" s="291">
        <v>3</v>
      </c>
      <c r="AL1414" s="123" t="s">
        <v>499</v>
      </c>
      <c r="AM1414" s="175" t="s">
        <v>492</v>
      </c>
      <c r="AN1414" s="138"/>
      <c r="AO1414" s="138"/>
      <c r="AP1414" s="115"/>
      <c r="AQ1414" s="115"/>
      <c r="AR1414" s="115"/>
      <c r="AS1414" s="115"/>
      <c r="AT1414" s="115"/>
    </row>
    <row r="1415" spans="1:47" ht="39" customHeight="1" x14ac:dyDescent="0.25">
      <c r="A1415" s="1468">
        <v>1414</v>
      </c>
      <c r="B1415" s="117">
        <v>3</v>
      </c>
      <c r="C1415" s="260" t="s">
        <v>346</v>
      </c>
      <c r="D1415" s="241"/>
      <c r="E1415" s="241"/>
      <c r="F1415" s="241"/>
      <c r="G1415" s="261" t="s">
        <v>347</v>
      </c>
      <c r="H1415" s="262" t="s">
        <v>85</v>
      </c>
      <c r="I1415" s="357"/>
      <c r="J1415" s="245" t="s">
        <v>556</v>
      </c>
      <c r="K1415" s="197"/>
      <c r="L1415" s="301" t="s">
        <v>2014</v>
      </c>
      <c r="M1415" s="301" t="s">
        <v>2014</v>
      </c>
      <c r="N1415" s="366"/>
      <c r="O1415" s="1441" t="s">
        <v>2934</v>
      </c>
      <c r="P1415" s="402"/>
      <c r="Q1415" s="594" t="s">
        <v>87</v>
      </c>
      <c r="R1415" s="381" t="s">
        <v>2239</v>
      </c>
      <c r="S1415" s="279"/>
      <c r="T1415" s="197"/>
      <c r="U1415" s="250"/>
      <c r="V1415" s="197"/>
      <c r="W1415" s="250"/>
      <c r="X1415" s="250"/>
      <c r="Y1415" s="245"/>
      <c r="Z1415" s="246"/>
      <c r="AA1415" s="252"/>
      <c r="AB1415" s="361"/>
      <c r="AC1415" s="223" t="s">
        <v>946</v>
      </c>
      <c r="AD1415" s="376"/>
      <c r="AE1415" s="494"/>
      <c r="AF1415" s="494"/>
      <c r="AG1415" s="241"/>
      <c r="AH1415" s="283"/>
      <c r="AI1415" s="296" t="s">
        <v>1351</v>
      </c>
      <c r="AJ1415" s="303" t="s">
        <v>136</v>
      </c>
      <c r="AK1415" s="241">
        <v>4</v>
      </c>
      <c r="AL1415" s="123" t="s">
        <v>499</v>
      </c>
      <c r="AM1415" s="175" t="s">
        <v>492</v>
      </c>
      <c r="AN1415" s="151"/>
      <c r="AO1415" s="151"/>
      <c r="AP1415" s="115"/>
      <c r="AQ1415" s="115"/>
      <c r="AR1415" s="115"/>
      <c r="AS1415" s="115"/>
      <c r="AT1415" s="115"/>
    </row>
    <row r="1416" spans="1:47" ht="39" customHeight="1" x14ac:dyDescent="0.25">
      <c r="A1416" s="1468">
        <v>1415</v>
      </c>
      <c r="B1416" s="146">
        <v>2</v>
      </c>
      <c r="C1416" s="260" t="s">
        <v>319</v>
      </c>
      <c r="D1416" s="241"/>
      <c r="E1416" s="241"/>
      <c r="F1416" s="241"/>
      <c r="G1416" s="261" t="s">
        <v>350</v>
      </c>
      <c r="H1416" s="262" t="s">
        <v>87</v>
      </c>
      <c r="I1416" s="357"/>
      <c r="J1416" s="245" t="s">
        <v>561</v>
      </c>
      <c r="K1416" s="257"/>
      <c r="L1416" s="299"/>
      <c r="M1416" s="299"/>
      <c r="N1416" s="299"/>
      <c r="O1416" s="392" t="s">
        <v>3947</v>
      </c>
      <c r="P1416" s="801" t="s">
        <v>1828</v>
      </c>
      <c r="Q1416" s="344" t="s">
        <v>87</v>
      </c>
      <c r="R1416" s="982" t="s">
        <v>3946</v>
      </c>
      <c r="S1416" s="279">
        <v>32333</v>
      </c>
      <c r="T1416" s="289"/>
      <c r="U1416" s="251" t="s">
        <v>54</v>
      </c>
      <c r="V1416" s="197" t="s">
        <v>5512</v>
      </c>
      <c r="W1416" s="250" t="s">
        <v>56</v>
      </c>
      <c r="X1416" s="197" t="s">
        <v>57</v>
      </c>
      <c r="Y1416" s="197" t="s">
        <v>5726</v>
      </c>
      <c r="Z1416" s="246">
        <v>45272</v>
      </c>
      <c r="AA1416" s="252"/>
      <c r="AB1416" s="299"/>
      <c r="AC1416" s="223"/>
      <c r="AD1416" s="299"/>
      <c r="AE1416" s="494"/>
      <c r="AF1416" s="494"/>
      <c r="AG1416" s="299"/>
      <c r="AH1416" s="299"/>
      <c r="AI1416" s="223"/>
      <c r="AJ1416" s="348" t="s">
        <v>560</v>
      </c>
      <c r="AK1416" s="241">
        <v>4</v>
      </c>
      <c r="AL1416" s="123" t="s">
        <v>499</v>
      </c>
      <c r="AM1416" s="175" t="s">
        <v>492</v>
      </c>
      <c r="AN1416" s="110"/>
      <c r="AO1416" s="110"/>
      <c r="AP1416" s="115"/>
      <c r="AQ1416" s="115"/>
      <c r="AR1416" s="115"/>
      <c r="AS1416" s="115"/>
      <c r="AT1416" s="115"/>
    </row>
    <row r="1417" spans="1:47" ht="39" customHeight="1" x14ac:dyDescent="0.25">
      <c r="A1417" s="1468">
        <v>1416</v>
      </c>
      <c r="B1417" s="117">
        <v>2</v>
      </c>
      <c r="C1417" s="501" t="s">
        <v>319</v>
      </c>
      <c r="D1417" s="241"/>
      <c r="E1417" s="241"/>
      <c r="F1417" s="241"/>
      <c r="G1417" s="261" t="s">
        <v>350</v>
      </c>
      <c r="H1417" s="262" t="s">
        <v>87</v>
      </c>
      <c r="I1417" s="357"/>
      <c r="J1417" s="245" t="s">
        <v>561</v>
      </c>
      <c r="K1417" s="257"/>
      <c r="L1417" s="299" t="s">
        <v>5746</v>
      </c>
      <c r="M1417" s="299" t="s">
        <v>5746</v>
      </c>
      <c r="N1417" s="299"/>
      <c r="O1417" s="216" t="s">
        <v>5880</v>
      </c>
      <c r="P1417" s="801"/>
      <c r="Q1417" s="344" t="s">
        <v>85</v>
      </c>
      <c r="R1417" s="982" t="s">
        <v>5879</v>
      </c>
      <c r="S1417" s="279">
        <v>34948</v>
      </c>
      <c r="T1417" s="289"/>
      <c r="U1417" s="251"/>
      <c r="V1417" s="250"/>
      <c r="W1417" s="981"/>
      <c r="X1417" s="1463"/>
      <c r="Y1417" s="981"/>
      <c r="Z1417" s="252"/>
      <c r="AA1417" s="252"/>
      <c r="AB1417" s="299"/>
      <c r="AC1417" s="223"/>
      <c r="AD1417" s="299"/>
      <c r="AE1417" s="494"/>
      <c r="AF1417" s="494"/>
      <c r="AG1417" s="299"/>
      <c r="AH1417" s="299"/>
      <c r="AI1417" s="223"/>
      <c r="AJ1417" s="348" t="s">
        <v>560</v>
      </c>
      <c r="AK1417" s="241">
        <v>4</v>
      </c>
      <c r="AL1417" s="123" t="s">
        <v>499</v>
      </c>
      <c r="AM1417" s="175" t="s">
        <v>492</v>
      </c>
      <c r="AN1417" s="151"/>
      <c r="AO1417" s="151"/>
      <c r="AP1417" s="115"/>
      <c r="AQ1417" s="115"/>
      <c r="AR1417" s="115"/>
      <c r="AS1417" s="115"/>
      <c r="AT1417" s="115"/>
    </row>
    <row r="1418" spans="1:47" ht="39" customHeight="1" x14ac:dyDescent="0.25">
      <c r="A1418" s="1468">
        <v>1417</v>
      </c>
      <c r="B1418" s="117">
        <v>2</v>
      </c>
      <c r="C1418" s="501" t="s">
        <v>353</v>
      </c>
      <c r="D1418" s="241"/>
      <c r="E1418" s="241"/>
      <c r="F1418" s="241"/>
      <c r="G1418" s="261" t="s">
        <v>354</v>
      </c>
      <c r="H1418" s="262" t="s">
        <v>87</v>
      </c>
      <c r="I1418" s="357"/>
      <c r="J1418" s="245" t="s">
        <v>561</v>
      </c>
      <c r="K1418" s="257"/>
      <c r="L1418" s="299" t="s">
        <v>1993</v>
      </c>
      <c r="M1418" s="299" t="s">
        <v>1993</v>
      </c>
      <c r="N1418" s="299"/>
      <c r="O1418" s="216" t="s">
        <v>2343</v>
      </c>
      <c r="P1418" s="801" t="s">
        <v>1828</v>
      </c>
      <c r="Q1418" s="344" t="s">
        <v>2053</v>
      </c>
      <c r="R1418" s="982" t="s">
        <v>2342</v>
      </c>
      <c r="S1418" s="279">
        <v>31108</v>
      </c>
      <c r="T1418" s="289"/>
      <c r="U1418" s="251" t="s">
        <v>54</v>
      </c>
      <c r="V1418" s="197" t="s">
        <v>5955</v>
      </c>
      <c r="W1418" s="197" t="s">
        <v>70</v>
      </c>
      <c r="X1418" s="197" t="s">
        <v>71</v>
      </c>
      <c r="Y1418" s="949" t="s">
        <v>5964</v>
      </c>
      <c r="Z1418" s="612">
        <v>45312</v>
      </c>
      <c r="AA1418" s="252"/>
      <c r="AB1418" s="299"/>
      <c r="AC1418" s="223"/>
      <c r="AD1418" s="299"/>
      <c r="AE1418" s="494"/>
      <c r="AF1418" s="494"/>
      <c r="AG1418" s="299"/>
      <c r="AH1418" s="299"/>
      <c r="AI1418" s="223"/>
      <c r="AJ1418" s="348" t="s">
        <v>560</v>
      </c>
      <c r="AK1418" s="241">
        <v>4</v>
      </c>
      <c r="AL1418" s="123" t="s">
        <v>499</v>
      </c>
      <c r="AM1418" s="175" t="s">
        <v>492</v>
      </c>
      <c r="AN1418" s="151" t="s">
        <v>5764</v>
      </c>
      <c r="AO1418" s="151"/>
      <c r="AP1418" s="115"/>
      <c r="AQ1418" s="115"/>
      <c r="AR1418" s="115"/>
      <c r="AS1418" s="115"/>
      <c r="AT1418" s="115"/>
    </row>
    <row r="1419" spans="1:47" ht="39" customHeight="1" x14ac:dyDescent="0.25">
      <c r="A1419" s="1468">
        <v>1418</v>
      </c>
      <c r="B1419" s="128">
        <v>4</v>
      </c>
      <c r="C1419" s="290" t="s">
        <v>351</v>
      </c>
      <c r="D1419" s="291"/>
      <c r="E1419" s="291" t="s">
        <v>47</v>
      </c>
      <c r="F1419" s="291"/>
      <c r="G1419" s="292" t="s">
        <v>352</v>
      </c>
      <c r="H1419" s="293" t="s">
        <v>132</v>
      </c>
      <c r="I1419" s="346"/>
      <c r="J1419" s="256">
        <v>403</v>
      </c>
      <c r="K1419" s="216"/>
      <c r="L1419" s="281" t="s">
        <v>3689</v>
      </c>
      <c r="M1419" s="281" t="s">
        <v>3689</v>
      </c>
      <c r="N1419" s="366"/>
      <c r="O1419" s="1388" t="s">
        <v>3688</v>
      </c>
      <c r="P1419" s="402"/>
      <c r="Q1419" s="344" t="s">
        <v>132</v>
      </c>
      <c r="R1419" s="982" t="s">
        <v>3687</v>
      </c>
      <c r="S1419" s="279">
        <v>34742</v>
      </c>
      <c r="T1419" s="306"/>
      <c r="U1419" s="251" t="s">
        <v>886</v>
      </c>
      <c r="V1419" s="245" t="s">
        <v>6106</v>
      </c>
      <c r="W1419" s="250" t="s">
        <v>886</v>
      </c>
      <c r="X1419" s="250" t="s">
        <v>886</v>
      </c>
      <c r="Y1419" s="245"/>
      <c r="Z1419" s="246">
        <v>45317</v>
      </c>
      <c r="AA1419" s="252"/>
      <c r="AB1419" s="361"/>
      <c r="AC1419" s="223"/>
      <c r="AD1419" s="376"/>
      <c r="AE1419" s="494"/>
      <c r="AF1419" s="494"/>
      <c r="AG1419" s="241"/>
      <c r="AH1419" s="283"/>
      <c r="AI1419" s="254"/>
      <c r="AJ1419" s="491" t="s">
        <v>560</v>
      </c>
      <c r="AK1419" s="291">
        <v>3</v>
      </c>
      <c r="AL1419" s="123" t="s">
        <v>499</v>
      </c>
      <c r="AM1419" s="175" t="s">
        <v>492</v>
      </c>
      <c r="AN1419" s="138"/>
      <c r="AO1419" s="138"/>
      <c r="AP1419" s="115"/>
      <c r="AQ1419" s="115"/>
      <c r="AR1419" s="115"/>
      <c r="AS1419" s="115"/>
      <c r="AT1419" s="115"/>
    </row>
    <row r="1420" spans="1:47" ht="39" customHeight="1" x14ac:dyDescent="0.25">
      <c r="A1420" s="1468">
        <v>1419</v>
      </c>
      <c r="B1420" s="161">
        <v>3</v>
      </c>
      <c r="C1420" s="260" t="s">
        <v>346</v>
      </c>
      <c r="D1420" s="241"/>
      <c r="E1420" s="241"/>
      <c r="F1420" s="241"/>
      <c r="G1420" s="261" t="s">
        <v>347</v>
      </c>
      <c r="H1420" s="262" t="s">
        <v>85</v>
      </c>
      <c r="I1420" s="364"/>
      <c r="J1420" s="245" t="s">
        <v>556</v>
      </c>
      <c r="K1420" s="216"/>
      <c r="L1420" s="301" t="s">
        <v>991</v>
      </c>
      <c r="M1420" s="301" t="s">
        <v>1113</v>
      </c>
      <c r="N1420" s="216"/>
      <c r="O1420" s="392" t="s">
        <v>3118</v>
      </c>
      <c r="P1420" s="417"/>
      <c r="Q1420" s="301" t="s">
        <v>87</v>
      </c>
      <c r="R1420" s="427" t="s">
        <v>1369</v>
      </c>
      <c r="S1420" s="279">
        <v>37325</v>
      </c>
      <c r="T1420" s="197"/>
      <c r="U1420" s="250"/>
      <c r="V1420" s="245"/>
      <c r="W1420" s="250" t="s">
        <v>3584</v>
      </c>
      <c r="X1420" s="250"/>
      <c r="Y1420" s="245"/>
      <c r="Z1420" s="246"/>
      <c r="AA1420" s="252"/>
      <c r="AB1420" s="288" t="s">
        <v>4532</v>
      </c>
      <c r="AC1420" s="223" t="s">
        <v>946</v>
      </c>
      <c r="AD1420" s="376"/>
      <c r="AE1420" s="494">
        <v>45070</v>
      </c>
      <c r="AF1420" s="494">
        <v>45435</v>
      </c>
      <c r="AG1420" s="241"/>
      <c r="AH1420" s="283"/>
      <c r="AI1420" s="254" t="s">
        <v>1351</v>
      </c>
      <c r="AJ1420" s="303" t="s">
        <v>136</v>
      </c>
      <c r="AK1420" s="241">
        <v>4</v>
      </c>
      <c r="AL1420" s="123" t="s">
        <v>499</v>
      </c>
      <c r="AM1420" s="175" t="s">
        <v>492</v>
      </c>
      <c r="AN1420" s="151"/>
      <c r="AO1420" s="151"/>
      <c r="AP1420" s="115"/>
      <c r="AQ1420" s="115"/>
      <c r="AR1420" s="115"/>
      <c r="AS1420" s="115"/>
      <c r="AT1420" s="115"/>
    </row>
    <row r="1421" spans="1:47" ht="39" customHeight="1" x14ac:dyDescent="0.25">
      <c r="A1421" s="1468">
        <v>1420</v>
      </c>
      <c r="B1421" s="146">
        <v>2</v>
      </c>
      <c r="C1421" s="260" t="s">
        <v>319</v>
      </c>
      <c r="D1421" s="241"/>
      <c r="E1421" s="241"/>
      <c r="F1421" s="241"/>
      <c r="G1421" s="261" t="s">
        <v>350</v>
      </c>
      <c r="H1421" s="262" t="s">
        <v>87</v>
      </c>
      <c r="I1421" s="357"/>
      <c r="J1421" s="245" t="s">
        <v>561</v>
      </c>
      <c r="K1421" s="595"/>
      <c r="L1421" s="281" t="s">
        <v>1685</v>
      </c>
      <c r="M1421" s="281" t="s">
        <v>1527</v>
      </c>
      <c r="N1421" s="366"/>
      <c r="O1421" s="392" t="s">
        <v>2981</v>
      </c>
      <c r="P1421" s="402"/>
      <c r="Q1421" s="301" t="s">
        <v>87</v>
      </c>
      <c r="R1421" s="427" t="s">
        <v>1697</v>
      </c>
      <c r="S1421" s="279">
        <v>37664</v>
      </c>
      <c r="T1421" s="197"/>
      <c r="U1421" s="251" t="s">
        <v>54</v>
      </c>
      <c r="V1421" s="306" t="s">
        <v>4047</v>
      </c>
      <c r="W1421" s="949" t="s">
        <v>4050</v>
      </c>
      <c r="X1421" s="250" t="s">
        <v>5135</v>
      </c>
      <c r="Y1421" s="288" t="s">
        <v>4051</v>
      </c>
      <c r="Z1421" s="289">
        <v>45231</v>
      </c>
      <c r="AA1421" s="252"/>
      <c r="AB1421" s="288" t="s">
        <v>4533</v>
      </c>
      <c r="AC1421" s="223" t="s">
        <v>946</v>
      </c>
      <c r="AD1421" s="376"/>
      <c r="AE1421" s="494">
        <v>45111</v>
      </c>
      <c r="AF1421" s="494">
        <v>45476</v>
      </c>
      <c r="AG1421" s="241"/>
      <c r="AH1421" s="283"/>
      <c r="AI1421" s="254" t="s">
        <v>1351</v>
      </c>
      <c r="AJ1421" s="303" t="s">
        <v>136</v>
      </c>
      <c r="AK1421" s="241">
        <v>4</v>
      </c>
      <c r="AL1421" s="123" t="s">
        <v>499</v>
      </c>
      <c r="AM1421" s="175" t="s">
        <v>492</v>
      </c>
      <c r="AN1421" s="151"/>
      <c r="AO1421" s="151"/>
      <c r="AP1421" s="115"/>
      <c r="AQ1421" s="115"/>
      <c r="AR1421" s="115"/>
      <c r="AS1421" s="115"/>
      <c r="AT1421" s="115"/>
    </row>
    <row r="1422" spans="1:47" ht="39" customHeight="1" x14ac:dyDescent="0.25">
      <c r="A1422" s="1468">
        <v>1421</v>
      </c>
      <c r="B1422" s="146">
        <v>2</v>
      </c>
      <c r="C1422" s="260" t="s">
        <v>319</v>
      </c>
      <c r="D1422" s="241"/>
      <c r="E1422" s="241"/>
      <c r="F1422" s="241"/>
      <c r="G1422" s="261" t="s">
        <v>350</v>
      </c>
      <c r="H1422" s="262" t="s">
        <v>87</v>
      </c>
      <c r="I1422" s="357"/>
      <c r="J1422" s="245" t="s">
        <v>561</v>
      </c>
      <c r="K1422" s="257"/>
      <c r="L1422" s="299"/>
      <c r="M1422" s="299"/>
      <c r="N1422" s="299"/>
      <c r="O1422" s="216"/>
      <c r="P1422" s="801"/>
      <c r="Q1422" s="344"/>
      <c r="R1422" s="982" t="s">
        <v>66</v>
      </c>
      <c r="S1422" s="279"/>
      <c r="T1422" s="289"/>
      <c r="U1422" s="197"/>
      <c r="V1422" s="197"/>
      <c r="W1422" s="250"/>
      <c r="X1422" s="197"/>
      <c r="Y1422" s="197"/>
      <c r="Z1422" s="246"/>
      <c r="AA1422" s="252"/>
      <c r="AB1422" s="299"/>
      <c r="AC1422" s="223"/>
      <c r="AD1422" s="299"/>
      <c r="AE1422" s="494"/>
      <c r="AF1422" s="494"/>
      <c r="AG1422" s="299"/>
      <c r="AH1422" s="299"/>
      <c r="AI1422" s="223"/>
      <c r="AJ1422" s="348"/>
      <c r="AK1422" s="241">
        <v>4</v>
      </c>
      <c r="AL1422" s="123" t="s">
        <v>499</v>
      </c>
      <c r="AM1422" s="175" t="s">
        <v>492</v>
      </c>
      <c r="AN1422" s="151"/>
      <c r="AO1422" s="151"/>
      <c r="AP1422" s="115"/>
      <c r="AQ1422" s="115"/>
      <c r="AR1422" s="115"/>
      <c r="AS1422" s="115"/>
      <c r="AT1422" s="115"/>
    </row>
    <row r="1423" spans="1:47" ht="39" customHeight="1" x14ac:dyDescent="0.25">
      <c r="A1423" s="1468">
        <v>1422</v>
      </c>
      <c r="B1423" s="117">
        <v>2</v>
      </c>
      <c r="C1423" s="501" t="s">
        <v>353</v>
      </c>
      <c r="D1423" s="241"/>
      <c r="E1423" s="241"/>
      <c r="F1423" s="241"/>
      <c r="G1423" s="261" t="s">
        <v>354</v>
      </c>
      <c r="H1423" s="262" t="s">
        <v>87</v>
      </c>
      <c r="I1423" s="357"/>
      <c r="J1423" s="245" t="s">
        <v>561</v>
      </c>
      <c r="K1423" s="216"/>
      <c r="L1423" s="301" t="s">
        <v>1490</v>
      </c>
      <c r="M1423" s="301" t="s">
        <v>1490</v>
      </c>
      <c r="N1423" s="366"/>
      <c r="O1423" s="216" t="s">
        <v>3307</v>
      </c>
      <c r="P1423" s="320" t="s">
        <v>1828</v>
      </c>
      <c r="Q1423" s="373" t="s">
        <v>293</v>
      </c>
      <c r="R1423" s="982" t="s">
        <v>1518</v>
      </c>
      <c r="S1423" s="279">
        <v>31027</v>
      </c>
      <c r="T1423" s="197"/>
      <c r="U1423" s="251" t="s">
        <v>54</v>
      </c>
      <c r="V1423" s="250" t="s">
        <v>2793</v>
      </c>
      <c r="W1423" s="197" t="s">
        <v>56</v>
      </c>
      <c r="X1423" s="197" t="s">
        <v>57</v>
      </c>
      <c r="Y1423" s="197" t="s">
        <v>2609</v>
      </c>
      <c r="Z1423" s="246">
        <v>45141</v>
      </c>
      <c r="AA1423" s="252"/>
      <c r="AB1423" s="306"/>
      <c r="AC1423" s="223"/>
      <c r="AD1423" s="306"/>
      <c r="AE1423" s="494"/>
      <c r="AF1423" s="494"/>
      <c r="AG1423" s="282"/>
      <c r="AH1423" s="283"/>
      <c r="AI1423" s="296"/>
      <c r="AJ1423" s="348" t="s">
        <v>560</v>
      </c>
      <c r="AK1423" s="241">
        <v>4</v>
      </c>
      <c r="AL1423" s="123" t="s">
        <v>499</v>
      </c>
      <c r="AM1423" s="175" t="s">
        <v>492</v>
      </c>
      <c r="AN1423" s="151" t="s">
        <v>5764</v>
      </c>
      <c r="AO1423" s="151"/>
      <c r="AP1423" s="115"/>
      <c r="AQ1423" s="115"/>
      <c r="AR1423" s="115"/>
      <c r="AS1423" s="115"/>
      <c r="AT1423" s="115"/>
    </row>
    <row r="1424" spans="1:47" ht="39" customHeight="1" x14ac:dyDescent="0.25">
      <c r="A1424" s="1468">
        <v>1423</v>
      </c>
      <c r="B1424" s="117">
        <v>2</v>
      </c>
      <c r="C1424" s="1046" t="s">
        <v>360</v>
      </c>
      <c r="D1424" s="241"/>
      <c r="E1424" s="241"/>
      <c r="F1424" s="241"/>
      <c r="G1424" s="261" t="s">
        <v>354</v>
      </c>
      <c r="H1424" s="262" t="s">
        <v>87</v>
      </c>
      <c r="I1424" s="357" t="s">
        <v>361</v>
      </c>
      <c r="J1424" s="245" t="s">
        <v>561</v>
      </c>
      <c r="K1424" s="216"/>
      <c r="L1424" s="301" t="s">
        <v>1113</v>
      </c>
      <c r="M1424" s="301" t="s">
        <v>1208</v>
      </c>
      <c r="N1424" s="366"/>
      <c r="O1424" s="392" t="s">
        <v>2921</v>
      </c>
      <c r="P1424" s="247"/>
      <c r="Q1424" s="301" t="s">
        <v>293</v>
      </c>
      <c r="R1424" s="427" t="s">
        <v>1374</v>
      </c>
      <c r="S1424" s="279">
        <v>36266</v>
      </c>
      <c r="T1424" s="250"/>
      <c r="U1424" s="250"/>
      <c r="V1424" s="280"/>
      <c r="W1424" s="197"/>
      <c r="X1424" s="197"/>
      <c r="Y1424" s="1137"/>
      <c r="Z1424" s="612"/>
      <c r="AA1424" s="252"/>
      <c r="AB1424" s="299"/>
      <c r="AC1424" s="223" t="s">
        <v>946</v>
      </c>
      <c r="AD1424" s="299"/>
      <c r="AE1424" s="494">
        <v>45076</v>
      </c>
      <c r="AF1424" s="494">
        <v>45441</v>
      </c>
      <c r="AG1424" s="282"/>
      <c r="AH1424" s="299"/>
      <c r="AI1424" s="254" t="s">
        <v>1351</v>
      </c>
      <c r="AJ1424" s="303" t="s">
        <v>136</v>
      </c>
      <c r="AK1424" s="241">
        <v>4</v>
      </c>
      <c r="AL1424" s="123" t="s">
        <v>499</v>
      </c>
      <c r="AM1424" s="123" t="s">
        <v>492</v>
      </c>
      <c r="AN1424" s="151" t="s">
        <v>5764</v>
      </c>
      <c r="AO1424" s="813"/>
      <c r="AP1424" s="178"/>
      <c r="AQ1424" s="164"/>
      <c r="AR1424" s="115"/>
      <c r="AS1424" s="115"/>
      <c r="AT1424" s="115"/>
    </row>
    <row r="1425" spans="1:46" ht="39" customHeight="1" x14ac:dyDescent="0.25">
      <c r="A1425" s="1468">
        <v>1424</v>
      </c>
      <c r="B1425" s="117"/>
      <c r="C1425" s="324"/>
      <c r="D1425" s="664"/>
      <c r="E1425" s="664"/>
      <c r="F1425" s="664"/>
      <c r="G1425" s="227"/>
      <c r="H1425" s="228"/>
      <c r="I1425" s="228"/>
      <c r="J1425" s="229"/>
      <c r="K1425" s="227"/>
      <c r="L1425" s="229"/>
      <c r="M1425" s="229"/>
      <c r="N1425" s="229"/>
      <c r="O1425" s="309"/>
      <c r="P1425" s="230" t="s">
        <v>363</v>
      </c>
      <c r="Q1425" s="726"/>
      <c r="R1425" s="1004"/>
      <c r="S1425" s="279"/>
      <c r="T1425" s="232"/>
      <c r="U1425" s="250"/>
      <c r="V1425" s="232"/>
      <c r="W1425" s="232"/>
      <c r="X1425" s="232"/>
      <c r="Y1425" s="232"/>
      <c r="Z1425" s="233"/>
      <c r="AA1425" s="252"/>
      <c r="AB1425" s="235"/>
      <c r="AC1425" s="236"/>
      <c r="AD1425" s="235"/>
      <c r="AE1425" s="494"/>
      <c r="AF1425" s="494"/>
      <c r="AG1425" s="664"/>
      <c r="AH1425" s="238"/>
      <c r="AI1425" s="239"/>
      <c r="AJ1425" s="576"/>
      <c r="AK1425" s="664"/>
      <c r="AL1425" s="113"/>
      <c r="AM1425" s="113"/>
      <c r="AN1425" s="163"/>
      <c r="AO1425" s="113"/>
      <c r="AP1425" s="1158"/>
      <c r="AQ1425" s="115"/>
      <c r="AR1425" s="115"/>
      <c r="AS1425" s="115"/>
      <c r="AT1425" s="116"/>
    </row>
    <row r="1426" spans="1:46" ht="39" customHeight="1" x14ac:dyDescent="0.25">
      <c r="A1426" s="1468">
        <v>1425</v>
      </c>
      <c r="B1426" s="119">
        <v>10</v>
      </c>
      <c r="C1426" s="259" t="s">
        <v>305</v>
      </c>
      <c r="D1426" s="241"/>
      <c r="E1426" s="242" t="s">
        <v>47</v>
      </c>
      <c r="F1426" s="241"/>
      <c r="G1426" s="243" t="s">
        <v>340</v>
      </c>
      <c r="H1426" s="244" t="s">
        <v>83</v>
      </c>
      <c r="I1426" s="340"/>
      <c r="J1426" s="245">
        <v>302</v>
      </c>
      <c r="K1426" s="216" t="s">
        <v>313</v>
      </c>
      <c r="L1426" s="245" t="s">
        <v>1418</v>
      </c>
      <c r="M1426" s="245" t="s">
        <v>1418</v>
      </c>
      <c r="N1426" s="299"/>
      <c r="O1426" s="250" t="s">
        <v>1419</v>
      </c>
      <c r="P1426" s="589"/>
      <c r="Q1426" s="326" t="s">
        <v>2053</v>
      </c>
      <c r="R1426" s="1172" t="s">
        <v>1420</v>
      </c>
      <c r="S1426" s="279">
        <v>29717</v>
      </c>
      <c r="T1426" s="197"/>
      <c r="U1426" s="251" t="s">
        <v>54</v>
      </c>
      <c r="V1426" s="197" t="s">
        <v>5955</v>
      </c>
      <c r="W1426" s="197" t="s">
        <v>70</v>
      </c>
      <c r="X1426" s="197" t="s">
        <v>71</v>
      </c>
      <c r="Y1426" s="949" t="s">
        <v>5964</v>
      </c>
      <c r="Z1426" s="612">
        <v>45312</v>
      </c>
      <c r="AA1426" s="252"/>
      <c r="AB1426" s="590"/>
      <c r="AC1426" s="223" t="s">
        <v>946</v>
      </c>
      <c r="AD1426" s="591"/>
      <c r="AE1426" s="494">
        <v>43697</v>
      </c>
      <c r="AF1426" s="494">
        <v>45523</v>
      </c>
      <c r="AG1426" s="241" t="s">
        <v>61</v>
      </c>
      <c r="AH1426" s="253"/>
      <c r="AI1426" s="297"/>
      <c r="AJ1426" s="755" t="s">
        <v>62</v>
      </c>
      <c r="AK1426" s="242">
        <v>1</v>
      </c>
      <c r="AL1426" s="123" t="s">
        <v>499</v>
      </c>
      <c r="AM1426" s="175" t="s">
        <v>492</v>
      </c>
      <c r="AN1426" s="137"/>
      <c r="AO1426" s="137"/>
      <c r="AP1426" s="115"/>
      <c r="AQ1426" s="115"/>
      <c r="AR1426" s="115"/>
      <c r="AS1426" s="115"/>
      <c r="AT1426" s="115"/>
    </row>
    <row r="1427" spans="1:46" ht="39" customHeight="1" x14ac:dyDescent="0.25">
      <c r="A1427" s="1468">
        <v>1426</v>
      </c>
      <c r="B1427" s="117">
        <v>3</v>
      </c>
      <c r="C1427" s="503" t="s">
        <v>364</v>
      </c>
      <c r="D1427" s="471"/>
      <c r="E1427" s="471"/>
      <c r="F1427" s="471"/>
      <c r="G1427" s="472" t="s">
        <v>365</v>
      </c>
      <c r="H1427" s="262" t="s">
        <v>85</v>
      </c>
      <c r="I1427" s="473"/>
      <c r="J1427" s="245" t="s">
        <v>556</v>
      </c>
      <c r="K1427" s="216"/>
      <c r="L1427" s="281" t="s">
        <v>1676</v>
      </c>
      <c r="M1427" s="245" t="s">
        <v>1418</v>
      </c>
      <c r="N1427" s="281"/>
      <c r="O1427" s="1421" t="s">
        <v>3046</v>
      </c>
      <c r="P1427" s="325"/>
      <c r="Q1427" s="281" t="s">
        <v>87</v>
      </c>
      <c r="R1427" s="381" t="s">
        <v>1951</v>
      </c>
      <c r="S1427" s="279"/>
      <c r="T1427" s="252"/>
      <c r="U1427" s="250"/>
      <c r="V1427" s="250"/>
      <c r="W1427" s="250" t="s">
        <v>3585</v>
      </c>
      <c r="X1427" s="250"/>
      <c r="Y1427" s="289"/>
      <c r="Z1427" s="289"/>
      <c r="AA1427" s="252"/>
      <c r="AB1427" s="282"/>
      <c r="AC1427" s="223" t="s">
        <v>946</v>
      </c>
      <c r="AD1427" s="282"/>
      <c r="AE1427" s="494"/>
      <c r="AF1427" s="494"/>
      <c r="AG1427" s="282"/>
      <c r="AH1427" s="283"/>
      <c r="AI1427" s="254" t="s">
        <v>1351</v>
      </c>
      <c r="AJ1427" s="303" t="s">
        <v>136</v>
      </c>
      <c r="AK1427" s="471">
        <v>4</v>
      </c>
      <c r="AL1427" s="176" t="s">
        <v>499</v>
      </c>
      <c r="AM1427" s="175" t="s">
        <v>492</v>
      </c>
      <c r="AN1427" s="151"/>
      <c r="AO1427" s="151"/>
      <c r="AP1427" s="115"/>
      <c r="AQ1427" s="115"/>
      <c r="AR1427" s="115"/>
      <c r="AS1427" s="115"/>
      <c r="AT1427" s="115"/>
    </row>
    <row r="1428" spans="1:46" ht="39" customHeight="1" x14ac:dyDescent="0.25">
      <c r="A1428" s="1468">
        <v>1427</v>
      </c>
      <c r="B1428" s="117"/>
      <c r="C1428" s="324"/>
      <c r="D1428" s="664"/>
      <c r="E1428" s="664"/>
      <c r="F1428" s="664"/>
      <c r="G1428" s="227"/>
      <c r="H1428" s="228"/>
      <c r="I1428" s="228"/>
      <c r="J1428" s="229"/>
      <c r="K1428" s="227"/>
      <c r="L1428" s="229"/>
      <c r="M1428" s="229"/>
      <c r="N1428" s="229"/>
      <c r="O1428" s="309"/>
      <c r="P1428" s="230" t="s">
        <v>366</v>
      </c>
      <c r="Q1428" s="726"/>
      <c r="R1428" s="1004"/>
      <c r="S1428" s="279"/>
      <c r="T1428" s="334"/>
      <c r="U1428" s="250"/>
      <c r="V1428" s="334"/>
      <c r="W1428" s="232"/>
      <c r="X1428" s="232"/>
      <c r="Y1428" s="232"/>
      <c r="Z1428" s="233"/>
      <c r="AA1428" s="252"/>
      <c r="AB1428" s="235"/>
      <c r="AC1428" s="236"/>
      <c r="AD1428" s="235"/>
      <c r="AE1428" s="494"/>
      <c r="AF1428" s="494"/>
      <c r="AG1428" s="664"/>
      <c r="AH1428" s="238"/>
      <c r="AI1428" s="239"/>
      <c r="AJ1428" s="576"/>
      <c r="AK1428" s="664"/>
      <c r="AL1428" s="113"/>
      <c r="AM1428" s="114"/>
      <c r="AN1428" s="163"/>
      <c r="AO1428" s="122"/>
      <c r="AP1428" s="115"/>
      <c r="AQ1428" s="115"/>
      <c r="AR1428" s="115"/>
      <c r="AS1428" s="115"/>
      <c r="AT1428" s="116"/>
    </row>
    <row r="1429" spans="1:46" ht="39" customHeight="1" x14ac:dyDescent="0.25">
      <c r="A1429" s="1468">
        <v>1428</v>
      </c>
      <c r="B1429" s="128">
        <v>5</v>
      </c>
      <c r="C1429" s="982" t="s">
        <v>367</v>
      </c>
      <c r="D1429" s="291"/>
      <c r="E1429" s="291" t="s">
        <v>47</v>
      </c>
      <c r="F1429" s="291"/>
      <c r="G1429" s="292" t="s">
        <v>368</v>
      </c>
      <c r="H1429" s="293" t="s">
        <v>132</v>
      </c>
      <c r="I1429" s="346"/>
      <c r="J1429" s="256">
        <v>403</v>
      </c>
      <c r="K1429" s="216"/>
      <c r="L1429" s="281"/>
      <c r="M1429" s="281"/>
      <c r="N1429" s="245"/>
      <c r="O1429" s="216"/>
      <c r="P1429" s="325"/>
      <c r="Q1429" s="344"/>
      <c r="R1429" s="683" t="s">
        <v>66</v>
      </c>
      <c r="S1429" s="279"/>
      <c r="T1429" s="252"/>
      <c r="U1429" s="250"/>
      <c r="V1429" s="250"/>
      <c r="W1429" s="197"/>
      <c r="X1429" s="197"/>
      <c r="Y1429" s="252"/>
      <c r="Z1429" s="252"/>
      <c r="AA1429" s="252"/>
      <c r="AB1429" s="282"/>
      <c r="AC1429" s="223"/>
      <c r="AD1429" s="282"/>
      <c r="AE1429" s="494"/>
      <c r="AF1429" s="494"/>
      <c r="AG1429" s="282"/>
      <c r="AH1429" s="283"/>
      <c r="AI1429" s="328"/>
      <c r="AJ1429" s="348"/>
      <c r="AK1429" s="491">
        <v>3</v>
      </c>
      <c r="AL1429" s="814" t="s">
        <v>499</v>
      </c>
      <c r="AM1429" s="175" t="s">
        <v>492</v>
      </c>
      <c r="AN1429" s="138"/>
      <c r="AO1429" s="140"/>
      <c r="AP1429" s="115"/>
      <c r="AQ1429" s="115"/>
      <c r="AR1429" s="115"/>
      <c r="AS1429" s="115"/>
      <c r="AT1429" s="115"/>
    </row>
    <row r="1430" spans="1:46" ht="39" customHeight="1" x14ac:dyDescent="0.25">
      <c r="A1430" s="1468">
        <v>1429</v>
      </c>
      <c r="B1430" s="117">
        <v>3</v>
      </c>
      <c r="C1430" s="378" t="s">
        <v>369</v>
      </c>
      <c r="D1430" s="303"/>
      <c r="E1430" s="241"/>
      <c r="F1430" s="241"/>
      <c r="G1430" s="261" t="s">
        <v>370</v>
      </c>
      <c r="H1430" s="262" t="s">
        <v>87</v>
      </c>
      <c r="I1430" s="357"/>
      <c r="J1430" s="245" t="s">
        <v>561</v>
      </c>
      <c r="K1430" s="216"/>
      <c r="L1430" s="288" t="s">
        <v>5415</v>
      </c>
      <c r="M1430" s="288" t="s">
        <v>5415</v>
      </c>
      <c r="N1430" s="366"/>
      <c r="O1430" s="1414" t="s">
        <v>5496</v>
      </c>
      <c r="P1430" s="374"/>
      <c r="Q1430" s="1414" t="s">
        <v>87</v>
      </c>
      <c r="R1430" s="1201" t="s">
        <v>5495</v>
      </c>
      <c r="S1430" s="279">
        <v>37000</v>
      </c>
      <c r="T1430" s="197"/>
      <c r="U1430" s="250"/>
      <c r="V1430" s="299"/>
      <c r="W1430" s="197"/>
      <c r="X1430" s="197"/>
      <c r="Y1430" s="197"/>
      <c r="Z1430" s="246"/>
      <c r="AA1430" s="252"/>
      <c r="AB1430" s="288" t="s">
        <v>5467</v>
      </c>
      <c r="AC1430" s="223"/>
      <c r="AD1430" s="257"/>
      <c r="AE1430" s="494">
        <v>45261</v>
      </c>
      <c r="AF1430" s="494">
        <v>45626</v>
      </c>
      <c r="AG1430" s="385"/>
      <c r="AH1430" s="281"/>
      <c r="AI1430" s="307" t="s">
        <v>4208</v>
      </c>
      <c r="AJ1430" s="303" t="s">
        <v>136</v>
      </c>
      <c r="AK1430" s="241">
        <v>4</v>
      </c>
      <c r="AL1430" s="123" t="s">
        <v>499</v>
      </c>
      <c r="AM1430" s="175" t="s">
        <v>492</v>
      </c>
      <c r="AN1430" s="173"/>
      <c r="AO1430" s="151"/>
      <c r="AP1430" s="115"/>
      <c r="AQ1430" s="115"/>
      <c r="AR1430" s="115"/>
      <c r="AS1430" s="115"/>
      <c r="AT1430" s="115"/>
    </row>
    <row r="1431" spans="1:46" ht="39" customHeight="1" x14ac:dyDescent="0.25">
      <c r="A1431" s="1468">
        <v>1430</v>
      </c>
      <c r="B1431" s="161">
        <v>2</v>
      </c>
      <c r="C1431" s="260" t="s">
        <v>371</v>
      </c>
      <c r="D1431" s="241"/>
      <c r="E1431" s="241"/>
      <c r="F1431" s="241"/>
      <c r="G1431" s="261" t="s">
        <v>372</v>
      </c>
      <c r="H1431" s="262" t="s">
        <v>87</v>
      </c>
      <c r="I1431" s="364"/>
      <c r="J1431" s="245" t="s">
        <v>561</v>
      </c>
      <c r="K1431" s="756"/>
      <c r="L1431" s="288" t="s">
        <v>5415</v>
      </c>
      <c r="M1431" s="288" t="s">
        <v>5415</v>
      </c>
      <c r="N1431" s="451"/>
      <c r="O1431" s="1459" t="s">
        <v>5486</v>
      </c>
      <c r="P1431" s="1432"/>
      <c r="Q1431" s="1459" t="s">
        <v>87</v>
      </c>
      <c r="R1431" s="1201" t="s">
        <v>5485</v>
      </c>
      <c r="S1431" s="279">
        <v>38569</v>
      </c>
      <c r="T1431" s="399"/>
      <c r="U1431" s="250"/>
      <c r="V1431" s="299"/>
      <c r="W1431" s="197"/>
      <c r="X1431" s="197"/>
      <c r="Y1431" s="197"/>
      <c r="Z1431" s="246"/>
      <c r="AA1431" s="252"/>
      <c r="AB1431" s="288" t="s">
        <v>4886</v>
      </c>
      <c r="AC1431" s="488"/>
      <c r="AD1431" s="849"/>
      <c r="AE1431" s="252">
        <v>45261</v>
      </c>
      <c r="AF1431" s="252">
        <f>AE1431+365</f>
        <v>45626</v>
      </c>
      <c r="AG1431" s="487"/>
      <c r="AH1431" s="850"/>
      <c r="AI1431" s="307" t="s">
        <v>4208</v>
      </c>
      <c r="AJ1431" s="303" t="s">
        <v>136</v>
      </c>
      <c r="AK1431" s="241">
        <v>4</v>
      </c>
      <c r="AL1431" s="123" t="s">
        <v>499</v>
      </c>
      <c r="AM1431" s="175" t="s">
        <v>492</v>
      </c>
      <c r="AN1431" s="167"/>
      <c r="AO1431" s="151"/>
      <c r="AP1431" s="115"/>
      <c r="AQ1431" s="115"/>
      <c r="AR1431" s="115"/>
      <c r="AS1431" s="115"/>
      <c r="AT1431" s="115"/>
    </row>
    <row r="1432" spans="1:46" ht="39" customHeight="1" x14ac:dyDescent="0.25">
      <c r="A1432" s="1468">
        <v>1431</v>
      </c>
      <c r="B1432" s="117">
        <v>2</v>
      </c>
      <c r="C1432" s="504" t="s">
        <v>353</v>
      </c>
      <c r="D1432" s="471"/>
      <c r="E1432" s="471"/>
      <c r="F1432" s="471"/>
      <c r="G1432" s="261" t="s">
        <v>354</v>
      </c>
      <c r="H1432" s="262" t="s">
        <v>87</v>
      </c>
      <c r="I1432" s="473"/>
      <c r="J1432" s="245" t="s">
        <v>561</v>
      </c>
      <c r="K1432" s="288"/>
      <c r="L1432" s="288" t="s">
        <v>5415</v>
      </c>
      <c r="M1432" s="288" t="s">
        <v>5415</v>
      </c>
      <c r="N1432" s="366"/>
      <c r="O1432" s="1414" t="s">
        <v>5498</v>
      </c>
      <c r="P1432" s="325"/>
      <c r="Q1432" s="1414" t="s">
        <v>87</v>
      </c>
      <c r="R1432" s="1201" t="s">
        <v>5497</v>
      </c>
      <c r="S1432" s="279">
        <v>38420</v>
      </c>
      <c r="T1432" s="252"/>
      <c r="U1432" s="250"/>
      <c r="V1432" s="299"/>
      <c r="W1432" s="197"/>
      <c r="X1432" s="197"/>
      <c r="Y1432" s="197"/>
      <c r="Z1432" s="246"/>
      <c r="AA1432" s="252"/>
      <c r="AB1432" s="288" t="s">
        <v>5499</v>
      </c>
      <c r="AC1432" s="223"/>
      <c r="AD1432" s="282"/>
      <c r="AE1432" s="494">
        <v>45261</v>
      </c>
      <c r="AF1432" s="494">
        <v>45626</v>
      </c>
      <c r="AG1432" s="392"/>
      <c r="AH1432" s="283"/>
      <c r="AI1432" s="307" t="s">
        <v>4208</v>
      </c>
      <c r="AJ1432" s="303" t="s">
        <v>136</v>
      </c>
      <c r="AK1432" s="471">
        <v>4</v>
      </c>
      <c r="AL1432" s="176" t="s">
        <v>499</v>
      </c>
      <c r="AM1432" s="175" t="s">
        <v>492</v>
      </c>
      <c r="AN1432" s="151" t="s">
        <v>4193</v>
      </c>
      <c r="AO1432" s="167"/>
      <c r="AP1432" s="115"/>
      <c r="AQ1432" s="115"/>
      <c r="AR1432" s="115"/>
      <c r="AS1432" s="115"/>
      <c r="AT1432" s="115"/>
    </row>
    <row r="1433" spans="1:46" ht="39" customHeight="1" x14ac:dyDescent="0.25">
      <c r="A1433" s="1468">
        <v>1432</v>
      </c>
      <c r="B1433" s="117"/>
      <c r="C1433" s="324"/>
      <c r="D1433" s="664"/>
      <c r="E1433" s="664"/>
      <c r="F1433" s="664"/>
      <c r="G1433" s="227"/>
      <c r="H1433" s="228"/>
      <c r="I1433" s="228"/>
      <c r="J1433" s="229"/>
      <c r="K1433" s="227"/>
      <c r="L1433" s="229"/>
      <c r="M1433" s="229"/>
      <c r="N1433" s="229"/>
      <c r="O1433" s="309"/>
      <c r="P1433" s="230" t="s">
        <v>373</v>
      </c>
      <c r="Q1433" s="664"/>
      <c r="R1433" s="324"/>
      <c r="S1433" s="279"/>
      <c r="T1433" s="334"/>
      <c r="U1433" s="250"/>
      <c r="V1433" s="334"/>
      <c r="W1433" s="232"/>
      <c r="X1433" s="232"/>
      <c r="Y1433" s="232"/>
      <c r="Z1433" s="233"/>
      <c r="AA1433" s="252"/>
      <c r="AB1433" s="235"/>
      <c r="AC1433" s="236"/>
      <c r="AD1433" s="235"/>
      <c r="AE1433" s="494"/>
      <c r="AF1433" s="494"/>
      <c r="AG1433" s="664"/>
      <c r="AH1433" s="238"/>
      <c r="AI1433" s="239"/>
      <c r="AJ1433" s="576"/>
      <c r="AK1433" s="664"/>
      <c r="AL1433" s="113"/>
      <c r="AM1433" s="113"/>
      <c r="AN1433" s="163"/>
      <c r="AO1433" s="114"/>
      <c r="AP1433" s="115"/>
      <c r="AQ1433" s="115"/>
      <c r="AR1433" s="115"/>
      <c r="AS1433" s="115"/>
      <c r="AT1433" s="116"/>
    </row>
    <row r="1434" spans="1:46" ht="39" customHeight="1" x14ac:dyDescent="0.25">
      <c r="A1434" s="1468">
        <v>1433</v>
      </c>
      <c r="B1434" s="128">
        <v>7</v>
      </c>
      <c r="C1434" s="290" t="s">
        <v>374</v>
      </c>
      <c r="D1434" s="291"/>
      <c r="E1434" s="291" t="s">
        <v>47</v>
      </c>
      <c r="F1434" s="291"/>
      <c r="G1434" s="292" t="s">
        <v>375</v>
      </c>
      <c r="H1434" s="293" t="s">
        <v>132</v>
      </c>
      <c r="I1434" s="346"/>
      <c r="J1434" s="256">
        <v>403</v>
      </c>
      <c r="K1434" s="216" t="s">
        <v>158</v>
      </c>
      <c r="L1434" s="281" t="s">
        <v>1123</v>
      </c>
      <c r="M1434" s="281" t="s">
        <v>1123</v>
      </c>
      <c r="N1434" s="245"/>
      <c r="O1434" s="216" t="s">
        <v>1124</v>
      </c>
      <c r="P1434" s="372"/>
      <c r="Q1434" s="344" t="s">
        <v>519</v>
      </c>
      <c r="R1434" s="982" t="s">
        <v>1125</v>
      </c>
      <c r="S1434" s="279">
        <v>27675</v>
      </c>
      <c r="T1434" s="250"/>
      <c r="U1434" s="250"/>
      <c r="V1434" s="245"/>
      <c r="W1434" s="250" t="s">
        <v>3581</v>
      </c>
      <c r="X1434" s="250"/>
      <c r="Y1434" s="197"/>
      <c r="Z1434" s="246"/>
      <c r="AA1434" s="252"/>
      <c r="AB1434" s="281"/>
      <c r="AC1434" s="223" t="s">
        <v>946</v>
      </c>
      <c r="AD1434" s="281"/>
      <c r="AE1434" s="494">
        <v>43626</v>
      </c>
      <c r="AF1434" s="494">
        <v>45938</v>
      </c>
      <c r="AG1434" s="241" t="s">
        <v>61</v>
      </c>
      <c r="AH1434" s="283"/>
      <c r="AI1434" s="296"/>
      <c r="AJ1434" s="348" t="s">
        <v>560</v>
      </c>
      <c r="AK1434" s="348">
        <v>3</v>
      </c>
      <c r="AL1434" s="123" t="s">
        <v>499</v>
      </c>
      <c r="AM1434" s="175" t="s">
        <v>492</v>
      </c>
      <c r="AN1434" s="138"/>
      <c r="AO1434" s="138"/>
      <c r="AP1434" s="115"/>
      <c r="AQ1434" s="115"/>
      <c r="AR1434" s="115"/>
      <c r="AS1434" s="115"/>
      <c r="AT1434" s="115"/>
    </row>
    <row r="1435" spans="1:46" ht="39" customHeight="1" x14ac:dyDescent="0.25">
      <c r="A1435" s="1468">
        <v>1434</v>
      </c>
      <c r="B1435" s="117">
        <v>3</v>
      </c>
      <c r="C1435" s="260" t="s">
        <v>376</v>
      </c>
      <c r="D1435" s="241"/>
      <c r="E1435" s="241"/>
      <c r="F1435" s="241"/>
      <c r="G1435" s="261" t="s">
        <v>377</v>
      </c>
      <c r="H1435" s="262" t="s">
        <v>85</v>
      </c>
      <c r="I1435" s="357"/>
      <c r="J1435" s="245" t="s">
        <v>556</v>
      </c>
      <c r="K1435" s="197"/>
      <c r="L1435" s="281" t="s">
        <v>1685</v>
      </c>
      <c r="M1435" s="281" t="s">
        <v>1527</v>
      </c>
      <c r="N1435" s="366"/>
      <c r="O1435" s="392" t="s">
        <v>2887</v>
      </c>
      <c r="P1435" s="402"/>
      <c r="Q1435" s="301" t="s">
        <v>87</v>
      </c>
      <c r="R1435" s="381" t="s">
        <v>1686</v>
      </c>
      <c r="S1435" s="279"/>
      <c r="T1435" s="197"/>
      <c r="U1435" s="250"/>
      <c r="V1435" s="392"/>
      <c r="W1435" s="197" t="s">
        <v>3584</v>
      </c>
      <c r="X1435" s="197"/>
      <c r="Y1435" s="595"/>
      <c r="Z1435" s="698"/>
      <c r="AA1435" s="252"/>
      <c r="AB1435" s="288" t="s">
        <v>4535</v>
      </c>
      <c r="AC1435" s="223" t="s">
        <v>946</v>
      </c>
      <c r="AD1435" s="376"/>
      <c r="AE1435" s="494">
        <v>45111</v>
      </c>
      <c r="AF1435" s="494">
        <v>45476</v>
      </c>
      <c r="AG1435" s="241"/>
      <c r="AH1435" s="283"/>
      <c r="AI1435" s="254" t="s">
        <v>1351</v>
      </c>
      <c r="AJ1435" s="303" t="s">
        <v>136</v>
      </c>
      <c r="AK1435" s="241">
        <v>4</v>
      </c>
      <c r="AL1435" s="123" t="s">
        <v>499</v>
      </c>
      <c r="AM1435" s="175" t="s">
        <v>492</v>
      </c>
      <c r="AN1435" s="173"/>
      <c r="AO1435" s="151"/>
      <c r="AP1435" s="115"/>
      <c r="AQ1435" s="115"/>
      <c r="AR1435" s="115"/>
      <c r="AS1435" s="115"/>
      <c r="AT1435" s="115"/>
    </row>
    <row r="1436" spans="1:46" ht="39" customHeight="1" x14ac:dyDescent="0.25">
      <c r="A1436" s="1468">
        <v>1435</v>
      </c>
      <c r="B1436" s="117">
        <v>2</v>
      </c>
      <c r="C1436" s="260" t="s">
        <v>299</v>
      </c>
      <c r="D1436" s="241"/>
      <c r="E1436" s="241"/>
      <c r="F1436" s="241"/>
      <c r="G1436" s="261" t="s">
        <v>300</v>
      </c>
      <c r="H1436" s="262" t="s">
        <v>87</v>
      </c>
      <c r="I1436" s="357"/>
      <c r="J1436" s="245" t="s">
        <v>561</v>
      </c>
      <c r="K1436" s="288"/>
      <c r="L1436" s="281" t="s">
        <v>1681</v>
      </c>
      <c r="M1436" s="281" t="s">
        <v>1430</v>
      </c>
      <c r="N1436" s="256"/>
      <c r="O1436" s="1483" t="s">
        <v>3052</v>
      </c>
      <c r="P1436" s="372"/>
      <c r="Q1436" s="197" t="s">
        <v>87</v>
      </c>
      <c r="R1436" s="427" t="s">
        <v>1682</v>
      </c>
      <c r="S1436" s="279">
        <v>38381</v>
      </c>
      <c r="T1436" s="197"/>
      <c r="U1436" s="251" t="s">
        <v>54</v>
      </c>
      <c r="V1436" s="280" t="s">
        <v>3508</v>
      </c>
      <c r="W1436" s="197" t="s">
        <v>2039</v>
      </c>
      <c r="X1436" s="197" t="s">
        <v>475</v>
      </c>
      <c r="Y1436" s="949" t="s">
        <v>3510</v>
      </c>
      <c r="Z1436" s="612">
        <v>45205</v>
      </c>
      <c r="AA1436" s="1107"/>
      <c r="AB1436" s="288" t="s">
        <v>4512</v>
      </c>
      <c r="AC1436" s="223" t="s">
        <v>946</v>
      </c>
      <c r="AD1436" s="299"/>
      <c r="AE1436" s="494">
        <v>45098</v>
      </c>
      <c r="AF1436" s="494">
        <v>45463</v>
      </c>
      <c r="AG1436" s="299"/>
      <c r="AH1436" s="299"/>
      <c r="AI1436" s="296" t="s">
        <v>1351</v>
      </c>
      <c r="AJ1436" s="303" t="s">
        <v>136</v>
      </c>
      <c r="AK1436" s="241">
        <v>4</v>
      </c>
      <c r="AL1436" s="123" t="s">
        <v>499</v>
      </c>
      <c r="AM1436" s="175" t="s">
        <v>492</v>
      </c>
      <c r="AN1436" s="167"/>
      <c r="AO1436" s="151"/>
      <c r="AP1436" s="115"/>
      <c r="AQ1436" s="115"/>
      <c r="AR1436" s="115"/>
      <c r="AS1436" s="115"/>
      <c r="AT1436" s="115"/>
    </row>
    <row r="1437" spans="1:46" ht="39" customHeight="1" x14ac:dyDescent="0.25">
      <c r="A1437" s="1468">
        <v>1436</v>
      </c>
      <c r="B1437" s="117">
        <v>2</v>
      </c>
      <c r="C1437" s="1046" t="s">
        <v>360</v>
      </c>
      <c r="D1437" s="241"/>
      <c r="E1437" s="241"/>
      <c r="F1437" s="241"/>
      <c r="G1437" s="261" t="s">
        <v>354</v>
      </c>
      <c r="H1437" s="262" t="s">
        <v>87</v>
      </c>
      <c r="I1437" s="357"/>
      <c r="J1437" s="245" t="s">
        <v>561</v>
      </c>
      <c r="K1437" s="216"/>
      <c r="L1437" s="281"/>
      <c r="M1437" s="281"/>
      <c r="N1437" s="366"/>
      <c r="O1437" s="216"/>
      <c r="P1437" s="402"/>
      <c r="Q1437" s="301"/>
      <c r="R1437" s="683" t="s">
        <v>66</v>
      </c>
      <c r="S1437" s="279"/>
      <c r="T1437" s="306"/>
      <c r="U1437" s="250"/>
      <c r="V1437" s="197"/>
      <c r="W1437" s="306"/>
      <c r="X1437" s="306"/>
      <c r="Y1437" s="197"/>
      <c r="Z1437" s="246"/>
      <c r="AA1437" s="252"/>
      <c r="AB1437" s="301"/>
      <c r="AC1437" s="223"/>
      <c r="AD1437" s="301"/>
      <c r="AE1437" s="494"/>
      <c r="AF1437" s="494"/>
      <c r="AG1437" s="305"/>
      <c r="AH1437" s="301"/>
      <c r="AI1437" s="223"/>
      <c r="AJ1437" s="303"/>
      <c r="AK1437" s="241">
        <v>4</v>
      </c>
      <c r="AL1437" s="123" t="s">
        <v>499</v>
      </c>
      <c r="AM1437" s="123" t="s">
        <v>492</v>
      </c>
      <c r="AN1437" s="151"/>
      <c r="AO1437" s="167"/>
      <c r="AP1437" s="115"/>
      <c r="AQ1437" s="115"/>
      <c r="AR1437" s="115"/>
      <c r="AS1437" s="115"/>
      <c r="AT1437" s="115"/>
    </row>
    <row r="1438" spans="1:46" ht="39" customHeight="1" x14ac:dyDescent="0.25">
      <c r="A1438" s="1468">
        <v>1437</v>
      </c>
      <c r="B1438" s="117"/>
      <c r="C1438" s="324"/>
      <c r="D1438" s="664"/>
      <c r="E1438" s="664"/>
      <c r="F1438" s="664"/>
      <c r="G1438" s="227"/>
      <c r="H1438" s="228"/>
      <c r="I1438" s="228"/>
      <c r="J1438" s="229"/>
      <c r="K1438" s="227"/>
      <c r="L1438" s="229"/>
      <c r="M1438" s="229"/>
      <c r="N1438" s="229"/>
      <c r="O1438" s="309"/>
      <c r="P1438" s="230" t="s">
        <v>1395</v>
      </c>
      <c r="Q1438" s="664"/>
      <c r="R1438" s="324"/>
      <c r="S1438" s="279"/>
      <c r="T1438" s="334"/>
      <c r="U1438" s="250"/>
      <c r="V1438" s="334"/>
      <c r="W1438" s="232"/>
      <c r="X1438" s="232"/>
      <c r="Y1438" s="232"/>
      <c r="Z1438" s="233"/>
      <c r="AA1438" s="252"/>
      <c r="AB1438" s="235"/>
      <c r="AC1438" s="236"/>
      <c r="AD1438" s="235"/>
      <c r="AE1438" s="494"/>
      <c r="AF1438" s="494"/>
      <c r="AG1438" s="664"/>
      <c r="AH1438" s="238"/>
      <c r="AI1438" s="239"/>
      <c r="AJ1438" s="576"/>
      <c r="AK1438" s="664"/>
      <c r="AL1438" s="113"/>
      <c r="AM1438" s="113"/>
      <c r="AN1438" s="163"/>
      <c r="AO1438" s="114"/>
      <c r="AP1438" s="115"/>
      <c r="AQ1438" s="115"/>
      <c r="AR1438" s="115"/>
      <c r="AS1438" s="115"/>
      <c r="AT1438" s="116"/>
    </row>
    <row r="1439" spans="1:46" ht="39" customHeight="1" x14ac:dyDescent="0.3">
      <c r="A1439" s="1468">
        <v>1438</v>
      </c>
      <c r="B1439" s="119">
        <v>10</v>
      </c>
      <c r="C1439" s="581" t="s">
        <v>305</v>
      </c>
      <c r="D1439" s="481"/>
      <c r="E1439" s="700" t="s">
        <v>47</v>
      </c>
      <c r="F1439" s="481"/>
      <c r="G1439" s="583" t="s">
        <v>91</v>
      </c>
      <c r="H1439" s="244" t="s">
        <v>83</v>
      </c>
      <c r="I1439" s="783"/>
      <c r="J1439" s="245">
        <v>302</v>
      </c>
      <c r="K1439" s="197" t="s">
        <v>50</v>
      </c>
      <c r="L1439" s="554" t="s">
        <v>4620</v>
      </c>
      <c r="M1439" s="554" t="s">
        <v>4620</v>
      </c>
      <c r="N1439" s="809"/>
      <c r="O1439" s="1477" t="s">
        <v>4015</v>
      </c>
      <c r="P1439" s="976"/>
      <c r="Q1439" s="978" t="s">
        <v>83</v>
      </c>
      <c r="R1439" s="995" t="s">
        <v>4014</v>
      </c>
      <c r="S1439" s="279">
        <v>28755</v>
      </c>
      <c r="T1439" s="250"/>
      <c r="U1439" s="251" t="s">
        <v>54</v>
      </c>
      <c r="V1439" s="197" t="s">
        <v>6159</v>
      </c>
      <c r="W1439" s="280" t="s">
        <v>56</v>
      </c>
      <c r="X1439" s="197" t="s">
        <v>57</v>
      </c>
      <c r="Y1439" s="1130" t="s">
        <v>6135</v>
      </c>
      <c r="Z1439" s="486">
        <v>45322</v>
      </c>
      <c r="AA1439" s="252"/>
      <c r="AB1439" s="487"/>
      <c r="AC1439" s="488"/>
      <c r="AD1439" s="487"/>
      <c r="AE1439" s="494"/>
      <c r="AF1439" s="494"/>
      <c r="AG1439" s="476"/>
      <c r="AH1439" s="489"/>
      <c r="AI1439" s="712"/>
      <c r="AJ1439" s="755" t="s">
        <v>62</v>
      </c>
      <c r="AK1439" s="582">
        <v>1</v>
      </c>
      <c r="AL1439" s="176" t="s">
        <v>500</v>
      </c>
      <c r="AM1439" s="175" t="s">
        <v>492</v>
      </c>
      <c r="AN1439" s="137"/>
      <c r="AO1439" s="208"/>
      <c r="AP1439" s="115"/>
      <c r="AQ1439" s="115"/>
      <c r="AR1439" s="115"/>
      <c r="AS1439" s="115"/>
      <c r="AT1439" s="115"/>
    </row>
    <row r="1440" spans="1:46" ht="39" customHeight="1" x14ac:dyDescent="0.25">
      <c r="A1440" s="1468">
        <v>1439</v>
      </c>
      <c r="B1440" s="117"/>
      <c r="C1440" s="324"/>
      <c r="D1440" s="664"/>
      <c r="E1440" s="664"/>
      <c r="F1440" s="664"/>
      <c r="G1440" s="227"/>
      <c r="H1440" s="228"/>
      <c r="I1440" s="228"/>
      <c r="J1440" s="229"/>
      <c r="K1440" s="227"/>
      <c r="L1440" s="229"/>
      <c r="M1440" s="229"/>
      <c r="N1440" s="229"/>
      <c r="O1440" s="309"/>
      <c r="P1440" s="230" t="s">
        <v>380</v>
      </c>
      <c r="Q1440" s="664"/>
      <c r="R1440" s="324"/>
      <c r="S1440" s="279"/>
      <c r="T1440" s="334"/>
      <c r="U1440" s="250"/>
      <c r="V1440" s="334"/>
      <c r="W1440" s="232"/>
      <c r="X1440" s="232"/>
      <c r="Y1440" s="232"/>
      <c r="Z1440" s="233"/>
      <c r="AA1440" s="252"/>
      <c r="AB1440" s="235"/>
      <c r="AC1440" s="236"/>
      <c r="AD1440" s="235"/>
      <c r="AE1440" s="494"/>
      <c r="AF1440" s="494"/>
      <c r="AG1440" s="664"/>
      <c r="AH1440" s="238"/>
      <c r="AI1440" s="239"/>
      <c r="AJ1440" s="576"/>
      <c r="AK1440" s="664"/>
      <c r="AL1440" s="113"/>
      <c r="AM1440" s="113"/>
      <c r="AN1440" s="163"/>
      <c r="AO1440" s="114"/>
      <c r="AP1440" s="115"/>
      <c r="AQ1440" s="115"/>
      <c r="AR1440" s="115"/>
      <c r="AS1440" s="115"/>
      <c r="AT1440" s="116"/>
    </row>
    <row r="1441" spans="1:46" ht="39" customHeight="1" x14ac:dyDescent="0.25">
      <c r="A1441" s="1468">
        <v>1440</v>
      </c>
      <c r="B1441" s="128">
        <v>7</v>
      </c>
      <c r="C1441" s="290" t="s">
        <v>374</v>
      </c>
      <c r="D1441" s="344"/>
      <c r="E1441" s="344" t="s">
        <v>47</v>
      </c>
      <c r="F1441" s="344"/>
      <c r="G1441" s="292" t="s">
        <v>381</v>
      </c>
      <c r="H1441" s="293" t="s">
        <v>132</v>
      </c>
      <c r="I1441" s="346"/>
      <c r="J1441" s="256">
        <v>403</v>
      </c>
      <c r="K1441" s="216"/>
      <c r="L1441" s="282" t="s">
        <v>1118</v>
      </c>
      <c r="M1441" s="282" t="s">
        <v>1118</v>
      </c>
      <c r="N1441" s="281"/>
      <c r="O1441" s="216" t="s">
        <v>3316</v>
      </c>
      <c r="P1441" s="372"/>
      <c r="Q1441" s="373" t="s">
        <v>132</v>
      </c>
      <c r="R1441" s="982" t="s">
        <v>1127</v>
      </c>
      <c r="S1441" s="279">
        <v>32939</v>
      </c>
      <c r="T1441" s="250"/>
      <c r="U1441" s="251" t="s">
        <v>54</v>
      </c>
      <c r="V1441" s="306" t="s">
        <v>6136</v>
      </c>
      <c r="W1441" s="197" t="s">
        <v>128</v>
      </c>
      <c r="X1441" s="197" t="s">
        <v>475</v>
      </c>
      <c r="Y1441" s="981" t="s">
        <v>6150</v>
      </c>
      <c r="Z1441" s="246">
        <v>45323</v>
      </c>
      <c r="AA1441" s="252">
        <v>45351</v>
      </c>
      <c r="AB1441" s="281"/>
      <c r="AC1441" s="223"/>
      <c r="AD1441" s="281"/>
      <c r="AE1441" s="494"/>
      <c r="AF1441" s="494"/>
      <c r="AG1441" s="241"/>
      <c r="AH1441" s="283"/>
      <c r="AI1441" s="296"/>
      <c r="AJ1441" s="348" t="s">
        <v>560</v>
      </c>
      <c r="AK1441" s="291">
        <v>3</v>
      </c>
      <c r="AL1441" s="123" t="s">
        <v>500</v>
      </c>
      <c r="AM1441" s="175" t="s">
        <v>492</v>
      </c>
      <c r="AN1441" s="138"/>
      <c r="AO1441" s="138"/>
      <c r="AP1441" s="115"/>
      <c r="AQ1441" s="115"/>
      <c r="AR1441" s="115"/>
      <c r="AS1441" s="115"/>
      <c r="AT1441" s="115"/>
    </row>
    <row r="1442" spans="1:46" ht="39" customHeight="1" x14ac:dyDescent="0.25">
      <c r="A1442" s="1468">
        <v>1441</v>
      </c>
      <c r="B1442" s="159">
        <v>4</v>
      </c>
      <c r="C1442" s="356" t="s">
        <v>382</v>
      </c>
      <c r="D1442" s="282" t="s">
        <v>134</v>
      </c>
      <c r="E1442" s="282"/>
      <c r="F1442" s="282"/>
      <c r="G1442" s="261" t="s">
        <v>310</v>
      </c>
      <c r="H1442" s="262" t="s">
        <v>85</v>
      </c>
      <c r="I1442" s="357"/>
      <c r="J1442" s="245" t="s">
        <v>556</v>
      </c>
      <c r="K1442" s="257"/>
      <c r="L1442" s="282" t="s">
        <v>5916</v>
      </c>
      <c r="M1442" s="282" t="s">
        <v>5916</v>
      </c>
      <c r="N1442" s="281"/>
      <c r="O1442" s="216" t="s">
        <v>5978</v>
      </c>
      <c r="P1442" s="372"/>
      <c r="Q1442" s="373" t="s">
        <v>519</v>
      </c>
      <c r="R1442" s="982" t="s">
        <v>5977</v>
      </c>
      <c r="S1442" s="279">
        <v>26363</v>
      </c>
      <c r="T1442" s="250"/>
      <c r="U1442" s="197"/>
      <c r="V1442" s="306"/>
      <c r="W1442" s="197"/>
      <c r="X1442" s="197"/>
      <c r="Y1442" s="981"/>
      <c r="Z1442" s="246"/>
      <c r="AA1442" s="252"/>
      <c r="AB1442" s="299"/>
      <c r="AC1442" s="223"/>
      <c r="AD1442" s="299"/>
      <c r="AE1442" s="494"/>
      <c r="AF1442" s="494"/>
      <c r="AG1442" s="299"/>
      <c r="AH1442" s="299"/>
      <c r="AI1442" s="223"/>
      <c r="AJ1442" s="348" t="s">
        <v>560</v>
      </c>
      <c r="AK1442" s="241">
        <v>4</v>
      </c>
      <c r="AL1442" s="123" t="s">
        <v>500</v>
      </c>
      <c r="AM1442" s="175" t="s">
        <v>492</v>
      </c>
      <c r="AN1442" s="172" t="s">
        <v>4184</v>
      </c>
      <c r="AO1442" s="151"/>
      <c r="AP1442" s="115"/>
      <c r="AQ1442" s="115"/>
      <c r="AR1442" s="115"/>
      <c r="AS1442" s="115"/>
      <c r="AT1442" s="115"/>
    </row>
    <row r="1443" spans="1:46" ht="39" customHeight="1" x14ac:dyDescent="0.25">
      <c r="A1443" s="1468">
        <v>1442</v>
      </c>
      <c r="B1443" s="117">
        <v>3</v>
      </c>
      <c r="C1443" s="260" t="s">
        <v>346</v>
      </c>
      <c r="D1443" s="282"/>
      <c r="E1443" s="282"/>
      <c r="F1443" s="282"/>
      <c r="G1443" s="261" t="s">
        <v>383</v>
      </c>
      <c r="H1443" s="262" t="s">
        <v>85</v>
      </c>
      <c r="I1443" s="357"/>
      <c r="J1443" s="245" t="s">
        <v>556</v>
      </c>
      <c r="K1443" s="257"/>
      <c r="L1443" s="250"/>
      <c r="M1443" s="250"/>
      <c r="N1443" s="366"/>
      <c r="O1443" s="1471"/>
      <c r="P1443" s="247"/>
      <c r="Q1443" s="1471"/>
      <c r="R1443" s="1003" t="s">
        <v>66</v>
      </c>
      <c r="S1443" s="279"/>
      <c r="T1443" s="289"/>
      <c r="U1443" s="250"/>
      <c r="V1443" s="250"/>
      <c r="W1443" s="197"/>
      <c r="X1443" s="289"/>
      <c r="Y1443" s="949"/>
      <c r="Z1443" s="246"/>
      <c r="AA1443" s="281"/>
      <c r="AB1443" s="288"/>
      <c r="AC1443" s="223"/>
      <c r="AD1443" s="245"/>
      <c r="AE1443" s="494"/>
      <c r="AF1443" s="494"/>
      <c r="AG1443" s="241"/>
      <c r="AH1443" s="253"/>
      <c r="AI1443" s="712"/>
      <c r="AJ1443" s="303"/>
      <c r="AK1443" s="241">
        <v>4</v>
      </c>
      <c r="AL1443" s="123" t="s">
        <v>500</v>
      </c>
      <c r="AM1443" s="175" t="s">
        <v>492</v>
      </c>
      <c r="AN1443" s="151"/>
      <c r="AO1443" s="151"/>
      <c r="AP1443" s="115"/>
      <c r="AQ1443" s="115"/>
      <c r="AR1443" s="115"/>
      <c r="AS1443" s="115"/>
      <c r="AT1443" s="115"/>
    </row>
    <row r="1444" spans="1:46" ht="39" customHeight="1" x14ac:dyDescent="0.25">
      <c r="A1444" s="1468">
        <v>1443</v>
      </c>
      <c r="B1444" s="159">
        <v>2</v>
      </c>
      <c r="C1444" s="358" t="s">
        <v>385</v>
      </c>
      <c r="D1444" s="282"/>
      <c r="E1444" s="282"/>
      <c r="F1444" s="282"/>
      <c r="G1444" s="261" t="s">
        <v>386</v>
      </c>
      <c r="H1444" s="262" t="s">
        <v>85</v>
      </c>
      <c r="I1444" s="357"/>
      <c r="J1444" s="245" t="s">
        <v>556</v>
      </c>
      <c r="K1444" s="257"/>
      <c r="L1444" s="299"/>
      <c r="M1444" s="299"/>
      <c r="N1444" s="299"/>
      <c r="O1444" s="216"/>
      <c r="P1444" s="300"/>
      <c r="Q1444" s="344"/>
      <c r="R1444" s="683" t="s">
        <v>66</v>
      </c>
      <c r="S1444" s="279"/>
      <c r="T1444" s="289"/>
      <c r="U1444" s="250"/>
      <c r="V1444" s="250"/>
      <c r="W1444" s="197"/>
      <c r="X1444" s="299"/>
      <c r="Y1444" s="299"/>
      <c r="Z1444" s="299"/>
      <c r="AA1444" s="252"/>
      <c r="AB1444" s="299"/>
      <c r="AC1444" s="223"/>
      <c r="AD1444" s="299"/>
      <c r="AE1444" s="494"/>
      <c r="AF1444" s="494"/>
      <c r="AG1444" s="299"/>
      <c r="AH1444" s="299"/>
      <c r="AI1444" s="223"/>
      <c r="AJ1444" s="348"/>
      <c r="AK1444" s="241">
        <v>4</v>
      </c>
      <c r="AL1444" s="123" t="s">
        <v>500</v>
      </c>
      <c r="AM1444" s="175" t="s">
        <v>492</v>
      </c>
      <c r="AN1444" s="110"/>
      <c r="AO1444" s="151"/>
      <c r="AP1444" s="115"/>
      <c r="AQ1444" s="115"/>
      <c r="AR1444" s="115"/>
      <c r="AS1444" s="115"/>
      <c r="AT1444" s="116"/>
    </row>
    <row r="1445" spans="1:46" ht="39" customHeight="1" x14ac:dyDescent="0.25">
      <c r="A1445" s="1468">
        <v>1444</v>
      </c>
      <c r="B1445" s="146">
        <v>2</v>
      </c>
      <c r="C1445" s="260" t="s">
        <v>319</v>
      </c>
      <c r="D1445" s="282"/>
      <c r="E1445" s="282"/>
      <c r="F1445" s="282"/>
      <c r="G1445" s="261" t="s">
        <v>387</v>
      </c>
      <c r="H1445" s="262" t="s">
        <v>87</v>
      </c>
      <c r="I1445" s="357"/>
      <c r="J1445" s="245" t="s">
        <v>561</v>
      </c>
      <c r="K1445" s="684"/>
      <c r="L1445" s="685"/>
      <c r="M1445" s="685"/>
      <c r="N1445" s="684"/>
      <c r="O1445" s="216" t="s">
        <v>3231</v>
      </c>
      <c r="P1445" s="706" t="s">
        <v>1828</v>
      </c>
      <c r="Q1445" s="344" t="s">
        <v>132</v>
      </c>
      <c r="R1445" s="982" t="s">
        <v>3230</v>
      </c>
      <c r="S1445" s="279">
        <v>28687</v>
      </c>
      <c r="T1445" s="684"/>
      <c r="U1445" s="251" t="s">
        <v>54</v>
      </c>
      <c r="V1445" s="197" t="s">
        <v>5955</v>
      </c>
      <c r="W1445" s="197" t="s">
        <v>70</v>
      </c>
      <c r="X1445" s="197" t="s">
        <v>71</v>
      </c>
      <c r="Y1445" s="949" t="s">
        <v>5964</v>
      </c>
      <c r="Z1445" s="612">
        <v>45312</v>
      </c>
      <c r="AA1445" s="252"/>
      <c r="AB1445" s="1290"/>
      <c r="AC1445" s="684"/>
      <c r="AD1445" s="686"/>
      <c r="AE1445" s="494"/>
      <c r="AF1445" s="494"/>
      <c r="AG1445" s="684"/>
      <c r="AH1445" s="684"/>
      <c r="AI1445" s="685"/>
      <c r="AJ1445" s="348" t="s">
        <v>560</v>
      </c>
      <c r="AK1445" s="241">
        <v>4</v>
      </c>
      <c r="AL1445" s="123" t="s">
        <v>500</v>
      </c>
      <c r="AM1445" s="175" t="s">
        <v>492</v>
      </c>
      <c r="AN1445" s="151"/>
      <c r="AO1445" s="151"/>
      <c r="AP1445" s="115"/>
      <c r="AQ1445" s="115"/>
      <c r="AR1445" s="115"/>
      <c r="AS1445" s="115"/>
      <c r="AT1445" s="115"/>
    </row>
    <row r="1446" spans="1:46" ht="39" customHeight="1" x14ac:dyDescent="0.25">
      <c r="A1446" s="1468">
        <v>1445</v>
      </c>
      <c r="B1446" s="117">
        <v>3</v>
      </c>
      <c r="C1446" s="260" t="s">
        <v>346</v>
      </c>
      <c r="D1446" s="282"/>
      <c r="E1446" s="282"/>
      <c r="F1446" s="282"/>
      <c r="G1446" s="261" t="s">
        <v>383</v>
      </c>
      <c r="H1446" s="262" t="s">
        <v>85</v>
      </c>
      <c r="I1446" s="357"/>
      <c r="J1446" s="245" t="s">
        <v>556</v>
      </c>
      <c r="K1446" s="434"/>
      <c r="L1446" s="438" t="s">
        <v>1527</v>
      </c>
      <c r="M1446" s="438" t="s">
        <v>1676</v>
      </c>
      <c r="N1446" s="404"/>
      <c r="O1446" s="626" t="s">
        <v>3000</v>
      </c>
      <c r="P1446" s="431"/>
      <c r="Q1446" s="453" t="s">
        <v>87</v>
      </c>
      <c r="R1446" s="1002" t="s">
        <v>1735</v>
      </c>
      <c r="S1446" s="279"/>
      <c r="T1446" s="268"/>
      <c r="U1446" s="251" t="s">
        <v>54</v>
      </c>
      <c r="V1446" s="306" t="s">
        <v>4047</v>
      </c>
      <c r="W1446" s="949" t="s">
        <v>4050</v>
      </c>
      <c r="X1446" s="250" t="s">
        <v>5135</v>
      </c>
      <c r="Y1446" s="288" t="s">
        <v>4051</v>
      </c>
      <c r="Z1446" s="289">
        <v>45231</v>
      </c>
      <c r="AA1446" s="252"/>
      <c r="AB1446" s="717"/>
      <c r="AC1446" s="223" t="s">
        <v>946</v>
      </c>
      <c r="AD1446" s="718"/>
      <c r="AE1446" s="494"/>
      <c r="AF1446" s="494"/>
      <c r="AG1446" s="471"/>
      <c r="AH1446" s="585"/>
      <c r="AI1446" s="719" t="s">
        <v>1351</v>
      </c>
      <c r="AJ1446" s="470" t="s">
        <v>136</v>
      </c>
      <c r="AK1446" s="241">
        <v>4</v>
      </c>
      <c r="AL1446" s="123" t="s">
        <v>500</v>
      </c>
      <c r="AM1446" s="175" t="s">
        <v>492</v>
      </c>
      <c r="AN1446" s="179"/>
      <c r="AO1446" s="110"/>
      <c r="AP1446" s="115"/>
      <c r="AQ1446" s="156"/>
      <c r="AR1446" s="115"/>
      <c r="AS1446" s="115"/>
      <c r="AT1446" s="115"/>
    </row>
    <row r="1447" spans="1:46" ht="39" customHeight="1" x14ac:dyDescent="0.25">
      <c r="A1447" s="1468">
        <v>1446</v>
      </c>
      <c r="B1447" s="146">
        <v>2</v>
      </c>
      <c r="C1447" s="503" t="s">
        <v>319</v>
      </c>
      <c r="D1447" s="481"/>
      <c r="E1447" s="481"/>
      <c r="F1447" s="481"/>
      <c r="G1447" s="472" t="s">
        <v>387</v>
      </c>
      <c r="H1447" s="262" t="s">
        <v>87</v>
      </c>
      <c r="I1447" s="473"/>
      <c r="J1447" s="245" t="s">
        <v>561</v>
      </c>
      <c r="K1447" s="216"/>
      <c r="L1447" s="301"/>
      <c r="M1447" s="216"/>
      <c r="N1447" s="366"/>
      <c r="O1447" s="392" t="s">
        <v>3452</v>
      </c>
      <c r="P1447" s="706" t="s">
        <v>1828</v>
      </c>
      <c r="Q1447" s="344" t="s">
        <v>293</v>
      </c>
      <c r="R1447" s="1174" t="s">
        <v>3451</v>
      </c>
      <c r="S1447" s="279">
        <v>32564</v>
      </c>
      <c r="T1447" s="250"/>
      <c r="U1447" s="251" t="s">
        <v>886</v>
      </c>
      <c r="V1447" s="250" t="s">
        <v>6107</v>
      </c>
      <c r="W1447" s="197" t="s">
        <v>886</v>
      </c>
      <c r="X1447" s="197" t="s">
        <v>886</v>
      </c>
      <c r="Y1447" s="197"/>
      <c r="Z1447" s="246">
        <v>45317</v>
      </c>
      <c r="AA1447" s="252"/>
      <c r="AB1447" s="282"/>
      <c r="AC1447" s="223"/>
      <c r="AD1447" s="301"/>
      <c r="AE1447" s="494"/>
      <c r="AF1447" s="494"/>
      <c r="AG1447" s="385"/>
      <c r="AH1447" s="386"/>
      <c r="AI1447" s="386"/>
      <c r="AJ1447" s="348" t="s">
        <v>560</v>
      </c>
      <c r="AK1447" s="471">
        <v>4</v>
      </c>
      <c r="AL1447" s="176" t="s">
        <v>500</v>
      </c>
      <c r="AM1447" s="175" t="s">
        <v>492</v>
      </c>
      <c r="AN1447" s="110"/>
      <c r="AO1447" s="179"/>
      <c r="AP1447" s="115"/>
      <c r="AQ1447" s="156"/>
      <c r="AR1447" s="115"/>
      <c r="AS1447" s="115"/>
      <c r="AT1447" s="115"/>
    </row>
    <row r="1448" spans="1:46" ht="39" customHeight="1" x14ac:dyDescent="0.25">
      <c r="A1448" s="1468">
        <v>1447</v>
      </c>
      <c r="B1448" s="117"/>
      <c r="C1448" s="324"/>
      <c r="D1448" s="664"/>
      <c r="E1448" s="664"/>
      <c r="F1448" s="664"/>
      <c r="G1448" s="227"/>
      <c r="H1448" s="228"/>
      <c r="I1448" s="228"/>
      <c r="J1448" s="229"/>
      <c r="K1448" s="227"/>
      <c r="L1448" s="229"/>
      <c r="M1448" s="229"/>
      <c r="N1448" s="229"/>
      <c r="O1448" s="309"/>
      <c r="P1448" s="230" t="s">
        <v>388</v>
      </c>
      <c r="Q1448" s="664"/>
      <c r="R1448" s="324"/>
      <c r="S1448" s="279"/>
      <c r="T1448" s="334"/>
      <c r="U1448" s="250"/>
      <c r="V1448" s="334"/>
      <c r="W1448" s="232"/>
      <c r="X1448" s="232"/>
      <c r="Y1448" s="232"/>
      <c r="Z1448" s="233"/>
      <c r="AA1448" s="252"/>
      <c r="AB1448" s="235"/>
      <c r="AC1448" s="236"/>
      <c r="AD1448" s="235"/>
      <c r="AE1448" s="494"/>
      <c r="AF1448" s="494"/>
      <c r="AG1448" s="664"/>
      <c r="AH1448" s="238"/>
      <c r="AI1448" s="239"/>
      <c r="AJ1448" s="576"/>
      <c r="AK1448" s="664"/>
      <c r="AL1448" s="113"/>
      <c r="AM1448" s="113"/>
      <c r="AN1448" s="163"/>
      <c r="AO1448" s="114"/>
      <c r="AP1448" s="115"/>
      <c r="AQ1448" s="115"/>
      <c r="AR1448" s="115"/>
      <c r="AS1448" s="115"/>
      <c r="AT1448" s="116"/>
    </row>
    <row r="1449" spans="1:46" ht="39" customHeight="1" x14ac:dyDescent="0.25">
      <c r="A1449" s="1468">
        <v>1448</v>
      </c>
      <c r="B1449" s="128">
        <v>5</v>
      </c>
      <c r="C1449" s="290" t="s">
        <v>367</v>
      </c>
      <c r="D1449" s="344"/>
      <c r="E1449" s="344" t="s">
        <v>47</v>
      </c>
      <c r="F1449" s="344"/>
      <c r="G1449" s="292" t="s">
        <v>389</v>
      </c>
      <c r="H1449" s="293" t="s">
        <v>132</v>
      </c>
      <c r="I1449" s="346"/>
      <c r="J1449" s="256">
        <v>403</v>
      </c>
      <c r="K1449" s="216" t="s">
        <v>158</v>
      </c>
      <c r="L1449" s="282" t="s">
        <v>1128</v>
      </c>
      <c r="M1449" s="282" t="s">
        <v>1128</v>
      </c>
      <c r="N1449" s="245"/>
      <c r="O1449" s="216" t="s">
        <v>1129</v>
      </c>
      <c r="P1449" s="372"/>
      <c r="Q1449" s="373" t="s">
        <v>132</v>
      </c>
      <c r="R1449" s="982" t="s">
        <v>2034</v>
      </c>
      <c r="S1449" s="279">
        <v>33616</v>
      </c>
      <c r="T1449" s="250"/>
      <c r="U1449" s="251" t="s">
        <v>54</v>
      </c>
      <c r="V1449" s="241" t="s">
        <v>5440</v>
      </c>
      <c r="W1449" s="197" t="s">
        <v>5441</v>
      </c>
      <c r="X1449" s="197" t="s">
        <v>475</v>
      </c>
      <c r="Y1449" s="241" t="s">
        <v>5442</v>
      </c>
      <c r="Z1449" s="258">
        <v>45206</v>
      </c>
      <c r="AA1449" s="252"/>
      <c r="AB1449" s="281"/>
      <c r="AC1449" s="223" t="s">
        <v>946</v>
      </c>
      <c r="AD1449" s="281"/>
      <c r="AE1449" s="494"/>
      <c r="AF1449" s="494">
        <v>44853</v>
      </c>
      <c r="AG1449" s="241" t="s">
        <v>61</v>
      </c>
      <c r="AH1449" s="283"/>
      <c r="AI1449" s="296"/>
      <c r="AJ1449" s="348" t="s">
        <v>560</v>
      </c>
      <c r="AK1449" s="348">
        <v>3</v>
      </c>
      <c r="AL1449" s="123" t="s">
        <v>500</v>
      </c>
      <c r="AM1449" s="175" t="s">
        <v>492</v>
      </c>
      <c r="AN1449" s="138"/>
      <c r="AO1449" s="138"/>
      <c r="AP1449" s="115"/>
      <c r="AQ1449" s="115"/>
      <c r="AR1449" s="115"/>
      <c r="AS1449" s="115"/>
      <c r="AT1449" s="115"/>
    </row>
    <row r="1450" spans="1:46" ht="39" customHeight="1" x14ac:dyDescent="0.25">
      <c r="A1450" s="1468">
        <v>1449</v>
      </c>
      <c r="B1450" s="159">
        <v>3</v>
      </c>
      <c r="C1450" s="356" t="s">
        <v>290</v>
      </c>
      <c r="D1450" s="282" t="s">
        <v>134</v>
      </c>
      <c r="E1450" s="282"/>
      <c r="F1450" s="282"/>
      <c r="G1450" s="261" t="s">
        <v>291</v>
      </c>
      <c r="H1450" s="262" t="s">
        <v>87</v>
      </c>
      <c r="I1450" s="357"/>
      <c r="J1450" s="245" t="s">
        <v>561</v>
      </c>
      <c r="K1450" s="451"/>
      <c r="L1450" s="412" t="s">
        <v>1508</v>
      </c>
      <c r="M1450" s="412" t="s">
        <v>1708</v>
      </c>
      <c r="N1450" s="276"/>
      <c r="O1450" s="1520" t="s">
        <v>2953</v>
      </c>
      <c r="P1450" s="772"/>
      <c r="Q1450" s="487" t="s">
        <v>293</v>
      </c>
      <c r="R1450" s="999" t="s">
        <v>1608</v>
      </c>
      <c r="S1450" s="279">
        <v>38153</v>
      </c>
      <c r="T1450" s="399"/>
      <c r="U1450" s="251" t="s">
        <v>54</v>
      </c>
      <c r="V1450" s="280" t="s">
        <v>1987</v>
      </c>
      <c r="W1450" s="280" t="s">
        <v>2039</v>
      </c>
      <c r="X1450" s="280" t="s">
        <v>57</v>
      </c>
      <c r="Y1450" s="988" t="s">
        <v>2040</v>
      </c>
      <c r="Z1450" s="486">
        <v>45147</v>
      </c>
      <c r="AA1450" s="441"/>
      <c r="AB1450" s="250" t="s">
        <v>4484</v>
      </c>
      <c r="AC1450" s="223" t="s">
        <v>946</v>
      </c>
      <c r="AD1450" s="276"/>
      <c r="AE1450" s="494">
        <v>45112</v>
      </c>
      <c r="AF1450" s="494">
        <v>45477</v>
      </c>
      <c r="AG1450" s="476"/>
      <c r="AH1450" s="871"/>
      <c r="AI1450" s="760" t="s">
        <v>1351</v>
      </c>
      <c r="AJ1450" s="507" t="s">
        <v>136</v>
      </c>
      <c r="AK1450" s="241">
        <v>4</v>
      </c>
      <c r="AL1450" s="123" t="s">
        <v>500</v>
      </c>
      <c r="AM1450" s="175" t="s">
        <v>492</v>
      </c>
      <c r="AN1450" s="172" t="s">
        <v>4184</v>
      </c>
      <c r="AO1450" s="151"/>
      <c r="AP1450" s="115"/>
      <c r="AQ1450" s="115"/>
      <c r="AR1450" s="115"/>
      <c r="AS1450" s="115"/>
      <c r="AT1450" s="115"/>
    </row>
    <row r="1451" spans="1:46" ht="39" customHeight="1" x14ac:dyDescent="0.25">
      <c r="A1451" s="1468">
        <v>1450</v>
      </c>
      <c r="B1451" s="117">
        <v>3</v>
      </c>
      <c r="C1451" s="260" t="s">
        <v>346</v>
      </c>
      <c r="D1451" s="282"/>
      <c r="E1451" s="282"/>
      <c r="F1451" s="282"/>
      <c r="G1451" s="261" t="s">
        <v>383</v>
      </c>
      <c r="H1451" s="262" t="s">
        <v>85</v>
      </c>
      <c r="I1451" s="357"/>
      <c r="J1451" s="245" t="s">
        <v>556</v>
      </c>
      <c r="K1451" s="216"/>
      <c r="L1451" s="281" t="s">
        <v>1685</v>
      </c>
      <c r="M1451" s="281" t="s">
        <v>1527</v>
      </c>
      <c r="N1451" s="366"/>
      <c r="O1451" s="1441" t="s">
        <v>2944</v>
      </c>
      <c r="P1451" s="402"/>
      <c r="Q1451" s="301" t="s">
        <v>87</v>
      </c>
      <c r="R1451" s="427" t="s">
        <v>1692</v>
      </c>
      <c r="S1451" s="279">
        <v>37530</v>
      </c>
      <c r="T1451" s="197"/>
      <c r="U1451" s="251" t="s">
        <v>54</v>
      </c>
      <c r="V1451" s="197" t="s">
        <v>2324</v>
      </c>
      <c r="W1451" s="197" t="s">
        <v>128</v>
      </c>
      <c r="X1451" s="197" t="s">
        <v>475</v>
      </c>
      <c r="Y1451" s="197" t="s">
        <v>2325</v>
      </c>
      <c r="Z1451" s="246">
        <v>45145</v>
      </c>
      <c r="AA1451" s="252">
        <v>45176</v>
      </c>
      <c r="AB1451" s="288" t="s">
        <v>4531</v>
      </c>
      <c r="AC1451" s="223" t="s">
        <v>946</v>
      </c>
      <c r="AD1451" s="376"/>
      <c r="AE1451" s="494">
        <v>45111</v>
      </c>
      <c r="AF1451" s="494">
        <v>45476</v>
      </c>
      <c r="AG1451" s="241"/>
      <c r="AH1451" s="283"/>
      <c r="AI1451" s="254" t="s">
        <v>1351</v>
      </c>
      <c r="AJ1451" s="303" t="s">
        <v>136</v>
      </c>
      <c r="AK1451" s="241">
        <v>4</v>
      </c>
      <c r="AL1451" s="123" t="s">
        <v>500</v>
      </c>
      <c r="AM1451" s="175" t="s">
        <v>492</v>
      </c>
      <c r="AN1451" s="151"/>
      <c r="AO1451" s="151"/>
      <c r="AP1451" s="115"/>
      <c r="AQ1451" s="115"/>
      <c r="AR1451" s="115"/>
      <c r="AS1451" s="115"/>
      <c r="AT1451" s="115"/>
    </row>
    <row r="1452" spans="1:46" ht="39" customHeight="1" x14ac:dyDescent="0.25">
      <c r="A1452" s="1468">
        <v>1451</v>
      </c>
      <c r="B1452" s="159">
        <v>2</v>
      </c>
      <c r="C1452" s="358" t="s">
        <v>385</v>
      </c>
      <c r="D1452" s="282" t="s">
        <v>134</v>
      </c>
      <c r="E1452" s="282"/>
      <c r="F1452" s="282"/>
      <c r="G1452" s="261" t="s">
        <v>386</v>
      </c>
      <c r="H1452" s="262" t="s">
        <v>85</v>
      </c>
      <c r="I1452" s="357"/>
      <c r="J1452" s="245" t="s">
        <v>556</v>
      </c>
      <c r="K1452" s="216"/>
      <c r="L1452" s="281"/>
      <c r="M1452" s="281"/>
      <c r="N1452" s="366"/>
      <c r="O1452" s="1441"/>
      <c r="P1452" s="402"/>
      <c r="Q1452" s="301"/>
      <c r="R1452" s="427" t="s">
        <v>66</v>
      </c>
      <c r="S1452" s="279"/>
      <c r="T1452" s="197"/>
      <c r="U1452" s="250"/>
      <c r="V1452" s="197"/>
      <c r="W1452" s="197"/>
      <c r="X1452" s="197"/>
      <c r="Y1452" s="197"/>
      <c r="Z1452" s="246"/>
      <c r="AA1452" s="252"/>
      <c r="AB1452" s="288"/>
      <c r="AC1452" s="223"/>
      <c r="AD1452" s="376"/>
      <c r="AE1452" s="494"/>
      <c r="AF1452" s="494"/>
      <c r="AG1452" s="241"/>
      <c r="AH1452" s="283"/>
      <c r="AI1452" s="254"/>
      <c r="AJ1452" s="303"/>
      <c r="AK1452" s="241">
        <v>4</v>
      </c>
      <c r="AL1452" s="123" t="s">
        <v>500</v>
      </c>
      <c r="AM1452" s="175" t="s">
        <v>492</v>
      </c>
      <c r="AN1452" s="110"/>
      <c r="AO1452" s="151"/>
      <c r="AP1452" s="115"/>
      <c r="AQ1452" s="115"/>
      <c r="AR1452" s="115"/>
      <c r="AS1452" s="115"/>
      <c r="AT1452" s="116"/>
    </row>
    <row r="1453" spans="1:46" ht="39" customHeight="1" x14ac:dyDescent="0.25">
      <c r="A1453" s="1468">
        <v>1452</v>
      </c>
      <c r="B1453" s="146">
        <v>2</v>
      </c>
      <c r="C1453" s="260" t="s">
        <v>319</v>
      </c>
      <c r="D1453" s="282"/>
      <c r="E1453" s="282"/>
      <c r="F1453" s="282"/>
      <c r="G1453" s="261" t="s">
        <v>387</v>
      </c>
      <c r="H1453" s="262" t="s">
        <v>87</v>
      </c>
      <c r="I1453" s="357"/>
      <c r="J1453" s="245" t="s">
        <v>561</v>
      </c>
      <c r="K1453" s="684"/>
      <c r="L1453" s="685"/>
      <c r="M1453" s="685"/>
      <c r="N1453" s="684"/>
      <c r="O1453" s="392" t="s">
        <v>3264</v>
      </c>
      <c r="P1453" s="706" t="s">
        <v>1828</v>
      </c>
      <c r="Q1453" s="344" t="s">
        <v>293</v>
      </c>
      <c r="R1453" s="1174" t="s">
        <v>3263</v>
      </c>
      <c r="S1453" s="279">
        <v>31452</v>
      </c>
      <c r="T1453" s="684"/>
      <c r="U1453" s="197"/>
      <c r="V1453" s="197"/>
      <c r="W1453" s="250"/>
      <c r="X1453" s="197"/>
      <c r="Y1453" s="197"/>
      <c r="Z1453" s="246"/>
      <c r="AA1453" s="252"/>
      <c r="AB1453" s="1290"/>
      <c r="AC1453" s="684"/>
      <c r="AD1453" s="686"/>
      <c r="AE1453" s="494"/>
      <c r="AF1453" s="494"/>
      <c r="AG1453" s="684"/>
      <c r="AH1453" s="684"/>
      <c r="AI1453" s="685"/>
      <c r="AJ1453" s="348" t="s">
        <v>560</v>
      </c>
      <c r="AK1453" s="241">
        <v>4</v>
      </c>
      <c r="AL1453" s="123" t="s">
        <v>500</v>
      </c>
      <c r="AM1453" s="175" t="s">
        <v>492</v>
      </c>
      <c r="AN1453" s="151"/>
      <c r="AO1453" s="151"/>
      <c r="AP1453" s="115"/>
      <c r="AQ1453" s="115"/>
      <c r="AR1453" s="115"/>
      <c r="AS1453" s="115"/>
      <c r="AT1453" s="115"/>
    </row>
    <row r="1454" spans="1:46" ht="39" customHeight="1" x14ac:dyDescent="0.25">
      <c r="A1454" s="1468">
        <v>1453</v>
      </c>
      <c r="B1454" s="117">
        <v>3</v>
      </c>
      <c r="C1454" s="260" t="s">
        <v>346</v>
      </c>
      <c r="D1454" s="282"/>
      <c r="E1454" s="282"/>
      <c r="F1454" s="282"/>
      <c r="G1454" s="261" t="s">
        <v>383</v>
      </c>
      <c r="H1454" s="262" t="s">
        <v>85</v>
      </c>
      <c r="I1454" s="357"/>
      <c r="J1454" s="245" t="s">
        <v>556</v>
      </c>
      <c r="K1454" s="288"/>
      <c r="L1454" s="288"/>
      <c r="M1454" s="288"/>
      <c r="N1454" s="281"/>
      <c r="O1454" s="1404"/>
      <c r="P1454" s="402"/>
      <c r="Q1454" s="380"/>
      <c r="R1454" s="1003" t="s">
        <v>66</v>
      </c>
      <c r="S1454" s="279"/>
      <c r="T1454" s="197"/>
      <c r="U1454" s="250"/>
      <c r="V1454" s="245"/>
      <c r="W1454" s="250"/>
      <c r="X1454" s="197"/>
      <c r="Y1454" s="245"/>
      <c r="Z1454" s="246"/>
      <c r="AA1454" s="246"/>
      <c r="AB1454" s="288"/>
      <c r="AC1454" s="223"/>
      <c r="AD1454" s="245"/>
      <c r="AE1454" s="494"/>
      <c r="AF1454" s="494"/>
      <c r="AG1454" s="241"/>
      <c r="AH1454" s="283"/>
      <c r="AI1454" s="296"/>
      <c r="AJ1454" s="303"/>
      <c r="AK1454" s="241">
        <v>4</v>
      </c>
      <c r="AL1454" s="123" t="s">
        <v>500</v>
      </c>
      <c r="AM1454" s="175" t="s">
        <v>492</v>
      </c>
      <c r="AN1454" s="167"/>
      <c r="AO1454" s="151"/>
      <c r="AP1454" s="115"/>
      <c r="AQ1454" s="115"/>
      <c r="AR1454" s="115"/>
      <c r="AS1454" s="115"/>
      <c r="AT1454" s="115"/>
    </row>
    <row r="1455" spans="1:46" ht="39" customHeight="1" x14ac:dyDescent="0.25">
      <c r="A1455" s="1468">
        <v>1454</v>
      </c>
      <c r="B1455" s="146">
        <v>2</v>
      </c>
      <c r="C1455" s="381" t="s">
        <v>319</v>
      </c>
      <c r="D1455" s="282"/>
      <c r="E1455" s="282"/>
      <c r="F1455" s="282"/>
      <c r="G1455" s="261" t="s">
        <v>320</v>
      </c>
      <c r="H1455" s="262" t="s">
        <v>87</v>
      </c>
      <c r="I1455" s="357"/>
      <c r="J1455" s="245" t="s">
        <v>561</v>
      </c>
      <c r="K1455" s="216"/>
      <c r="L1455" s="216"/>
      <c r="M1455" s="216"/>
      <c r="N1455" s="305"/>
      <c r="O1455" s="950"/>
      <c r="P1455" s="706"/>
      <c r="Q1455" s="338"/>
      <c r="R1455" s="683" t="s">
        <v>66</v>
      </c>
      <c r="S1455" s="279"/>
      <c r="T1455" s="197"/>
      <c r="U1455" s="250"/>
      <c r="V1455" s="197"/>
      <c r="W1455" s="288"/>
      <c r="X1455" s="197"/>
      <c r="Y1455" s="288"/>
      <c r="Z1455" s="246"/>
      <c r="AA1455" s="252"/>
      <c r="AB1455" s="250"/>
      <c r="AC1455" s="223"/>
      <c r="AD1455" s="250"/>
      <c r="AE1455" s="494"/>
      <c r="AF1455" s="494"/>
      <c r="AG1455" s="282"/>
      <c r="AH1455" s="283"/>
      <c r="AI1455" s="223"/>
      <c r="AJ1455" s="755"/>
      <c r="AK1455" s="241">
        <v>4</v>
      </c>
      <c r="AL1455" s="123" t="s">
        <v>500</v>
      </c>
      <c r="AM1455" s="123" t="s">
        <v>492</v>
      </c>
      <c r="AN1455" s="151"/>
      <c r="AO1455" s="167"/>
      <c r="AP1455" s="115"/>
      <c r="AQ1455" s="115"/>
      <c r="AR1455" s="115"/>
      <c r="AS1455" s="115"/>
      <c r="AT1455" s="115"/>
    </row>
    <row r="1456" spans="1:46" ht="39" customHeight="1" x14ac:dyDescent="0.25">
      <c r="A1456" s="1468">
        <v>1455</v>
      </c>
      <c r="B1456" s="117"/>
      <c r="C1456" s="324"/>
      <c r="D1456" s="664"/>
      <c r="E1456" s="664"/>
      <c r="F1456" s="664"/>
      <c r="G1456" s="227"/>
      <c r="H1456" s="228"/>
      <c r="I1456" s="228"/>
      <c r="J1456" s="229"/>
      <c r="K1456" s="227"/>
      <c r="L1456" s="229"/>
      <c r="M1456" s="229"/>
      <c r="N1456" s="229"/>
      <c r="O1456" s="309"/>
      <c r="P1456" s="230" t="s">
        <v>390</v>
      </c>
      <c r="Q1456" s="664"/>
      <c r="R1456" s="324"/>
      <c r="S1456" s="279"/>
      <c r="T1456" s="334"/>
      <c r="U1456" s="250"/>
      <c r="V1456" s="334"/>
      <c r="W1456" s="232"/>
      <c r="X1456" s="232"/>
      <c r="Y1456" s="232"/>
      <c r="Z1456" s="233"/>
      <c r="AA1456" s="252"/>
      <c r="AB1456" s="235"/>
      <c r="AC1456" s="236"/>
      <c r="AD1456" s="235"/>
      <c r="AE1456" s="494"/>
      <c r="AF1456" s="494"/>
      <c r="AG1456" s="664"/>
      <c r="AH1456" s="238"/>
      <c r="AI1456" s="239"/>
      <c r="AJ1456" s="576"/>
      <c r="AK1456" s="664"/>
      <c r="AL1456" s="113"/>
      <c r="AM1456" s="113"/>
      <c r="AN1456" s="163"/>
      <c r="AO1456" s="114"/>
      <c r="AP1456" s="115"/>
      <c r="AQ1456" s="115"/>
      <c r="AR1456" s="115"/>
      <c r="AS1456" s="115"/>
      <c r="AT1456" s="116"/>
    </row>
    <row r="1457" spans="1:46" ht="39" customHeight="1" x14ac:dyDescent="0.3">
      <c r="A1457" s="1468">
        <v>1456</v>
      </c>
      <c r="B1457" s="128">
        <v>5</v>
      </c>
      <c r="C1457" s="290" t="s">
        <v>367</v>
      </c>
      <c r="D1457" s="344"/>
      <c r="E1457" s="344" t="s">
        <v>47</v>
      </c>
      <c r="F1457" s="344"/>
      <c r="G1457" s="292" t="s">
        <v>389</v>
      </c>
      <c r="H1457" s="293" t="s">
        <v>132</v>
      </c>
      <c r="I1457" s="346"/>
      <c r="J1457" s="256">
        <v>403</v>
      </c>
      <c r="K1457" s="216"/>
      <c r="L1457" s="282"/>
      <c r="M1457" s="282"/>
      <c r="N1457" s="245"/>
      <c r="O1457" s="216"/>
      <c r="P1457" s="247"/>
      <c r="Q1457" s="978"/>
      <c r="R1457" s="259" t="s">
        <v>66</v>
      </c>
      <c r="S1457" s="279"/>
      <c r="T1457" s="250"/>
      <c r="U1457" s="250"/>
      <c r="V1457" s="250"/>
      <c r="W1457" s="392"/>
      <c r="X1457" s="392"/>
      <c r="Y1457" s="1126"/>
      <c r="Z1457" s="252"/>
      <c r="AA1457" s="252"/>
      <c r="AB1457" s="281"/>
      <c r="AC1457" s="223"/>
      <c r="AD1457" s="281"/>
      <c r="AE1457" s="494"/>
      <c r="AF1457" s="494"/>
      <c r="AG1457" s="241"/>
      <c r="AH1457" s="283"/>
      <c r="AI1457" s="296"/>
      <c r="AJ1457" s="491"/>
      <c r="AK1457" s="348">
        <v>3</v>
      </c>
      <c r="AL1457" s="123" t="s">
        <v>500</v>
      </c>
      <c r="AM1457" s="175" t="s">
        <v>492</v>
      </c>
      <c r="AN1457" s="138"/>
      <c r="AO1457" s="138"/>
      <c r="AP1457" s="115"/>
      <c r="AQ1457" s="115"/>
      <c r="AR1457" s="115"/>
      <c r="AS1457" s="115"/>
      <c r="AT1457" s="115"/>
    </row>
    <row r="1458" spans="1:46" ht="39" customHeight="1" x14ac:dyDescent="0.25">
      <c r="A1458" s="1468">
        <v>1457</v>
      </c>
      <c r="B1458" s="159">
        <v>3</v>
      </c>
      <c r="C1458" s="356" t="s">
        <v>290</v>
      </c>
      <c r="D1458" s="282" t="s">
        <v>134</v>
      </c>
      <c r="E1458" s="282"/>
      <c r="F1458" s="282"/>
      <c r="G1458" s="261" t="s">
        <v>291</v>
      </c>
      <c r="H1458" s="262" t="s">
        <v>87</v>
      </c>
      <c r="I1458" s="357"/>
      <c r="J1458" s="245" t="s">
        <v>561</v>
      </c>
      <c r="K1458" s="216"/>
      <c r="L1458" s="281"/>
      <c r="M1458" s="281"/>
      <c r="N1458" s="374"/>
      <c r="O1458" s="392"/>
      <c r="P1458" s="374"/>
      <c r="Q1458" s="344"/>
      <c r="R1458" s="683" t="s">
        <v>66</v>
      </c>
      <c r="S1458" s="279"/>
      <c r="T1458" s="257"/>
      <c r="U1458" s="250"/>
      <c r="V1458" s="197"/>
      <c r="W1458" s="306"/>
      <c r="X1458" s="299"/>
      <c r="Y1458" s="299"/>
      <c r="Z1458" s="289"/>
      <c r="AA1458" s="252"/>
      <c r="AB1458" s="257"/>
      <c r="AC1458" s="223"/>
      <c r="AD1458" s="257"/>
      <c r="AE1458" s="494"/>
      <c r="AF1458" s="494"/>
      <c r="AG1458" s="241"/>
      <c r="AH1458" s="299"/>
      <c r="AI1458" s="254"/>
      <c r="AJ1458" s="348"/>
      <c r="AK1458" s="241">
        <v>4</v>
      </c>
      <c r="AL1458" s="123" t="s">
        <v>500</v>
      </c>
      <c r="AM1458" s="175" t="s">
        <v>492</v>
      </c>
      <c r="AN1458" s="172" t="s">
        <v>4184</v>
      </c>
      <c r="AO1458" s="151"/>
      <c r="AP1458" s="115"/>
      <c r="AQ1458" s="115"/>
      <c r="AR1458" s="115"/>
      <c r="AS1458" s="115"/>
      <c r="AT1458" s="115"/>
    </row>
    <row r="1459" spans="1:46" ht="39" customHeight="1" x14ac:dyDescent="0.25">
      <c r="A1459" s="1468">
        <v>1458</v>
      </c>
      <c r="B1459" s="117">
        <v>3</v>
      </c>
      <c r="C1459" s="260" t="s">
        <v>346</v>
      </c>
      <c r="D1459" s="282"/>
      <c r="E1459" s="282"/>
      <c r="F1459" s="282"/>
      <c r="G1459" s="261" t="s">
        <v>383</v>
      </c>
      <c r="H1459" s="262" t="s">
        <v>85</v>
      </c>
      <c r="I1459" s="357"/>
      <c r="J1459" s="245" t="s">
        <v>556</v>
      </c>
      <c r="K1459" s="216"/>
      <c r="L1459" s="301"/>
      <c r="M1459" s="216"/>
      <c r="N1459" s="366"/>
      <c r="O1459" s="216"/>
      <c r="P1459" s="402"/>
      <c r="Q1459" s="301"/>
      <c r="R1459" s="683" t="s">
        <v>66</v>
      </c>
      <c r="S1459" s="279"/>
      <c r="T1459" s="306"/>
      <c r="U1459" s="250"/>
      <c r="V1459" s="197"/>
      <c r="W1459" s="306"/>
      <c r="X1459" s="306"/>
      <c r="Y1459" s="197"/>
      <c r="Z1459" s="246"/>
      <c r="AA1459" s="252"/>
      <c r="AB1459" s="301"/>
      <c r="AC1459" s="223"/>
      <c r="AD1459" s="301"/>
      <c r="AE1459" s="494"/>
      <c r="AF1459" s="494"/>
      <c r="AG1459" s="301"/>
      <c r="AH1459" s="301"/>
      <c r="AI1459" s="386"/>
      <c r="AJ1459" s="303"/>
      <c r="AK1459" s="241">
        <v>4</v>
      </c>
      <c r="AL1459" s="123" t="s">
        <v>500</v>
      </c>
      <c r="AM1459" s="175" t="s">
        <v>492</v>
      </c>
      <c r="AN1459" s="151"/>
      <c r="AO1459" s="151"/>
      <c r="AP1459" s="115"/>
      <c r="AQ1459" s="115"/>
      <c r="AR1459" s="115"/>
      <c r="AS1459" s="115"/>
      <c r="AT1459" s="115"/>
    </row>
    <row r="1460" spans="1:46" ht="39" customHeight="1" x14ac:dyDescent="0.25">
      <c r="A1460" s="1468">
        <v>1459</v>
      </c>
      <c r="B1460" s="159">
        <v>2</v>
      </c>
      <c r="C1460" s="358" t="s">
        <v>385</v>
      </c>
      <c r="D1460" s="282" t="s">
        <v>134</v>
      </c>
      <c r="E1460" s="282"/>
      <c r="F1460" s="282"/>
      <c r="G1460" s="261" t="s">
        <v>386</v>
      </c>
      <c r="H1460" s="262" t="s">
        <v>85</v>
      </c>
      <c r="I1460" s="357"/>
      <c r="J1460" s="245" t="s">
        <v>556</v>
      </c>
      <c r="K1460" s="307"/>
      <c r="L1460" s="301" t="s">
        <v>3518</v>
      </c>
      <c r="M1460" s="281" t="s">
        <v>3518</v>
      </c>
      <c r="N1460" s="366"/>
      <c r="O1460" s="216" t="s">
        <v>3539</v>
      </c>
      <c r="P1460" s="706" t="s">
        <v>1828</v>
      </c>
      <c r="Q1460" s="373" t="s">
        <v>87</v>
      </c>
      <c r="R1460" s="982" t="s">
        <v>3538</v>
      </c>
      <c r="S1460" s="279">
        <v>33986</v>
      </c>
      <c r="T1460" s="250"/>
      <c r="U1460" s="251" t="s">
        <v>54</v>
      </c>
      <c r="V1460" s="197" t="s">
        <v>5512</v>
      </c>
      <c r="W1460" s="250" t="s">
        <v>56</v>
      </c>
      <c r="X1460" s="197" t="s">
        <v>57</v>
      </c>
      <c r="Y1460" s="197" t="s">
        <v>5726</v>
      </c>
      <c r="Z1460" s="246">
        <v>45272</v>
      </c>
      <c r="AA1460" s="252"/>
      <c r="AB1460" s="299"/>
      <c r="AC1460" s="223"/>
      <c r="AD1460" s="299"/>
      <c r="AE1460" s="494"/>
      <c r="AF1460" s="494"/>
      <c r="AG1460" s="299"/>
      <c r="AH1460" s="299"/>
      <c r="AI1460" s="296"/>
      <c r="AJ1460" s="348" t="s">
        <v>560</v>
      </c>
      <c r="AK1460" s="241">
        <v>4</v>
      </c>
      <c r="AL1460" s="123" t="s">
        <v>500</v>
      </c>
      <c r="AM1460" s="175" t="s">
        <v>492</v>
      </c>
      <c r="AN1460" s="110"/>
      <c r="AO1460" s="151"/>
      <c r="AP1460" s="115"/>
      <c r="AQ1460" s="115"/>
      <c r="AR1460" s="115"/>
      <c r="AS1460" s="115"/>
      <c r="AT1460" s="116"/>
    </row>
    <row r="1461" spans="1:46" ht="39" customHeight="1" x14ac:dyDescent="0.25">
      <c r="A1461" s="1468">
        <v>1460</v>
      </c>
      <c r="B1461" s="146">
        <v>2</v>
      </c>
      <c r="C1461" s="260" t="s">
        <v>319</v>
      </c>
      <c r="D1461" s="282"/>
      <c r="E1461" s="282"/>
      <c r="F1461" s="282"/>
      <c r="G1461" s="261" t="s">
        <v>387</v>
      </c>
      <c r="H1461" s="262" t="s">
        <v>87</v>
      </c>
      <c r="I1461" s="357"/>
      <c r="J1461" s="245" t="s">
        <v>561</v>
      </c>
      <c r="K1461" s="216"/>
      <c r="L1461" s="216"/>
      <c r="M1461" s="216"/>
      <c r="N1461" s="305"/>
      <c r="O1461" s="959"/>
      <c r="P1461" s="706"/>
      <c r="Q1461" s="485"/>
      <c r="R1461" s="982" t="s">
        <v>66</v>
      </c>
      <c r="S1461" s="279"/>
      <c r="T1461" s="197"/>
      <c r="U1461" s="197"/>
      <c r="V1461" s="197"/>
      <c r="W1461" s="250"/>
      <c r="X1461" s="197"/>
      <c r="Y1461" s="197"/>
      <c r="Z1461" s="246"/>
      <c r="AA1461" s="252"/>
      <c r="AB1461" s="250"/>
      <c r="AC1461" s="223"/>
      <c r="AD1461" s="250"/>
      <c r="AE1461" s="494"/>
      <c r="AF1461" s="494"/>
      <c r="AG1461" s="282"/>
      <c r="AH1461" s="283"/>
      <c r="AI1461" s="223"/>
      <c r="AJ1461" s="491"/>
      <c r="AK1461" s="241">
        <v>4</v>
      </c>
      <c r="AL1461" s="123" t="s">
        <v>500</v>
      </c>
      <c r="AM1461" s="175" t="s">
        <v>492</v>
      </c>
      <c r="AN1461" s="151"/>
      <c r="AO1461" s="151"/>
      <c r="AP1461" s="115"/>
      <c r="AQ1461" s="115"/>
      <c r="AR1461" s="115"/>
      <c r="AS1461" s="115"/>
      <c r="AT1461" s="115"/>
    </row>
    <row r="1462" spans="1:46" ht="39" customHeight="1" x14ac:dyDescent="0.25">
      <c r="A1462" s="1468">
        <v>1461</v>
      </c>
      <c r="B1462" s="117">
        <v>3</v>
      </c>
      <c r="C1462" s="260" t="s">
        <v>346</v>
      </c>
      <c r="D1462" s="282"/>
      <c r="E1462" s="282"/>
      <c r="F1462" s="282"/>
      <c r="G1462" s="261" t="s">
        <v>383</v>
      </c>
      <c r="H1462" s="262" t="s">
        <v>85</v>
      </c>
      <c r="I1462" s="357"/>
      <c r="J1462" s="245" t="s">
        <v>556</v>
      </c>
      <c r="K1462" s="595"/>
      <c r="L1462" s="281" t="s">
        <v>1685</v>
      </c>
      <c r="M1462" s="281" t="s">
        <v>1527</v>
      </c>
      <c r="N1462" s="366"/>
      <c r="O1462" s="392" t="s">
        <v>3019</v>
      </c>
      <c r="P1462" s="402"/>
      <c r="Q1462" s="301" t="s">
        <v>87</v>
      </c>
      <c r="R1462" s="427" t="s">
        <v>1701</v>
      </c>
      <c r="S1462" s="279"/>
      <c r="T1462" s="197"/>
      <c r="U1462" s="251" t="s">
        <v>54</v>
      </c>
      <c r="V1462" s="197" t="s">
        <v>2324</v>
      </c>
      <c r="W1462" s="197" t="s">
        <v>128</v>
      </c>
      <c r="X1462" s="197" t="s">
        <v>475</v>
      </c>
      <c r="Y1462" s="197" t="s">
        <v>2325</v>
      </c>
      <c r="Z1462" s="246">
        <v>45145</v>
      </c>
      <c r="AA1462" s="252">
        <v>45176</v>
      </c>
      <c r="AB1462" s="288" t="s">
        <v>4512</v>
      </c>
      <c r="AC1462" s="223" t="s">
        <v>946</v>
      </c>
      <c r="AD1462" s="376"/>
      <c r="AE1462" s="494">
        <v>45112</v>
      </c>
      <c r="AF1462" s="494">
        <v>45477</v>
      </c>
      <c r="AG1462" s="241"/>
      <c r="AH1462" s="283"/>
      <c r="AI1462" s="254" t="s">
        <v>1351</v>
      </c>
      <c r="AJ1462" s="303" t="s">
        <v>136</v>
      </c>
      <c r="AK1462" s="241">
        <v>4</v>
      </c>
      <c r="AL1462" s="123" t="s">
        <v>500</v>
      </c>
      <c r="AM1462" s="175" t="s">
        <v>492</v>
      </c>
      <c r="AN1462" s="167"/>
      <c r="AO1462" s="151"/>
      <c r="AP1462" s="115"/>
      <c r="AQ1462" s="115"/>
      <c r="AR1462" s="115"/>
      <c r="AS1462" s="115"/>
      <c r="AT1462" s="115"/>
    </row>
    <row r="1463" spans="1:46" ht="39" customHeight="1" x14ac:dyDescent="0.25">
      <c r="A1463" s="1468">
        <v>1462</v>
      </c>
      <c r="B1463" s="146">
        <v>2</v>
      </c>
      <c r="C1463" s="503" t="s">
        <v>319</v>
      </c>
      <c r="D1463" s="481"/>
      <c r="E1463" s="481"/>
      <c r="F1463" s="481"/>
      <c r="G1463" s="472" t="s">
        <v>387</v>
      </c>
      <c r="H1463" s="262" t="s">
        <v>87</v>
      </c>
      <c r="I1463" s="473"/>
      <c r="J1463" s="245" t="s">
        <v>561</v>
      </c>
      <c r="K1463" s="216"/>
      <c r="L1463" s="288" t="s">
        <v>4055</v>
      </c>
      <c r="M1463" s="288" t="s">
        <v>4055</v>
      </c>
      <c r="N1463" s="374"/>
      <c r="O1463" s="385" t="s">
        <v>4589</v>
      </c>
      <c r="P1463" s="374"/>
      <c r="Q1463" s="344" t="s">
        <v>87</v>
      </c>
      <c r="R1463" s="982" t="s">
        <v>4588</v>
      </c>
      <c r="S1463" s="279">
        <v>38225</v>
      </c>
      <c r="T1463" s="197"/>
      <c r="U1463" s="251" t="s">
        <v>54</v>
      </c>
      <c r="V1463" s="197" t="s">
        <v>5955</v>
      </c>
      <c r="W1463" s="197" t="s">
        <v>70</v>
      </c>
      <c r="X1463" s="197" t="s">
        <v>71</v>
      </c>
      <c r="Y1463" s="949" t="s">
        <v>5964</v>
      </c>
      <c r="Z1463" s="612">
        <v>45312</v>
      </c>
      <c r="AA1463" s="388"/>
      <c r="AB1463" s="288"/>
      <c r="AC1463" s="223"/>
      <c r="AD1463" s="288"/>
      <c r="AE1463" s="494"/>
      <c r="AF1463" s="494"/>
      <c r="AG1463" s="392"/>
      <c r="AH1463" s="283"/>
      <c r="AI1463" s="254"/>
      <c r="AJ1463" s="348" t="s">
        <v>560</v>
      </c>
      <c r="AK1463" s="471">
        <v>4</v>
      </c>
      <c r="AL1463" s="176" t="s">
        <v>500</v>
      </c>
      <c r="AM1463" s="175" t="s">
        <v>492</v>
      </c>
      <c r="AN1463" s="151"/>
      <c r="AO1463" s="167"/>
      <c r="AP1463" s="115"/>
      <c r="AQ1463" s="115"/>
      <c r="AR1463" s="115"/>
      <c r="AS1463" s="115"/>
      <c r="AT1463" s="115"/>
    </row>
    <row r="1464" spans="1:46" s="827" customFormat="1" ht="39" customHeight="1" x14ac:dyDescent="0.25">
      <c r="A1464" s="1468">
        <v>1463</v>
      </c>
      <c r="B1464" s="117"/>
      <c r="C1464" s="324"/>
      <c r="D1464" s="535"/>
      <c r="E1464" s="535"/>
      <c r="F1464" s="535"/>
      <c r="G1464" s="227"/>
      <c r="H1464" s="577"/>
      <c r="I1464" s="537"/>
      <c r="J1464" s="235"/>
      <c r="K1464" s="309"/>
      <c r="L1464" s="541"/>
      <c r="M1464" s="309"/>
      <c r="N1464" s="578"/>
      <c r="O1464" s="309"/>
      <c r="P1464" s="540" t="s">
        <v>501</v>
      </c>
      <c r="Q1464" s="541"/>
      <c r="R1464" s="324"/>
      <c r="S1464" s="279"/>
      <c r="T1464" s="334"/>
      <c r="U1464" s="250"/>
      <c r="V1464" s="334"/>
      <c r="W1464" s="579"/>
      <c r="X1464" s="579"/>
      <c r="Y1464" s="232"/>
      <c r="Z1464" s="233"/>
      <c r="AA1464" s="252"/>
      <c r="AB1464" s="541"/>
      <c r="AC1464" s="236"/>
      <c r="AD1464" s="541"/>
      <c r="AE1464" s="494"/>
      <c r="AF1464" s="494"/>
      <c r="AG1464" s="541"/>
      <c r="AH1464" s="541"/>
      <c r="AI1464" s="580"/>
      <c r="AJ1464" s="576"/>
      <c r="AK1464" s="664"/>
      <c r="AL1464" s="113"/>
      <c r="AM1464" s="113"/>
      <c r="AN1464" s="156"/>
      <c r="AO1464" s="182"/>
      <c r="AP1464" s="115"/>
      <c r="AQ1464" s="115"/>
      <c r="AR1464" s="115"/>
      <c r="AS1464" s="115"/>
      <c r="AT1464" s="115"/>
    </row>
    <row r="1465" spans="1:46" ht="39" customHeight="1" x14ac:dyDescent="0.25">
      <c r="A1465" s="1468">
        <v>1464</v>
      </c>
      <c r="B1465" s="117">
        <v>10</v>
      </c>
      <c r="C1465" s="930" t="s">
        <v>305</v>
      </c>
      <c r="D1465" s="765"/>
      <c r="E1465" s="765"/>
      <c r="F1465" s="765"/>
      <c r="G1465" s="744" t="s">
        <v>393</v>
      </c>
      <c r="H1465" s="244" t="s">
        <v>83</v>
      </c>
      <c r="I1465" s="553"/>
      <c r="J1465" s="245">
        <v>302</v>
      </c>
      <c r="K1465" s="197" t="s">
        <v>50</v>
      </c>
      <c r="L1465" s="245" t="s">
        <v>1908</v>
      </c>
      <c r="M1465" s="245" t="s">
        <v>1908</v>
      </c>
      <c r="N1465" s="245"/>
      <c r="O1465" s="216" t="s">
        <v>3309</v>
      </c>
      <c r="P1465" s="247"/>
      <c r="Q1465" s="338" t="s">
        <v>119</v>
      </c>
      <c r="R1465" s="990" t="s">
        <v>1909</v>
      </c>
      <c r="S1465" s="279">
        <v>37050</v>
      </c>
      <c r="T1465" s="197"/>
      <c r="U1465" s="197"/>
      <c r="V1465" s="197"/>
      <c r="W1465" s="981" t="s">
        <v>3478</v>
      </c>
      <c r="X1465" s="197"/>
      <c r="Y1465" s="981"/>
      <c r="Z1465" s="246"/>
      <c r="AA1465" s="252"/>
      <c r="AB1465" s="245"/>
      <c r="AC1465" s="223"/>
      <c r="AD1465" s="245"/>
      <c r="AE1465" s="494"/>
      <c r="AF1465" s="494"/>
      <c r="AG1465" s="241"/>
      <c r="AH1465" s="253"/>
      <c r="AI1465" s="296"/>
      <c r="AJ1465" s="255" t="s">
        <v>62</v>
      </c>
      <c r="AK1465" s="806">
        <v>1</v>
      </c>
      <c r="AL1465" s="825" t="s">
        <v>923</v>
      </c>
      <c r="AM1465" s="175" t="s">
        <v>492</v>
      </c>
      <c r="AN1465" s="151"/>
      <c r="AO1465" s="183"/>
      <c r="AP1465" s="115"/>
      <c r="AQ1465" s="115"/>
      <c r="AR1465" s="115"/>
      <c r="AS1465" s="115"/>
      <c r="AT1465" s="115"/>
    </row>
    <row r="1466" spans="1:46" s="827" customFormat="1" ht="39" customHeight="1" x14ac:dyDescent="0.25">
      <c r="A1466" s="1468">
        <v>1465</v>
      </c>
      <c r="B1466" s="117"/>
      <c r="C1466" s="324"/>
      <c r="D1466" s="535"/>
      <c r="E1466" s="535"/>
      <c r="F1466" s="535"/>
      <c r="G1466" s="227"/>
      <c r="H1466" s="577"/>
      <c r="I1466" s="537"/>
      <c r="J1466" s="235"/>
      <c r="K1466" s="309"/>
      <c r="L1466" s="541"/>
      <c r="M1466" s="309"/>
      <c r="N1466" s="578"/>
      <c r="O1466" s="309"/>
      <c r="P1466" s="540" t="s">
        <v>395</v>
      </c>
      <c r="Q1466" s="541"/>
      <c r="R1466" s="324"/>
      <c r="S1466" s="279"/>
      <c r="T1466" s="334"/>
      <c r="U1466" s="250"/>
      <c r="V1466" s="334"/>
      <c r="W1466" s="579"/>
      <c r="X1466" s="579"/>
      <c r="Y1466" s="232"/>
      <c r="Z1466" s="233"/>
      <c r="AA1466" s="252"/>
      <c r="AB1466" s="541"/>
      <c r="AC1466" s="236"/>
      <c r="AD1466" s="541"/>
      <c r="AE1466" s="494"/>
      <c r="AF1466" s="494"/>
      <c r="AG1466" s="541"/>
      <c r="AH1466" s="541"/>
      <c r="AI1466" s="580"/>
      <c r="AJ1466" s="576"/>
      <c r="AK1466" s="664"/>
      <c r="AL1466" s="113"/>
      <c r="AM1466" s="113"/>
      <c r="AN1466" s="156"/>
      <c r="AO1466" s="182"/>
      <c r="AP1466" s="115"/>
      <c r="AQ1466" s="115"/>
      <c r="AR1466" s="115"/>
      <c r="AS1466" s="115"/>
      <c r="AT1466" s="115"/>
    </row>
    <row r="1467" spans="1:46" ht="39" customHeight="1" x14ac:dyDescent="0.25">
      <c r="A1467" s="1468">
        <v>1466</v>
      </c>
      <c r="B1467" s="161">
        <v>5</v>
      </c>
      <c r="C1467" s="510" t="s">
        <v>367</v>
      </c>
      <c r="D1467" s="487"/>
      <c r="E1467" s="487"/>
      <c r="F1467" s="487"/>
      <c r="G1467" s="477" t="s">
        <v>396</v>
      </c>
      <c r="H1467" s="478" t="s">
        <v>132</v>
      </c>
      <c r="I1467" s="508"/>
      <c r="J1467" s="256">
        <v>403</v>
      </c>
      <c r="K1467" s="642"/>
      <c r="L1467" s="1458"/>
      <c r="M1467" s="1458"/>
      <c r="N1467" s="642"/>
      <c r="O1467" s="1458"/>
      <c r="P1467" s="1458"/>
      <c r="Q1467" s="344"/>
      <c r="R1467" s="982" t="s">
        <v>66</v>
      </c>
      <c r="S1467" s="279"/>
      <c r="T1467" s="595"/>
      <c r="U1467" s="197"/>
      <c r="V1467" s="197"/>
      <c r="W1467" s="1459"/>
      <c r="X1467" s="1459"/>
      <c r="Y1467" s="299"/>
      <c r="Z1467" s="289"/>
      <c r="AA1467" s="815"/>
      <c r="AB1467" s="1293"/>
      <c r="AC1467" s="642"/>
      <c r="AD1467" s="661"/>
      <c r="AE1467" s="494"/>
      <c r="AF1467" s="494"/>
      <c r="AG1467" s="642"/>
      <c r="AH1467" s="642"/>
      <c r="AI1467" s="1458"/>
      <c r="AJ1467" s="348"/>
      <c r="AK1467" s="491">
        <v>3</v>
      </c>
      <c r="AL1467" s="826" t="s">
        <v>923</v>
      </c>
      <c r="AM1467" s="175" t="s">
        <v>492</v>
      </c>
      <c r="AN1467" s="151"/>
      <c r="AO1467" s="173"/>
      <c r="AP1467" s="115"/>
      <c r="AQ1467" s="115"/>
      <c r="AR1467" s="115"/>
      <c r="AS1467" s="115"/>
      <c r="AT1467" s="115"/>
    </row>
    <row r="1468" spans="1:46" ht="39" customHeight="1" x14ac:dyDescent="0.25">
      <c r="A1468" s="1468">
        <v>1467</v>
      </c>
      <c r="B1468" s="117"/>
      <c r="C1468" s="358" t="s">
        <v>397</v>
      </c>
      <c r="D1468" s="282"/>
      <c r="E1468" s="282"/>
      <c r="F1468" s="282"/>
      <c r="G1468" s="261" t="s">
        <v>398</v>
      </c>
      <c r="H1468" s="262" t="s">
        <v>85</v>
      </c>
      <c r="I1468" s="357"/>
      <c r="J1468" s="245" t="s">
        <v>556</v>
      </c>
      <c r="K1468" s="642"/>
      <c r="L1468" s="1489" t="s">
        <v>3518</v>
      </c>
      <c r="M1468" s="1489" t="s">
        <v>3518</v>
      </c>
      <c r="N1468" s="642"/>
      <c r="O1468" s="1489" t="s">
        <v>3527</v>
      </c>
      <c r="P1468" s="1489"/>
      <c r="Q1468" s="344" t="s">
        <v>567</v>
      </c>
      <c r="R1468" s="982" t="s">
        <v>3526</v>
      </c>
      <c r="S1468" s="279">
        <v>37820</v>
      </c>
      <c r="T1468" s="595"/>
      <c r="U1468" s="197" t="s">
        <v>54</v>
      </c>
      <c r="V1468" s="197" t="s">
        <v>5955</v>
      </c>
      <c r="W1468" s="1490" t="s">
        <v>70</v>
      </c>
      <c r="X1468" s="197" t="s">
        <v>71</v>
      </c>
      <c r="Y1468" s="299" t="s">
        <v>5993</v>
      </c>
      <c r="Z1468" s="612">
        <v>45312</v>
      </c>
      <c r="AA1468" s="815"/>
      <c r="AB1468" s="1293"/>
      <c r="AC1468" s="642"/>
      <c r="AD1468" s="661"/>
      <c r="AE1468" s="494"/>
      <c r="AF1468" s="494"/>
      <c r="AG1468" s="642"/>
      <c r="AH1468" s="642"/>
      <c r="AI1468" s="1489"/>
      <c r="AJ1468" s="348" t="s">
        <v>560</v>
      </c>
      <c r="AK1468" s="241">
        <v>4</v>
      </c>
      <c r="AL1468" s="122" t="s">
        <v>923</v>
      </c>
      <c r="AM1468" s="175" t="s">
        <v>492</v>
      </c>
      <c r="AN1468" s="151"/>
      <c r="AO1468" s="151"/>
      <c r="AP1468" s="115"/>
      <c r="AQ1468" s="115"/>
      <c r="AR1468" s="115"/>
      <c r="AS1468" s="115"/>
      <c r="AT1468" s="115"/>
    </row>
    <row r="1469" spans="1:46" ht="39" customHeight="1" x14ac:dyDescent="0.25">
      <c r="A1469" s="1468">
        <v>1468</v>
      </c>
      <c r="B1469" s="117"/>
      <c r="C1469" s="358" t="s">
        <v>86</v>
      </c>
      <c r="D1469" s="282"/>
      <c r="E1469" s="282"/>
      <c r="F1469" s="282"/>
      <c r="G1469" s="261" t="s">
        <v>399</v>
      </c>
      <c r="H1469" s="262" t="s">
        <v>87</v>
      </c>
      <c r="I1469" s="357"/>
      <c r="J1469" s="245" t="s">
        <v>561</v>
      </c>
      <c r="K1469" s="216"/>
      <c r="L1469" s="288"/>
      <c r="M1469" s="288"/>
      <c r="N1469" s="374"/>
      <c r="O1469" s="385"/>
      <c r="P1469" s="374"/>
      <c r="Q1469" s="373"/>
      <c r="R1469" s="982" t="s">
        <v>66</v>
      </c>
      <c r="S1469" s="279"/>
      <c r="T1469" s="197"/>
      <c r="U1469" s="250"/>
      <c r="V1469" s="385"/>
      <c r="W1469" s="1108"/>
      <c r="X1469" s="1357"/>
      <c r="Y1469" s="981"/>
      <c r="Z1469" s="252"/>
      <c r="AA1469" s="1442"/>
      <c r="AB1469" s="288"/>
      <c r="AC1469" s="223"/>
      <c r="AD1469" s="288"/>
      <c r="AE1469" s="494"/>
      <c r="AF1469" s="494"/>
      <c r="AG1469" s="1357"/>
      <c r="AH1469" s="283"/>
      <c r="AI1469" s="254"/>
      <c r="AJ1469" s="348"/>
      <c r="AK1469" s="241">
        <v>4</v>
      </c>
      <c r="AL1469" s="122" t="s">
        <v>923</v>
      </c>
      <c r="AM1469" s="175" t="s">
        <v>492</v>
      </c>
      <c r="AN1469" s="151" t="s">
        <v>5773</v>
      </c>
      <c r="AO1469" s="151"/>
      <c r="AP1469" s="115"/>
      <c r="AQ1469" s="115"/>
      <c r="AR1469" s="115"/>
      <c r="AS1469" s="115"/>
      <c r="AT1469" s="115"/>
    </row>
    <row r="1470" spans="1:46" ht="39" customHeight="1" x14ac:dyDescent="0.25">
      <c r="A1470" s="1468">
        <v>1469</v>
      </c>
      <c r="B1470" s="117"/>
      <c r="C1470" s="520" t="s">
        <v>86</v>
      </c>
      <c r="D1470" s="481"/>
      <c r="E1470" s="481"/>
      <c r="F1470" s="481"/>
      <c r="G1470" s="472" t="s">
        <v>399</v>
      </c>
      <c r="H1470" s="262" t="s">
        <v>87</v>
      </c>
      <c r="I1470" s="473"/>
      <c r="J1470" s="245" t="s">
        <v>561</v>
      </c>
      <c r="K1470" s="257"/>
      <c r="L1470" s="299" t="s">
        <v>1925</v>
      </c>
      <c r="M1470" s="299" t="s">
        <v>1925</v>
      </c>
      <c r="N1470" s="299"/>
      <c r="O1470" s="216" t="s">
        <v>2087</v>
      </c>
      <c r="P1470" s="300"/>
      <c r="Q1470" s="344" t="s">
        <v>85</v>
      </c>
      <c r="R1470" s="982" t="s">
        <v>2086</v>
      </c>
      <c r="S1470" s="279">
        <v>37974</v>
      </c>
      <c r="T1470" s="289"/>
      <c r="U1470" s="251" t="s">
        <v>178</v>
      </c>
      <c r="V1470" s="299" t="s">
        <v>6071</v>
      </c>
      <c r="W1470" s="197" t="s">
        <v>3478</v>
      </c>
      <c r="X1470" s="197" t="s">
        <v>6073</v>
      </c>
      <c r="Y1470" s="241" t="s">
        <v>6072</v>
      </c>
      <c r="Z1470" s="258">
        <v>45317</v>
      </c>
      <c r="AA1470" s="289">
        <v>45361</v>
      </c>
      <c r="AB1470" s="299"/>
      <c r="AC1470" s="223"/>
      <c r="AD1470" s="299"/>
      <c r="AE1470" s="494"/>
      <c r="AF1470" s="494"/>
      <c r="AG1470" s="299"/>
      <c r="AH1470" s="299"/>
      <c r="AI1470" s="223"/>
      <c r="AJ1470" s="348" t="s">
        <v>560</v>
      </c>
      <c r="AK1470" s="471">
        <v>4</v>
      </c>
      <c r="AL1470" s="749" t="s">
        <v>923</v>
      </c>
      <c r="AM1470" s="175" t="s">
        <v>492</v>
      </c>
      <c r="AN1470" s="151" t="s">
        <v>5773</v>
      </c>
      <c r="AO1470" s="167"/>
      <c r="AP1470" s="115"/>
      <c r="AQ1470" s="115"/>
      <c r="AR1470" s="115"/>
      <c r="AS1470" s="115"/>
      <c r="AT1470" s="115"/>
    </row>
    <row r="1471" spans="1:46" s="827" customFormat="1" ht="39" customHeight="1" x14ac:dyDescent="0.25">
      <c r="A1471" s="1468">
        <v>1470</v>
      </c>
      <c r="B1471" s="117"/>
      <c r="C1471" s="324"/>
      <c r="D1471" s="535"/>
      <c r="E1471" s="535"/>
      <c r="F1471" s="535"/>
      <c r="G1471" s="227"/>
      <c r="H1471" s="577"/>
      <c r="I1471" s="537"/>
      <c r="J1471" s="235"/>
      <c r="K1471" s="309"/>
      <c r="L1471" s="541"/>
      <c r="M1471" s="309"/>
      <c r="N1471" s="578"/>
      <c r="O1471" s="309"/>
      <c r="P1471" s="540" t="s">
        <v>400</v>
      </c>
      <c r="Q1471" s="541"/>
      <c r="R1471" s="324"/>
      <c r="S1471" s="279"/>
      <c r="T1471" s="334"/>
      <c r="U1471" s="250"/>
      <c r="V1471" s="334"/>
      <c r="W1471" s="579"/>
      <c r="X1471" s="579"/>
      <c r="Y1471" s="232"/>
      <c r="Z1471" s="233"/>
      <c r="AA1471" s="252"/>
      <c r="AB1471" s="541"/>
      <c r="AC1471" s="236"/>
      <c r="AD1471" s="541"/>
      <c r="AE1471" s="494"/>
      <c r="AF1471" s="494"/>
      <c r="AG1471" s="541"/>
      <c r="AH1471" s="541"/>
      <c r="AI1471" s="580"/>
      <c r="AJ1471" s="576"/>
      <c r="AK1471" s="664"/>
      <c r="AL1471" s="113"/>
      <c r="AM1471" s="113"/>
      <c r="AN1471" s="156"/>
      <c r="AO1471" s="182"/>
      <c r="AP1471" s="115"/>
      <c r="AQ1471" s="115"/>
      <c r="AR1471" s="115"/>
      <c r="AS1471" s="115"/>
      <c r="AT1471" s="115"/>
    </row>
    <row r="1472" spans="1:46" ht="39" customHeight="1" x14ac:dyDescent="0.25">
      <c r="A1472" s="1468">
        <v>1471</v>
      </c>
      <c r="B1472" s="161">
        <v>5</v>
      </c>
      <c r="C1472" s="510" t="s">
        <v>367</v>
      </c>
      <c r="D1472" s="487"/>
      <c r="E1472" s="487"/>
      <c r="F1472" s="487"/>
      <c r="G1472" s="477" t="s">
        <v>396</v>
      </c>
      <c r="H1472" s="478" t="s">
        <v>132</v>
      </c>
      <c r="I1472" s="508"/>
      <c r="J1472" s="256">
        <v>403</v>
      </c>
      <c r="K1472" s="277"/>
      <c r="L1472" s="397"/>
      <c r="M1472" s="277"/>
      <c r="N1472" s="451"/>
      <c r="O1472" s="277"/>
      <c r="P1472" s="522"/>
      <c r="Q1472" s="397"/>
      <c r="R1472" s="683" t="s">
        <v>66</v>
      </c>
      <c r="S1472" s="279"/>
      <c r="T1472" s="306"/>
      <c r="U1472" s="250"/>
      <c r="V1472" s="197"/>
      <c r="W1472" s="452"/>
      <c r="X1472" s="452"/>
      <c r="Y1472" s="280"/>
      <c r="Z1472" s="486"/>
      <c r="AA1472" s="252"/>
      <c r="AB1472" s="397"/>
      <c r="AC1472" s="488"/>
      <c r="AD1472" s="397"/>
      <c r="AE1472" s="494"/>
      <c r="AF1472" s="494"/>
      <c r="AG1472" s="397"/>
      <c r="AH1472" s="397"/>
      <c r="AI1472" s="523"/>
      <c r="AJ1472" s="507"/>
      <c r="AK1472" s="491">
        <v>3</v>
      </c>
      <c r="AL1472" s="826" t="s">
        <v>923</v>
      </c>
      <c r="AM1472" s="175" t="s">
        <v>492</v>
      </c>
      <c r="AN1472" s="151"/>
      <c r="AO1472" s="173"/>
      <c r="AP1472" s="115"/>
      <c r="AQ1472" s="115"/>
      <c r="AR1472" s="115"/>
      <c r="AS1472" s="115"/>
      <c r="AT1472" s="115"/>
    </row>
    <row r="1473" spans="1:46" ht="39" customHeight="1" x14ac:dyDescent="0.25">
      <c r="A1473" s="1468">
        <v>1472</v>
      </c>
      <c r="B1473" s="117"/>
      <c r="C1473" s="358" t="s">
        <v>397</v>
      </c>
      <c r="D1473" s="282"/>
      <c r="E1473" s="282"/>
      <c r="F1473" s="282"/>
      <c r="G1473" s="261" t="s">
        <v>398</v>
      </c>
      <c r="H1473" s="262" t="s">
        <v>85</v>
      </c>
      <c r="I1473" s="357"/>
      <c r="J1473" s="245" t="s">
        <v>556</v>
      </c>
      <c r="K1473" s="257"/>
      <c r="L1473" s="288" t="s">
        <v>4638</v>
      </c>
      <c r="M1473" s="288" t="s">
        <v>4638</v>
      </c>
      <c r="N1473" s="374"/>
      <c r="O1473" s="385" t="s">
        <v>1568</v>
      </c>
      <c r="P1473" s="374"/>
      <c r="Q1473" s="373" t="s">
        <v>87</v>
      </c>
      <c r="R1473" s="982" t="s">
        <v>3275</v>
      </c>
      <c r="S1473" s="279">
        <v>33051</v>
      </c>
      <c r="T1473" s="197"/>
      <c r="U1473" s="251" t="s">
        <v>54</v>
      </c>
      <c r="V1473" s="197" t="s">
        <v>5857</v>
      </c>
      <c r="W1473" s="197" t="s">
        <v>56</v>
      </c>
      <c r="X1473" s="197" t="s">
        <v>57</v>
      </c>
      <c r="Y1473" s="1461" t="s">
        <v>4631</v>
      </c>
      <c r="Z1473" s="246">
        <v>45300</v>
      </c>
      <c r="AA1473" s="388"/>
      <c r="AB1473" s="288"/>
      <c r="AC1473" s="223"/>
      <c r="AD1473" s="288"/>
      <c r="AE1473" s="494"/>
      <c r="AF1473" s="494"/>
      <c r="AG1473" s="1357"/>
      <c r="AH1473" s="283"/>
      <c r="AI1473" s="254"/>
      <c r="AJ1473" s="348" t="s">
        <v>560</v>
      </c>
      <c r="AK1473" s="241">
        <v>4</v>
      </c>
      <c r="AL1473" s="122" t="s">
        <v>923</v>
      </c>
      <c r="AM1473" s="175" t="s">
        <v>492</v>
      </c>
      <c r="AN1473" s="167"/>
      <c r="AO1473" s="151"/>
      <c r="AP1473" s="115"/>
      <c r="AQ1473" s="115"/>
      <c r="AR1473" s="115"/>
      <c r="AS1473" s="115"/>
      <c r="AT1473" s="115"/>
    </row>
    <row r="1474" spans="1:46" ht="39" customHeight="1" x14ac:dyDescent="0.25">
      <c r="A1474" s="1468">
        <v>1473</v>
      </c>
      <c r="B1474" s="117"/>
      <c r="C1474" s="520" t="s">
        <v>86</v>
      </c>
      <c r="D1474" s="481"/>
      <c r="E1474" s="481"/>
      <c r="F1474" s="481"/>
      <c r="G1474" s="472" t="s">
        <v>399</v>
      </c>
      <c r="H1474" s="262" t="s">
        <v>87</v>
      </c>
      <c r="I1474" s="473"/>
      <c r="J1474" s="245" t="s">
        <v>561</v>
      </c>
      <c r="K1474" s="307"/>
      <c r="L1474" s="216"/>
      <c r="M1474" s="216"/>
      <c r="N1474" s="366"/>
      <c r="O1474" s="216"/>
      <c r="P1474" s="216"/>
      <c r="Q1474" s="301"/>
      <c r="R1474" s="683" t="s">
        <v>66</v>
      </c>
      <c r="S1474" s="279"/>
      <c r="T1474" s="250"/>
      <c r="U1474" s="250"/>
      <c r="V1474" s="250"/>
      <c r="W1474" s="250"/>
      <c r="X1474" s="250"/>
      <c r="Y1474" s="197"/>
      <c r="Z1474" s="246"/>
      <c r="AA1474" s="252"/>
      <c r="AB1474" s="250"/>
      <c r="AC1474" s="223"/>
      <c r="AD1474" s="250"/>
      <c r="AE1474" s="494"/>
      <c r="AF1474" s="494"/>
      <c r="AG1474" s="282"/>
      <c r="AH1474" s="281"/>
      <c r="AI1474" s="393"/>
      <c r="AJ1474" s="303"/>
      <c r="AK1474" s="241">
        <v>4</v>
      </c>
      <c r="AL1474" s="122" t="s">
        <v>923</v>
      </c>
      <c r="AM1474" s="175" t="s">
        <v>492</v>
      </c>
      <c r="AN1474" s="151" t="s">
        <v>5773</v>
      </c>
      <c r="AO1474" s="151"/>
      <c r="AP1474" s="115"/>
      <c r="AQ1474" s="115"/>
      <c r="AR1474" s="115"/>
      <c r="AS1474" s="115"/>
      <c r="AT1474" s="115"/>
    </row>
    <row r="1475" spans="1:46" ht="39" customHeight="1" x14ac:dyDescent="0.25">
      <c r="A1475" s="1468">
        <v>1474</v>
      </c>
      <c r="B1475" s="117"/>
      <c r="C1475" s="520" t="s">
        <v>86</v>
      </c>
      <c r="D1475" s="481"/>
      <c r="E1475" s="481"/>
      <c r="F1475" s="481"/>
      <c r="G1475" s="472" t="s">
        <v>399</v>
      </c>
      <c r="H1475" s="262" t="s">
        <v>87</v>
      </c>
      <c r="I1475" s="473"/>
      <c r="J1475" s="245" t="s">
        <v>561</v>
      </c>
      <c r="K1475" s="216"/>
      <c r="L1475" s="216"/>
      <c r="M1475" s="216"/>
      <c r="N1475" s="366"/>
      <c r="O1475" s="216"/>
      <c r="P1475" s="402"/>
      <c r="Q1475" s="301"/>
      <c r="R1475" s="683" t="s">
        <v>66</v>
      </c>
      <c r="S1475" s="279"/>
      <c r="T1475" s="306"/>
      <c r="U1475" s="250"/>
      <c r="V1475" s="250"/>
      <c r="W1475" s="250"/>
      <c r="X1475" s="250"/>
      <c r="Y1475" s="197"/>
      <c r="Z1475" s="246"/>
      <c r="AA1475" s="252"/>
      <c r="AB1475" s="301"/>
      <c r="AC1475" s="223"/>
      <c r="AD1475" s="301"/>
      <c r="AE1475" s="494"/>
      <c r="AF1475" s="494"/>
      <c r="AG1475" s="305"/>
      <c r="AH1475" s="301"/>
      <c r="AI1475" s="223"/>
      <c r="AJ1475" s="303"/>
      <c r="AK1475" s="471">
        <v>4</v>
      </c>
      <c r="AL1475" s="749" t="s">
        <v>923</v>
      </c>
      <c r="AM1475" s="175" t="s">
        <v>492</v>
      </c>
      <c r="AN1475" s="151" t="s">
        <v>5773</v>
      </c>
      <c r="AO1475" s="167"/>
      <c r="AP1475" s="115"/>
      <c r="AQ1475" s="115"/>
      <c r="AR1475" s="115"/>
      <c r="AS1475" s="115"/>
      <c r="AT1475" s="115"/>
    </row>
    <row r="1476" spans="1:46" s="827" customFormat="1" ht="39" customHeight="1" x14ac:dyDescent="0.25">
      <c r="A1476" s="1468">
        <v>1475</v>
      </c>
      <c r="B1476" s="117"/>
      <c r="C1476" s="324"/>
      <c r="D1476" s="535"/>
      <c r="E1476" s="535"/>
      <c r="F1476" s="535"/>
      <c r="G1476" s="227"/>
      <c r="H1476" s="577"/>
      <c r="I1476" s="537"/>
      <c r="J1476" s="235"/>
      <c r="K1476" s="309"/>
      <c r="L1476" s="541"/>
      <c r="M1476" s="309"/>
      <c r="N1476" s="578"/>
      <c r="O1476" s="309"/>
      <c r="P1476" s="540" t="s">
        <v>401</v>
      </c>
      <c r="Q1476" s="541"/>
      <c r="R1476" s="324"/>
      <c r="S1476" s="279"/>
      <c r="T1476" s="334"/>
      <c r="U1476" s="250"/>
      <c r="V1476" s="334"/>
      <c r="W1476" s="579"/>
      <c r="X1476" s="579"/>
      <c r="Y1476" s="232"/>
      <c r="Z1476" s="233"/>
      <c r="AA1476" s="252"/>
      <c r="AB1476" s="541"/>
      <c r="AC1476" s="236"/>
      <c r="AD1476" s="541"/>
      <c r="AE1476" s="494"/>
      <c r="AF1476" s="494"/>
      <c r="AG1476" s="541"/>
      <c r="AH1476" s="541"/>
      <c r="AI1476" s="580"/>
      <c r="AJ1476" s="576"/>
      <c r="AK1476" s="664"/>
      <c r="AL1476" s="113"/>
      <c r="AM1476" s="113"/>
      <c r="AN1476" s="156"/>
      <c r="AO1476" s="182"/>
      <c r="AP1476" s="115"/>
      <c r="AQ1476" s="115"/>
      <c r="AR1476" s="115"/>
      <c r="AS1476" s="115"/>
      <c r="AT1476" s="115"/>
    </row>
    <row r="1477" spans="1:46" ht="39" customHeight="1" x14ac:dyDescent="0.25">
      <c r="A1477" s="1468">
        <v>1476</v>
      </c>
      <c r="B1477" s="161">
        <v>5</v>
      </c>
      <c r="C1477" s="510" t="s">
        <v>367</v>
      </c>
      <c r="D1477" s="487"/>
      <c r="E1477" s="487"/>
      <c r="F1477" s="487"/>
      <c r="G1477" s="477" t="s">
        <v>396</v>
      </c>
      <c r="H1477" s="478" t="s">
        <v>132</v>
      </c>
      <c r="I1477" s="508"/>
      <c r="J1477" s="256">
        <v>403</v>
      </c>
      <c r="K1477" s="277"/>
      <c r="L1477" s="397"/>
      <c r="M1477" s="277"/>
      <c r="N1477" s="451"/>
      <c r="O1477" s="277"/>
      <c r="P1477" s="522"/>
      <c r="Q1477" s="397"/>
      <c r="R1477" s="683" t="s">
        <v>66</v>
      </c>
      <c r="S1477" s="279"/>
      <c r="T1477" s="306"/>
      <c r="U1477" s="250"/>
      <c r="V1477" s="197"/>
      <c r="W1477" s="452"/>
      <c r="X1477" s="452"/>
      <c r="Y1477" s="280"/>
      <c r="Z1477" s="486"/>
      <c r="AA1477" s="252"/>
      <c r="AB1477" s="397"/>
      <c r="AC1477" s="488"/>
      <c r="AD1477" s="397"/>
      <c r="AE1477" s="494"/>
      <c r="AF1477" s="494"/>
      <c r="AG1477" s="397"/>
      <c r="AH1477" s="397"/>
      <c r="AI1477" s="523"/>
      <c r="AJ1477" s="507"/>
      <c r="AK1477" s="491">
        <v>3</v>
      </c>
      <c r="AL1477" s="826" t="s">
        <v>923</v>
      </c>
      <c r="AM1477" s="175" t="s">
        <v>492</v>
      </c>
      <c r="AN1477" s="151"/>
      <c r="AO1477" s="173"/>
      <c r="AP1477" s="115"/>
      <c r="AQ1477" s="115"/>
      <c r="AR1477" s="115"/>
      <c r="AS1477" s="115"/>
      <c r="AT1477" s="115"/>
    </row>
    <row r="1478" spans="1:46" ht="39" customHeight="1" x14ac:dyDescent="0.25">
      <c r="A1478" s="1468">
        <v>1477</v>
      </c>
      <c r="B1478" s="117"/>
      <c r="C1478" s="358" t="s">
        <v>397</v>
      </c>
      <c r="D1478" s="282"/>
      <c r="E1478" s="282"/>
      <c r="F1478" s="282"/>
      <c r="G1478" s="261" t="s">
        <v>398</v>
      </c>
      <c r="H1478" s="262" t="s">
        <v>85</v>
      </c>
      <c r="I1478" s="357"/>
      <c r="J1478" s="245" t="s">
        <v>556</v>
      </c>
      <c r="K1478" s="216"/>
      <c r="L1478" s="216"/>
      <c r="M1478" s="216"/>
      <c r="N1478" s="366"/>
      <c r="O1478" s="216"/>
      <c r="P1478" s="534"/>
      <c r="Q1478" s="301"/>
      <c r="R1478" s="683" t="s">
        <v>66</v>
      </c>
      <c r="S1478" s="279"/>
      <c r="T1478" s="482"/>
      <c r="U1478" s="250"/>
      <c r="V1478" s="250"/>
      <c r="W1478" s="250"/>
      <c r="X1478" s="250"/>
      <c r="Y1478" s="197"/>
      <c r="Z1478" s="246"/>
      <c r="AA1478" s="252"/>
      <c r="AB1478" s="301"/>
      <c r="AC1478" s="223"/>
      <c r="AD1478" s="301"/>
      <c r="AE1478" s="494"/>
      <c r="AF1478" s="494"/>
      <c r="AG1478" s="385"/>
      <c r="AH1478" s="483"/>
      <c r="AI1478" s="254"/>
      <c r="AJ1478" s="303"/>
      <c r="AK1478" s="241">
        <v>4</v>
      </c>
      <c r="AL1478" s="122" t="s">
        <v>923</v>
      </c>
      <c r="AM1478" s="175" t="s">
        <v>492</v>
      </c>
      <c r="AN1478" s="173"/>
      <c r="AO1478" s="151"/>
      <c r="AP1478" s="115"/>
      <c r="AQ1478" s="115"/>
      <c r="AR1478" s="115"/>
      <c r="AS1478" s="115"/>
      <c r="AT1478" s="115"/>
    </row>
    <row r="1479" spans="1:46" ht="39" customHeight="1" x14ac:dyDescent="0.25">
      <c r="A1479" s="1468">
        <v>1478</v>
      </c>
      <c r="B1479" s="117"/>
      <c r="C1479" s="521" t="s">
        <v>86</v>
      </c>
      <c r="D1479" s="487"/>
      <c r="E1479" s="487"/>
      <c r="F1479" s="487"/>
      <c r="G1479" s="477" t="s">
        <v>399</v>
      </c>
      <c r="H1479" s="262" t="s">
        <v>87</v>
      </c>
      <c r="I1479" s="508"/>
      <c r="J1479" s="245" t="s">
        <v>561</v>
      </c>
      <c r="K1479" s="301"/>
      <c r="L1479" s="216"/>
      <c r="M1479" s="216"/>
      <c r="N1479" s="366"/>
      <c r="O1479" s="216"/>
      <c r="P1479" s="304"/>
      <c r="Q1479" s="301"/>
      <c r="R1479" s="683" t="s">
        <v>66</v>
      </c>
      <c r="S1479" s="279"/>
      <c r="T1479" s="197"/>
      <c r="U1479" s="250"/>
      <c r="V1479" s="250"/>
      <c r="W1479" s="250"/>
      <c r="X1479" s="250"/>
      <c r="Y1479" s="197"/>
      <c r="Z1479" s="246"/>
      <c r="AA1479" s="252"/>
      <c r="AB1479" s="301"/>
      <c r="AC1479" s="223"/>
      <c r="AD1479" s="301"/>
      <c r="AE1479" s="494"/>
      <c r="AF1479" s="494"/>
      <c r="AG1479" s="241"/>
      <c r="AH1479" s="245"/>
      <c r="AI1479" s="223"/>
      <c r="AJ1479" s="303"/>
      <c r="AK1479" s="241">
        <v>4</v>
      </c>
      <c r="AL1479" s="122" t="s">
        <v>923</v>
      </c>
      <c r="AM1479" s="175" t="s">
        <v>492</v>
      </c>
      <c r="AN1479" s="151" t="s">
        <v>5773</v>
      </c>
      <c r="AO1479" s="151"/>
      <c r="AP1479" s="115"/>
      <c r="AQ1479" s="115"/>
      <c r="AR1479" s="115"/>
      <c r="AS1479" s="115"/>
      <c r="AT1479" s="115"/>
    </row>
    <row r="1480" spans="1:46" ht="39" customHeight="1" x14ac:dyDescent="0.25">
      <c r="A1480" s="1468">
        <v>1479</v>
      </c>
      <c r="B1480" s="117"/>
      <c r="C1480" s="520" t="s">
        <v>86</v>
      </c>
      <c r="D1480" s="481"/>
      <c r="E1480" s="481"/>
      <c r="F1480" s="481"/>
      <c r="G1480" s="472" t="s">
        <v>399</v>
      </c>
      <c r="H1480" s="262" t="s">
        <v>87</v>
      </c>
      <c r="I1480" s="509"/>
      <c r="J1480" s="245" t="s">
        <v>561</v>
      </c>
      <c r="K1480" s="216"/>
      <c r="L1480" s="216"/>
      <c r="M1480" s="216"/>
      <c r="N1480" s="366"/>
      <c r="O1480" s="216"/>
      <c r="P1480" s="439"/>
      <c r="Q1480" s="301"/>
      <c r="R1480" s="683" t="s">
        <v>66</v>
      </c>
      <c r="S1480" s="279"/>
      <c r="T1480" s="250"/>
      <c r="U1480" s="250"/>
      <c r="V1480" s="250"/>
      <c r="W1480" s="250"/>
      <c r="X1480" s="250"/>
      <c r="Y1480" s="197"/>
      <c r="Z1480" s="246"/>
      <c r="AA1480" s="252"/>
      <c r="AB1480" s="296"/>
      <c r="AC1480" s="223"/>
      <c r="AD1480" s="365"/>
      <c r="AE1480" s="494"/>
      <c r="AF1480" s="494"/>
      <c r="AG1480" s="241"/>
      <c r="AH1480" s="283"/>
      <c r="AI1480" s="223"/>
      <c r="AJ1480" s="303"/>
      <c r="AK1480" s="471">
        <v>4</v>
      </c>
      <c r="AL1480" s="749" t="s">
        <v>923</v>
      </c>
      <c r="AM1480" s="175" t="s">
        <v>492</v>
      </c>
      <c r="AN1480" s="151" t="s">
        <v>5773</v>
      </c>
      <c r="AO1480" s="167"/>
      <c r="AP1480" s="115"/>
      <c r="AQ1480" s="115"/>
      <c r="AR1480" s="115"/>
      <c r="AS1480" s="115"/>
      <c r="AT1480" s="115"/>
    </row>
    <row r="1481" spans="1:46" s="827" customFormat="1" ht="39" customHeight="1" x14ac:dyDescent="0.25">
      <c r="A1481" s="1468">
        <v>1480</v>
      </c>
      <c r="B1481" s="159"/>
      <c r="C1481" s="324"/>
      <c r="D1481" s="664"/>
      <c r="E1481" s="664"/>
      <c r="F1481" s="664"/>
      <c r="G1481" s="227"/>
      <c r="H1481" s="577"/>
      <c r="I1481" s="228"/>
      <c r="J1481" s="229"/>
      <c r="K1481" s="227"/>
      <c r="L1481" s="229"/>
      <c r="M1481" s="229"/>
      <c r="N1481" s="229"/>
      <c r="O1481" s="229"/>
      <c r="P1481" s="230" t="s">
        <v>1397</v>
      </c>
      <c r="Q1481" s="664"/>
      <c r="R1481" s="324"/>
      <c r="S1481" s="279"/>
      <c r="T1481" s="334"/>
      <c r="U1481" s="250"/>
      <c r="V1481" s="334"/>
      <c r="W1481" s="232"/>
      <c r="X1481" s="232"/>
      <c r="Y1481" s="232"/>
      <c r="Z1481" s="233"/>
      <c r="AA1481" s="252"/>
      <c r="AB1481" s="235"/>
      <c r="AC1481" s="236"/>
      <c r="AD1481" s="235"/>
      <c r="AE1481" s="494"/>
      <c r="AF1481" s="494"/>
      <c r="AG1481" s="664"/>
      <c r="AH1481" s="238"/>
      <c r="AI1481" s="239"/>
      <c r="AJ1481" s="576"/>
      <c r="AK1481" s="664"/>
      <c r="AL1481" s="113"/>
      <c r="AM1481" s="113"/>
      <c r="AN1481" s="163"/>
      <c r="AO1481" s="114"/>
      <c r="AP1481" s="115"/>
      <c r="AQ1481" s="115"/>
      <c r="AR1481" s="115"/>
      <c r="AS1481" s="115"/>
      <c r="AT1481" s="116"/>
    </row>
    <row r="1482" spans="1:46" ht="39" customHeight="1" x14ac:dyDescent="0.25">
      <c r="A1482" s="1468">
        <v>1481</v>
      </c>
      <c r="B1482" s="119">
        <v>12</v>
      </c>
      <c r="C1482" s="930" t="s">
        <v>403</v>
      </c>
      <c r="D1482" s="551"/>
      <c r="E1482" s="744" t="s">
        <v>47</v>
      </c>
      <c r="F1482" s="551"/>
      <c r="G1482" s="838" t="s">
        <v>404</v>
      </c>
      <c r="H1482" s="244" t="s">
        <v>83</v>
      </c>
      <c r="I1482" s="839"/>
      <c r="J1482" s="245">
        <v>302</v>
      </c>
      <c r="K1482" s="197" t="s">
        <v>50</v>
      </c>
      <c r="L1482" s="554" t="s">
        <v>1470</v>
      </c>
      <c r="M1482" s="554" t="s">
        <v>1470</v>
      </c>
      <c r="N1482" s="816"/>
      <c r="O1482" s="816" t="s">
        <v>1469</v>
      </c>
      <c r="P1482" s="817"/>
      <c r="Q1482" s="744" t="s">
        <v>119</v>
      </c>
      <c r="R1482" s="1007" t="s">
        <v>1468</v>
      </c>
      <c r="S1482" s="279">
        <v>36637</v>
      </c>
      <c r="T1482" s="250"/>
      <c r="U1482" s="251" t="s">
        <v>54</v>
      </c>
      <c r="V1482" s="250"/>
      <c r="W1482" s="197" t="s">
        <v>56</v>
      </c>
      <c r="X1482" s="197" t="s">
        <v>57</v>
      </c>
      <c r="Y1482" s="981"/>
      <c r="Z1482" s="841">
        <v>45309</v>
      </c>
      <c r="AA1482" s="252"/>
      <c r="AB1482" s="842"/>
      <c r="AC1482" s="822"/>
      <c r="AD1482" s="843"/>
      <c r="AE1482" s="494"/>
      <c r="AF1482" s="494"/>
      <c r="AG1482" s="551"/>
      <c r="AH1482" s="823"/>
      <c r="AI1482" s="844"/>
      <c r="AJ1482" s="824" t="s">
        <v>62</v>
      </c>
      <c r="AK1482" s="806">
        <v>1</v>
      </c>
      <c r="AL1482" s="810" t="s">
        <v>503</v>
      </c>
      <c r="AM1482" s="175" t="s">
        <v>492</v>
      </c>
      <c r="AN1482" s="137"/>
      <c r="AO1482" s="811"/>
      <c r="AP1482" s="115"/>
      <c r="AQ1482" s="115"/>
      <c r="AR1482" s="115"/>
      <c r="AS1482" s="115"/>
      <c r="AT1482" s="115"/>
    </row>
    <row r="1483" spans="1:46" s="827" customFormat="1" ht="39" customHeight="1" x14ac:dyDescent="0.25">
      <c r="A1483" s="1468">
        <v>1482</v>
      </c>
      <c r="B1483" s="117"/>
      <c r="C1483" s="324"/>
      <c r="D1483" s="664"/>
      <c r="E1483" s="664"/>
      <c r="F1483" s="664"/>
      <c r="G1483" s="227"/>
      <c r="H1483" s="228"/>
      <c r="I1483" s="228"/>
      <c r="J1483" s="229"/>
      <c r="K1483" s="227"/>
      <c r="L1483" s="229"/>
      <c r="M1483" s="229"/>
      <c r="N1483" s="229"/>
      <c r="O1483" s="309"/>
      <c r="P1483" s="230" t="s">
        <v>406</v>
      </c>
      <c r="Q1483" s="664"/>
      <c r="R1483" s="324"/>
      <c r="S1483" s="279"/>
      <c r="T1483" s="334"/>
      <c r="U1483" s="250"/>
      <c r="V1483" s="334"/>
      <c r="W1483" s="232"/>
      <c r="X1483" s="232"/>
      <c r="Y1483" s="232"/>
      <c r="Z1483" s="233"/>
      <c r="AA1483" s="252"/>
      <c r="AB1483" s="235"/>
      <c r="AC1483" s="236"/>
      <c r="AD1483" s="235"/>
      <c r="AE1483" s="494"/>
      <c r="AF1483" s="494"/>
      <c r="AG1483" s="664"/>
      <c r="AH1483" s="238"/>
      <c r="AI1483" s="239"/>
      <c r="AJ1483" s="576"/>
      <c r="AK1483" s="664"/>
      <c r="AL1483" s="113"/>
      <c r="AM1483" s="113"/>
      <c r="AN1483" s="163"/>
      <c r="AO1483" s="114"/>
      <c r="AP1483" s="115"/>
      <c r="AQ1483" s="115"/>
      <c r="AR1483" s="115"/>
      <c r="AS1483" s="115"/>
      <c r="AT1483" s="116"/>
    </row>
    <row r="1484" spans="1:46" ht="39" customHeight="1" x14ac:dyDescent="0.25">
      <c r="A1484" s="1468">
        <v>1483</v>
      </c>
      <c r="B1484" s="117">
        <v>4</v>
      </c>
      <c r="C1484" s="548" t="s">
        <v>407</v>
      </c>
      <c r="D1484" s="487" t="s">
        <v>134</v>
      </c>
      <c r="E1484" s="487"/>
      <c r="F1484" s="487"/>
      <c r="G1484" s="525" t="s">
        <v>408</v>
      </c>
      <c r="H1484" s="262" t="s">
        <v>85</v>
      </c>
      <c r="I1484" s="508"/>
      <c r="J1484" s="245" t="s">
        <v>556</v>
      </c>
      <c r="K1484" s="401"/>
      <c r="L1484" s="301"/>
      <c r="M1484" s="301"/>
      <c r="N1484" s="305"/>
      <c r="O1484" s="216"/>
      <c r="P1484" s="401"/>
      <c r="Q1484" s="375"/>
      <c r="R1484" s="683" t="s">
        <v>66</v>
      </c>
      <c r="S1484" s="279"/>
      <c r="T1484" s="401"/>
      <c r="U1484" s="250"/>
      <c r="V1484" s="197"/>
      <c r="W1484" s="268"/>
      <c r="X1484" s="268"/>
      <c r="Y1484" s="197"/>
      <c r="Z1484" s="246"/>
      <c r="AA1484" s="252"/>
      <c r="AB1484" s="401"/>
      <c r="AC1484" s="223"/>
      <c r="AD1484" s="306"/>
      <c r="AE1484" s="494"/>
      <c r="AF1484" s="494"/>
      <c r="AG1484" s="305"/>
      <c r="AH1484" s="301"/>
      <c r="AI1484" s="296"/>
      <c r="AJ1484" s="348"/>
      <c r="AK1484" s="524">
        <v>4</v>
      </c>
      <c r="AL1484" s="175" t="s">
        <v>503</v>
      </c>
      <c r="AM1484" s="175" t="s">
        <v>492</v>
      </c>
      <c r="AN1484" s="151"/>
      <c r="AO1484" s="173"/>
      <c r="AP1484" s="115"/>
      <c r="AQ1484" s="115"/>
      <c r="AR1484" s="115"/>
      <c r="AS1484" s="115"/>
      <c r="AT1484" s="115"/>
    </row>
    <row r="1485" spans="1:46" ht="39" customHeight="1" x14ac:dyDescent="0.25">
      <c r="A1485" s="1468">
        <v>1484</v>
      </c>
      <c r="B1485" s="117">
        <v>3</v>
      </c>
      <c r="C1485" s="356" t="s">
        <v>409</v>
      </c>
      <c r="D1485" s="282"/>
      <c r="E1485" s="282"/>
      <c r="F1485" s="282"/>
      <c r="G1485" s="447" t="s">
        <v>410</v>
      </c>
      <c r="H1485" s="262" t="s">
        <v>87</v>
      </c>
      <c r="I1485" s="357"/>
      <c r="J1485" s="245" t="s">
        <v>561</v>
      </c>
      <c r="K1485" s="257"/>
      <c r="L1485" s="281"/>
      <c r="M1485" s="281"/>
      <c r="N1485" s="366"/>
      <c r="O1485" s="216"/>
      <c r="P1485" s="402"/>
      <c r="Q1485" s="301"/>
      <c r="R1485" s="427" t="s">
        <v>66</v>
      </c>
      <c r="S1485" s="279"/>
      <c r="T1485" s="197"/>
      <c r="U1485" s="250"/>
      <c r="V1485" s="197"/>
      <c r="W1485" s="197"/>
      <c r="X1485" s="197"/>
      <c r="Y1485" s="245"/>
      <c r="Z1485" s="246"/>
      <c r="AA1485" s="252"/>
      <c r="AB1485" s="288"/>
      <c r="AC1485" s="223"/>
      <c r="AD1485" s="376"/>
      <c r="AE1485" s="494"/>
      <c r="AF1485" s="494"/>
      <c r="AG1485" s="241"/>
      <c r="AH1485" s="283"/>
      <c r="AI1485" s="254"/>
      <c r="AJ1485" s="303"/>
      <c r="AK1485" s="241">
        <v>4</v>
      </c>
      <c r="AL1485" s="123" t="s">
        <v>503</v>
      </c>
      <c r="AM1485" s="175" t="s">
        <v>492</v>
      </c>
      <c r="AN1485" s="173"/>
      <c r="AO1485" s="151"/>
      <c r="AP1485" s="115"/>
      <c r="AQ1485" s="115"/>
      <c r="AR1485" s="115"/>
      <c r="AS1485" s="115"/>
      <c r="AT1485" s="115"/>
    </row>
    <row r="1486" spans="1:46" ht="39" customHeight="1" x14ac:dyDescent="0.25">
      <c r="A1486" s="1468">
        <v>1485</v>
      </c>
      <c r="B1486" s="161">
        <v>2</v>
      </c>
      <c r="C1486" s="528" t="s">
        <v>411</v>
      </c>
      <c r="D1486" s="282"/>
      <c r="E1486" s="282"/>
      <c r="F1486" s="282"/>
      <c r="G1486" s="447" t="s">
        <v>412</v>
      </c>
      <c r="H1486" s="262" t="s">
        <v>87</v>
      </c>
      <c r="I1486" s="364"/>
      <c r="J1486" s="245" t="s">
        <v>561</v>
      </c>
      <c r="K1486" s="401"/>
      <c r="L1486" s="250"/>
      <c r="M1486" s="250"/>
      <c r="N1486" s="366"/>
      <c r="O1486" s="392" t="s">
        <v>3207</v>
      </c>
      <c r="P1486" s="247"/>
      <c r="Q1486" s="344" t="s">
        <v>132</v>
      </c>
      <c r="R1486" s="982" t="s">
        <v>1398</v>
      </c>
      <c r="S1486" s="279">
        <v>37325</v>
      </c>
      <c r="T1486" s="289"/>
      <c r="U1486" s="251" t="s">
        <v>54</v>
      </c>
      <c r="V1486" s="241" t="s">
        <v>5822</v>
      </c>
      <c r="W1486" s="250" t="s">
        <v>1003</v>
      </c>
      <c r="X1486" s="250" t="s">
        <v>900</v>
      </c>
      <c r="Y1486" s="241" t="s">
        <v>1004</v>
      </c>
      <c r="Z1486" s="258">
        <v>45062</v>
      </c>
      <c r="AA1486" s="252"/>
      <c r="AB1486" s="281" t="s">
        <v>115</v>
      </c>
      <c r="AC1486" s="223" t="s">
        <v>946</v>
      </c>
      <c r="AD1486" s="365" t="s">
        <v>1414</v>
      </c>
      <c r="AE1486" s="494">
        <v>44476</v>
      </c>
      <c r="AF1486" s="494">
        <v>45111</v>
      </c>
      <c r="AG1486" s="241" t="s">
        <v>61</v>
      </c>
      <c r="AH1486" s="368"/>
      <c r="AI1486" s="401"/>
      <c r="AJ1486" s="348" t="s">
        <v>560</v>
      </c>
      <c r="AK1486" s="241">
        <v>4</v>
      </c>
      <c r="AL1486" s="123" t="s">
        <v>503</v>
      </c>
      <c r="AM1486" s="175" t="s">
        <v>492</v>
      </c>
      <c r="AN1486" s="167"/>
      <c r="AO1486" s="151"/>
      <c r="AP1486" s="115"/>
      <c r="AQ1486" s="115"/>
      <c r="AR1486" s="115"/>
      <c r="AS1486" s="115"/>
      <c r="AT1486" s="115"/>
    </row>
    <row r="1487" spans="1:46" ht="39" customHeight="1" x14ac:dyDescent="0.25">
      <c r="A1487" s="1468">
        <v>1486</v>
      </c>
      <c r="B1487" s="117">
        <v>3</v>
      </c>
      <c r="C1487" s="504" t="s">
        <v>413</v>
      </c>
      <c r="D1487" s="481"/>
      <c r="E1487" s="481"/>
      <c r="F1487" s="481"/>
      <c r="G1487" s="527" t="s">
        <v>414</v>
      </c>
      <c r="H1487" s="262" t="s">
        <v>87</v>
      </c>
      <c r="I1487" s="473"/>
      <c r="J1487" s="245" t="s">
        <v>561</v>
      </c>
      <c r="K1487" s="216"/>
      <c r="L1487" s="301" t="s">
        <v>1678</v>
      </c>
      <c r="M1487" s="301" t="s">
        <v>991</v>
      </c>
      <c r="N1487" s="281"/>
      <c r="O1487" s="392" t="s">
        <v>2891</v>
      </c>
      <c r="P1487" s="325"/>
      <c r="Q1487" s="301" t="s">
        <v>87</v>
      </c>
      <c r="R1487" s="427" t="s">
        <v>1352</v>
      </c>
      <c r="S1487" s="279"/>
      <c r="T1487" s="252"/>
      <c r="U1487" s="251" t="s">
        <v>544</v>
      </c>
      <c r="V1487" s="1460">
        <v>45318</v>
      </c>
      <c r="W1487" s="197"/>
      <c r="X1487" s="1444"/>
      <c r="Y1487" s="981"/>
      <c r="Z1487" s="246"/>
      <c r="AA1487" s="252"/>
      <c r="AB1487" s="197" t="s">
        <v>4537</v>
      </c>
      <c r="AC1487" s="223" t="s">
        <v>946</v>
      </c>
      <c r="AD1487" s="282"/>
      <c r="AE1487" s="494">
        <v>45070</v>
      </c>
      <c r="AF1487" s="494">
        <v>45435</v>
      </c>
      <c r="AG1487" s="282"/>
      <c r="AH1487" s="283"/>
      <c r="AI1487" s="254" t="s">
        <v>1351</v>
      </c>
      <c r="AJ1487" s="303" t="s">
        <v>136</v>
      </c>
      <c r="AK1487" s="471">
        <v>4</v>
      </c>
      <c r="AL1487" s="176" t="s">
        <v>503</v>
      </c>
      <c r="AM1487" s="175" t="s">
        <v>492</v>
      </c>
      <c r="AN1487" s="151" t="s">
        <v>5765</v>
      </c>
      <c r="AO1487" s="167"/>
      <c r="AP1487" s="115"/>
      <c r="AQ1487" s="115"/>
      <c r="AR1487" s="115"/>
      <c r="AS1487" s="115"/>
      <c r="AT1487" s="115"/>
    </row>
    <row r="1488" spans="1:46" s="827" customFormat="1" ht="39" customHeight="1" x14ac:dyDescent="0.25">
      <c r="A1488" s="1468">
        <v>1487</v>
      </c>
      <c r="B1488" s="117"/>
      <c r="C1488" s="324"/>
      <c r="D1488" s="664"/>
      <c r="E1488" s="664"/>
      <c r="F1488" s="664"/>
      <c r="G1488" s="227"/>
      <c r="H1488" s="228"/>
      <c r="I1488" s="228"/>
      <c r="J1488" s="229"/>
      <c r="K1488" s="227"/>
      <c r="L1488" s="229"/>
      <c r="M1488" s="229"/>
      <c r="N1488" s="229"/>
      <c r="O1488" s="309"/>
      <c r="P1488" s="230" t="s">
        <v>406</v>
      </c>
      <c r="Q1488" s="664"/>
      <c r="R1488" s="1004"/>
      <c r="S1488" s="279"/>
      <c r="T1488" s="334"/>
      <c r="U1488" s="250"/>
      <c r="V1488" s="334"/>
      <c r="W1488" s="232"/>
      <c r="X1488" s="232"/>
      <c r="Y1488" s="232"/>
      <c r="Z1488" s="233"/>
      <c r="AA1488" s="252"/>
      <c r="AB1488" s="235"/>
      <c r="AC1488" s="236"/>
      <c r="AD1488" s="235"/>
      <c r="AE1488" s="494"/>
      <c r="AF1488" s="494"/>
      <c r="AG1488" s="664"/>
      <c r="AH1488" s="238"/>
      <c r="AI1488" s="239"/>
      <c r="AJ1488" s="576"/>
      <c r="AK1488" s="664"/>
      <c r="AL1488" s="113"/>
      <c r="AM1488" s="113"/>
      <c r="AN1488" s="163"/>
      <c r="AO1488" s="114"/>
      <c r="AP1488" s="115"/>
      <c r="AQ1488" s="115"/>
      <c r="AR1488" s="115"/>
      <c r="AS1488" s="115"/>
      <c r="AT1488" s="116"/>
    </row>
    <row r="1489" spans="1:69" ht="39" customHeight="1" x14ac:dyDescent="0.25">
      <c r="A1489" s="1468">
        <v>1488</v>
      </c>
      <c r="B1489" s="117">
        <v>4</v>
      </c>
      <c r="C1489" s="548" t="s">
        <v>407</v>
      </c>
      <c r="D1489" s="487"/>
      <c r="E1489" s="487"/>
      <c r="F1489" s="487"/>
      <c r="G1489" s="525" t="s">
        <v>408</v>
      </c>
      <c r="H1489" s="262" t="s">
        <v>85</v>
      </c>
      <c r="I1489" s="508"/>
      <c r="J1489" s="245" t="s">
        <v>556</v>
      </c>
      <c r="K1489" s="684"/>
      <c r="L1489" s="288"/>
      <c r="M1489" s="288"/>
      <c r="N1489" s="684"/>
      <c r="O1489" s="392"/>
      <c r="P1489" s="684"/>
      <c r="Q1489" s="394"/>
      <c r="R1489" s="572" t="s">
        <v>66</v>
      </c>
      <c r="S1489" s="279"/>
      <c r="T1489" s="684"/>
      <c r="U1489" s="250"/>
      <c r="V1489" s="684"/>
      <c r="W1489" s="1235"/>
      <c r="X1489" s="685"/>
      <c r="Y1489" s="684"/>
      <c r="Z1489" s="684"/>
      <c r="AA1489" s="252"/>
      <c r="AB1489" s="1290"/>
      <c r="AC1489" s="223"/>
      <c r="AD1489" s="686"/>
      <c r="AE1489" s="494"/>
      <c r="AF1489" s="494"/>
      <c r="AG1489" s="684"/>
      <c r="AH1489" s="684"/>
      <c r="AI1489" s="254"/>
      <c r="AJ1489" s="303"/>
      <c r="AK1489" s="524">
        <v>4</v>
      </c>
      <c r="AL1489" s="175" t="s">
        <v>503</v>
      </c>
      <c r="AM1489" s="175" t="s">
        <v>492</v>
      </c>
      <c r="AN1489" s="151"/>
      <c r="AO1489" s="173"/>
      <c r="AP1489" s="115"/>
      <c r="AQ1489" s="115"/>
      <c r="AR1489" s="115"/>
      <c r="AS1489" s="115"/>
      <c r="AT1489" s="115"/>
      <c r="BQ1489" s="827"/>
    </row>
    <row r="1490" spans="1:69" ht="39" customHeight="1" x14ac:dyDescent="0.25">
      <c r="A1490" s="1468">
        <v>1489</v>
      </c>
      <c r="B1490" s="117">
        <v>3</v>
      </c>
      <c r="C1490" s="356" t="s">
        <v>409</v>
      </c>
      <c r="D1490" s="282"/>
      <c r="E1490" s="282"/>
      <c r="F1490" s="282"/>
      <c r="G1490" s="447" t="s">
        <v>410</v>
      </c>
      <c r="H1490" s="262" t="s">
        <v>87</v>
      </c>
      <c r="I1490" s="357"/>
      <c r="J1490" s="245" t="s">
        <v>561</v>
      </c>
      <c r="K1490" s="216"/>
      <c r="L1490" s="401"/>
      <c r="M1490" s="401"/>
      <c r="N1490" s="366"/>
      <c r="O1490" s="216" t="s">
        <v>2751</v>
      </c>
      <c r="P1490" s="401"/>
      <c r="Q1490" s="375" t="s">
        <v>293</v>
      </c>
      <c r="R1490" s="982" t="s">
        <v>2750</v>
      </c>
      <c r="S1490" s="279">
        <v>30690</v>
      </c>
      <c r="T1490" s="306"/>
      <c r="U1490" s="251" t="s">
        <v>54</v>
      </c>
      <c r="V1490" s="250" t="s">
        <v>4628</v>
      </c>
      <c r="W1490" s="197" t="s">
        <v>1301</v>
      </c>
      <c r="X1490" s="197" t="s">
        <v>4629</v>
      </c>
      <c r="Y1490" s="197" t="s">
        <v>4630</v>
      </c>
      <c r="Z1490" s="252">
        <v>45239</v>
      </c>
      <c r="AA1490" s="252"/>
      <c r="AB1490" s="301"/>
      <c r="AC1490" s="223"/>
      <c r="AD1490" s="301"/>
      <c r="AE1490" s="494"/>
      <c r="AF1490" s="494"/>
      <c r="AG1490" s="301"/>
      <c r="AH1490" s="301"/>
      <c r="AI1490" s="401"/>
      <c r="AJ1490" s="348" t="s">
        <v>560</v>
      </c>
      <c r="AK1490" s="241">
        <v>4</v>
      </c>
      <c r="AL1490" s="123" t="s">
        <v>503</v>
      </c>
      <c r="AM1490" s="175" t="s">
        <v>492</v>
      </c>
      <c r="AN1490" s="173"/>
      <c r="AO1490" s="151"/>
      <c r="AP1490" s="115"/>
      <c r="AQ1490" s="115"/>
      <c r="AR1490" s="115"/>
      <c r="AS1490" s="115"/>
      <c r="AT1490" s="115"/>
    </row>
    <row r="1491" spans="1:69" ht="39" customHeight="1" x14ac:dyDescent="0.25">
      <c r="A1491" s="1468">
        <v>1490</v>
      </c>
      <c r="B1491" s="161">
        <v>2</v>
      </c>
      <c r="C1491" s="528" t="s">
        <v>411</v>
      </c>
      <c r="D1491" s="282"/>
      <c r="E1491" s="282"/>
      <c r="F1491" s="282"/>
      <c r="G1491" s="447" t="s">
        <v>412</v>
      </c>
      <c r="H1491" s="262" t="s">
        <v>87</v>
      </c>
      <c r="I1491" s="364"/>
      <c r="J1491" s="245" t="s">
        <v>561</v>
      </c>
      <c r="K1491" s="401"/>
      <c r="L1491" s="250"/>
      <c r="M1491" s="250"/>
      <c r="N1491" s="1488"/>
      <c r="O1491" s="250" t="s">
        <v>3924</v>
      </c>
      <c r="P1491" s="247"/>
      <c r="Q1491" s="344" t="s">
        <v>85</v>
      </c>
      <c r="R1491" s="982" t="s">
        <v>3923</v>
      </c>
      <c r="S1491" s="279">
        <v>36285</v>
      </c>
      <c r="T1491" s="289"/>
      <c r="U1491" s="251" t="s">
        <v>54</v>
      </c>
      <c r="V1491" s="250" t="s">
        <v>6148</v>
      </c>
      <c r="W1491" s="250" t="s">
        <v>6154</v>
      </c>
      <c r="X1491" s="250" t="s">
        <v>6153</v>
      </c>
      <c r="Y1491" s="197"/>
      <c r="Z1491" s="252">
        <v>45320</v>
      </c>
      <c r="AA1491" s="252"/>
      <c r="AB1491" s="288"/>
      <c r="AC1491" s="223"/>
      <c r="AD1491" s="306"/>
      <c r="AE1491" s="494"/>
      <c r="AF1491" s="494"/>
      <c r="AG1491" s="305"/>
      <c r="AH1491" s="283"/>
      <c r="AI1491" s="254"/>
      <c r="AJ1491" s="348" t="s">
        <v>560</v>
      </c>
      <c r="AK1491" s="241">
        <v>4</v>
      </c>
      <c r="AL1491" s="123" t="s">
        <v>503</v>
      </c>
      <c r="AM1491" s="175" t="s">
        <v>492</v>
      </c>
      <c r="AN1491" s="167"/>
      <c r="AO1491" s="151"/>
      <c r="AP1491" s="115"/>
      <c r="AQ1491" s="115"/>
      <c r="AR1491" s="115"/>
      <c r="AS1491" s="115"/>
      <c r="AT1491" s="115"/>
    </row>
    <row r="1492" spans="1:69" ht="39" customHeight="1" x14ac:dyDescent="0.25">
      <c r="A1492" s="1468">
        <v>1491</v>
      </c>
      <c r="B1492" s="117">
        <v>3</v>
      </c>
      <c r="C1492" s="504" t="s">
        <v>413</v>
      </c>
      <c r="D1492" s="481"/>
      <c r="E1492" s="481"/>
      <c r="F1492" s="481"/>
      <c r="G1492" s="527" t="s">
        <v>414</v>
      </c>
      <c r="H1492" s="262" t="s">
        <v>87</v>
      </c>
      <c r="I1492" s="473"/>
      <c r="J1492" s="245" t="s">
        <v>561</v>
      </c>
      <c r="K1492" s="216"/>
      <c r="L1492" s="281"/>
      <c r="M1492" s="281"/>
      <c r="N1492" s="366"/>
      <c r="O1492" s="216" t="s">
        <v>3949</v>
      </c>
      <c r="P1492" s="706" t="s">
        <v>1828</v>
      </c>
      <c r="Q1492" s="344" t="s">
        <v>87</v>
      </c>
      <c r="R1492" s="982" t="s">
        <v>3948</v>
      </c>
      <c r="S1492" s="279">
        <v>28957</v>
      </c>
      <c r="T1492" s="197"/>
      <c r="U1492" s="251" t="s">
        <v>54</v>
      </c>
      <c r="V1492" s="197" t="s">
        <v>5512</v>
      </c>
      <c r="W1492" s="250" t="s">
        <v>56</v>
      </c>
      <c r="X1492" s="197" t="s">
        <v>57</v>
      </c>
      <c r="Y1492" s="197" t="s">
        <v>5726</v>
      </c>
      <c r="Z1492" s="246">
        <v>45272</v>
      </c>
      <c r="AA1492" s="252"/>
      <c r="AB1492" s="361"/>
      <c r="AC1492" s="223"/>
      <c r="AD1492" s="376"/>
      <c r="AE1492" s="494"/>
      <c r="AF1492" s="494"/>
      <c r="AG1492" s="241"/>
      <c r="AH1492" s="283"/>
      <c r="AI1492" s="254"/>
      <c r="AJ1492" s="348" t="s">
        <v>560</v>
      </c>
      <c r="AK1492" s="471">
        <v>4</v>
      </c>
      <c r="AL1492" s="176" t="s">
        <v>503</v>
      </c>
      <c r="AM1492" s="175" t="s">
        <v>492</v>
      </c>
      <c r="AN1492" s="151" t="s">
        <v>5765</v>
      </c>
      <c r="AO1492" s="167"/>
      <c r="AP1492" s="115"/>
      <c r="AQ1492" s="115"/>
      <c r="AR1492" s="115"/>
      <c r="AS1492" s="115"/>
      <c r="AT1492" s="115"/>
    </row>
    <row r="1493" spans="1:69" s="827" customFormat="1" ht="39" customHeight="1" x14ac:dyDescent="0.25">
      <c r="A1493" s="1468">
        <v>1492</v>
      </c>
      <c r="B1493" s="117"/>
      <c r="C1493" s="324"/>
      <c r="D1493" s="664"/>
      <c r="E1493" s="664"/>
      <c r="F1493" s="664"/>
      <c r="G1493" s="227"/>
      <c r="H1493" s="228"/>
      <c r="I1493" s="228"/>
      <c r="J1493" s="229"/>
      <c r="K1493" s="227"/>
      <c r="L1493" s="229"/>
      <c r="M1493" s="229"/>
      <c r="N1493" s="229"/>
      <c r="O1493" s="309"/>
      <c r="P1493" s="230" t="s">
        <v>373</v>
      </c>
      <c r="Q1493" s="664"/>
      <c r="R1493" s="324"/>
      <c r="S1493" s="279"/>
      <c r="T1493" s="334"/>
      <c r="U1493" s="250"/>
      <c r="V1493" s="334"/>
      <c r="W1493" s="232"/>
      <c r="X1493" s="232"/>
      <c r="Y1493" s="232"/>
      <c r="Z1493" s="233"/>
      <c r="AA1493" s="252"/>
      <c r="AB1493" s="235"/>
      <c r="AC1493" s="236"/>
      <c r="AD1493" s="235"/>
      <c r="AE1493" s="494"/>
      <c r="AF1493" s="494"/>
      <c r="AG1493" s="664"/>
      <c r="AH1493" s="238"/>
      <c r="AI1493" s="239"/>
      <c r="AJ1493" s="576"/>
      <c r="AK1493" s="664"/>
      <c r="AL1493" s="113"/>
      <c r="AM1493" s="113"/>
      <c r="AN1493" s="163"/>
      <c r="AO1493" s="114"/>
      <c r="AP1493" s="115"/>
      <c r="AQ1493" s="115"/>
      <c r="AR1493" s="115"/>
      <c r="AS1493" s="115"/>
      <c r="AT1493" s="116"/>
    </row>
    <row r="1494" spans="1:69" ht="39" customHeight="1" x14ac:dyDescent="0.25">
      <c r="A1494" s="1468">
        <v>1493</v>
      </c>
      <c r="B1494" s="128">
        <v>5</v>
      </c>
      <c r="C1494" s="931" t="s">
        <v>367</v>
      </c>
      <c r="D1494" s="709"/>
      <c r="E1494" s="709" t="s">
        <v>47</v>
      </c>
      <c r="F1494" s="709"/>
      <c r="G1494" s="847" t="s">
        <v>415</v>
      </c>
      <c r="H1494" s="479" t="s">
        <v>132</v>
      </c>
      <c r="I1494" s="479"/>
      <c r="J1494" s="256">
        <v>403</v>
      </c>
      <c r="K1494" s="216"/>
      <c r="L1494" s="216"/>
      <c r="M1494" s="216"/>
      <c r="N1494" s="216"/>
      <c r="O1494" s="216" t="s">
        <v>2254</v>
      </c>
      <c r="P1494" s="300"/>
      <c r="Q1494" s="344" t="s">
        <v>1042</v>
      </c>
      <c r="R1494" s="982" t="s">
        <v>2253</v>
      </c>
      <c r="S1494" s="279">
        <v>35115</v>
      </c>
      <c r="T1494" s="197"/>
      <c r="U1494" s="251" t="s">
        <v>54</v>
      </c>
      <c r="V1494" s="1449" t="s">
        <v>5815</v>
      </c>
      <c r="W1494" s="250" t="s">
        <v>5728</v>
      </c>
      <c r="X1494" s="197" t="s">
        <v>57</v>
      </c>
      <c r="Y1494" s="949" t="s">
        <v>4631</v>
      </c>
      <c r="Z1494" s="246">
        <v>45288</v>
      </c>
      <c r="AA1494" s="246"/>
      <c r="AB1494" s="361"/>
      <c r="AC1494" s="223"/>
      <c r="AD1494" s="376"/>
      <c r="AE1494" s="494"/>
      <c r="AF1494" s="494"/>
      <c r="AG1494" s="241"/>
      <c r="AH1494" s="283"/>
      <c r="AI1494" s="284"/>
      <c r="AJ1494" s="348" t="s">
        <v>560</v>
      </c>
      <c r="AK1494" s="491">
        <v>3</v>
      </c>
      <c r="AL1494" s="175" t="s">
        <v>503</v>
      </c>
      <c r="AM1494" s="175" t="s">
        <v>492</v>
      </c>
      <c r="AN1494" s="138"/>
      <c r="AO1494" s="170"/>
      <c r="AP1494" s="115"/>
      <c r="AQ1494" s="115"/>
      <c r="AR1494" s="115"/>
      <c r="AS1494" s="115"/>
      <c r="AT1494" s="115"/>
    </row>
    <row r="1495" spans="1:69" ht="39" customHeight="1" x14ac:dyDescent="0.25">
      <c r="A1495" s="1468">
        <v>1494</v>
      </c>
      <c r="B1495" s="159">
        <v>2</v>
      </c>
      <c r="C1495" s="358" t="s">
        <v>385</v>
      </c>
      <c r="D1495" s="282" t="s">
        <v>134</v>
      </c>
      <c r="E1495" s="282"/>
      <c r="F1495" s="282"/>
      <c r="G1495" s="525" t="s">
        <v>386</v>
      </c>
      <c r="H1495" s="262" t="s">
        <v>85</v>
      </c>
      <c r="I1495" s="357"/>
      <c r="J1495" s="245" t="s">
        <v>556</v>
      </c>
      <c r="K1495" s="216"/>
      <c r="L1495" s="289"/>
      <c r="M1495" s="289"/>
      <c r="N1495" s="366"/>
      <c r="O1495" s="216" t="s">
        <v>2089</v>
      </c>
      <c r="P1495" s="347"/>
      <c r="Q1495" s="344" t="s">
        <v>85</v>
      </c>
      <c r="R1495" s="982" t="s">
        <v>2088</v>
      </c>
      <c r="S1495" s="279">
        <v>35825</v>
      </c>
      <c r="T1495" s="250"/>
      <c r="U1495" s="251" t="s">
        <v>54</v>
      </c>
      <c r="V1495" s="476" t="s">
        <v>4627</v>
      </c>
      <c r="W1495" s="197" t="s">
        <v>4626</v>
      </c>
      <c r="X1495" s="197" t="s">
        <v>4046</v>
      </c>
      <c r="Y1495" s="840"/>
      <c r="Z1495" s="494">
        <v>45226</v>
      </c>
      <c r="AA1495" s="252"/>
      <c r="AB1495" s="257"/>
      <c r="AC1495" s="223"/>
      <c r="AD1495" s="299"/>
      <c r="AE1495" s="494"/>
      <c r="AF1495" s="494"/>
      <c r="AG1495" s="241"/>
      <c r="AH1495" s="301"/>
      <c r="AI1495" s="401"/>
      <c r="AJ1495" s="348" t="s">
        <v>560</v>
      </c>
      <c r="AK1495" s="241">
        <v>4</v>
      </c>
      <c r="AL1495" s="123" t="s">
        <v>503</v>
      </c>
      <c r="AM1495" s="175" t="s">
        <v>492</v>
      </c>
      <c r="AN1495" s="172"/>
      <c r="AO1495" s="151"/>
      <c r="AP1495" s="115"/>
      <c r="AQ1495" s="115"/>
      <c r="AR1495" s="115"/>
      <c r="AS1495" s="115"/>
      <c r="AT1495" s="116"/>
    </row>
    <row r="1496" spans="1:69" ht="39" customHeight="1" x14ac:dyDescent="0.25">
      <c r="A1496" s="1468">
        <v>1495</v>
      </c>
      <c r="B1496" s="160">
        <v>3</v>
      </c>
      <c r="C1496" s="356" t="s">
        <v>416</v>
      </c>
      <c r="D1496" s="282" t="s">
        <v>134</v>
      </c>
      <c r="E1496" s="282"/>
      <c r="F1496" s="282"/>
      <c r="G1496" s="261" t="s">
        <v>291</v>
      </c>
      <c r="H1496" s="262" t="s">
        <v>87</v>
      </c>
      <c r="I1496" s="364"/>
      <c r="J1496" s="245" t="s">
        <v>561</v>
      </c>
      <c r="K1496" s="216"/>
      <c r="L1496" s="299"/>
      <c r="M1496" s="299"/>
      <c r="N1496" s="245"/>
      <c r="O1496" s="392"/>
      <c r="P1496" s="627"/>
      <c r="Q1496" s="594"/>
      <c r="R1496" s="683" t="s">
        <v>66</v>
      </c>
      <c r="S1496" s="279"/>
      <c r="T1496" s="289"/>
      <c r="U1496" s="250"/>
      <c r="V1496" s="197"/>
      <c r="W1496" s="197"/>
      <c r="X1496" s="197"/>
      <c r="Y1496" s="197"/>
      <c r="Z1496" s="246"/>
      <c r="AA1496" s="252"/>
      <c r="AB1496" s="288"/>
      <c r="AC1496" s="223"/>
      <c r="AD1496" s="245"/>
      <c r="AE1496" s="494"/>
      <c r="AF1496" s="494"/>
      <c r="AG1496" s="241"/>
      <c r="AH1496" s="253"/>
      <c r="AI1496" s="284"/>
      <c r="AJ1496" s="303"/>
      <c r="AK1496" s="241">
        <v>4</v>
      </c>
      <c r="AL1496" s="123" t="s">
        <v>503</v>
      </c>
      <c r="AM1496" s="175" t="s">
        <v>492</v>
      </c>
      <c r="AN1496" s="110" t="s">
        <v>4184</v>
      </c>
      <c r="AO1496" s="151"/>
      <c r="AP1496" s="115"/>
      <c r="AQ1496" s="115"/>
      <c r="AR1496" s="115"/>
      <c r="AS1496" s="115"/>
      <c r="AT1496" s="115"/>
    </row>
    <row r="1497" spans="1:69" ht="39" customHeight="1" x14ac:dyDescent="0.25">
      <c r="A1497" s="1468">
        <v>1496</v>
      </c>
      <c r="B1497" s="117">
        <v>2</v>
      </c>
      <c r="C1497" s="526" t="s">
        <v>417</v>
      </c>
      <c r="D1497" s="481"/>
      <c r="E1497" s="481"/>
      <c r="F1497" s="481"/>
      <c r="G1497" s="527" t="s">
        <v>418</v>
      </c>
      <c r="H1497" s="262" t="s">
        <v>87</v>
      </c>
      <c r="I1497" s="473"/>
      <c r="J1497" s="245" t="s">
        <v>561</v>
      </c>
      <c r="K1497" s="288" t="s">
        <v>158</v>
      </c>
      <c r="L1497" s="216" t="s">
        <v>3678</v>
      </c>
      <c r="M1497" s="216" t="s">
        <v>3678</v>
      </c>
      <c r="N1497" s="281" t="s">
        <v>4217</v>
      </c>
      <c r="O1497" s="1472" t="s">
        <v>3684</v>
      </c>
      <c r="P1497" s="320"/>
      <c r="Q1497" s="197" t="s">
        <v>87</v>
      </c>
      <c r="R1497" s="381" t="s">
        <v>3683</v>
      </c>
      <c r="S1497" s="279">
        <v>37308</v>
      </c>
      <c r="T1497" s="197"/>
      <c r="U1497" s="251" t="s">
        <v>54</v>
      </c>
      <c r="V1497" s="306" t="s">
        <v>4047</v>
      </c>
      <c r="W1497" s="949" t="s">
        <v>4050</v>
      </c>
      <c r="X1497" s="250" t="s">
        <v>5135</v>
      </c>
      <c r="Y1497" s="288" t="s">
        <v>4051</v>
      </c>
      <c r="Z1497" s="289">
        <v>45231</v>
      </c>
      <c r="AA1497" s="252"/>
      <c r="AB1497" s="288" t="s">
        <v>4580</v>
      </c>
      <c r="AC1497" s="223" t="s">
        <v>946</v>
      </c>
      <c r="AD1497" s="299" t="s">
        <v>467</v>
      </c>
      <c r="AE1497" s="494">
        <v>45092</v>
      </c>
      <c r="AF1497" s="494">
        <v>45457</v>
      </c>
      <c r="AG1497" s="282"/>
      <c r="AH1497" s="376"/>
      <c r="AI1497" s="296" t="s">
        <v>1351</v>
      </c>
      <c r="AJ1497" s="303" t="s">
        <v>136</v>
      </c>
      <c r="AK1497" s="471">
        <v>4</v>
      </c>
      <c r="AL1497" s="176" t="s">
        <v>503</v>
      </c>
      <c r="AM1497" s="175" t="s">
        <v>492</v>
      </c>
      <c r="AN1497" s="151"/>
      <c r="AO1497" s="167"/>
      <c r="AP1497" s="115"/>
      <c r="AQ1497" s="115"/>
      <c r="AR1497" s="115"/>
      <c r="AS1497" s="115"/>
      <c r="AT1497" s="115"/>
    </row>
    <row r="1498" spans="1:69" s="827" customFormat="1" ht="39" customHeight="1" x14ac:dyDescent="0.25">
      <c r="A1498" s="1468">
        <v>1497</v>
      </c>
      <c r="B1498" s="117"/>
      <c r="C1498" s="231"/>
      <c r="D1498" s="535"/>
      <c r="E1498" s="535"/>
      <c r="F1498" s="535"/>
      <c r="G1498" s="536"/>
      <c r="H1498" s="537"/>
      <c r="I1498" s="537"/>
      <c r="J1498" s="538"/>
      <c r="K1498" s="309"/>
      <c r="L1498" s="309"/>
      <c r="M1498" s="309"/>
      <c r="N1498" s="578"/>
      <c r="O1498" s="309"/>
      <c r="P1498" s="540" t="s">
        <v>922</v>
      </c>
      <c r="Q1498" s="541"/>
      <c r="R1498" s="324"/>
      <c r="S1498" s="279"/>
      <c r="T1498" s="334"/>
      <c r="U1498" s="250"/>
      <c r="V1498" s="334"/>
      <c r="W1498" s="232"/>
      <c r="X1498" s="232"/>
      <c r="Y1498" s="232"/>
      <c r="Z1498" s="233"/>
      <c r="AA1498" s="252"/>
      <c r="AB1498" s="541"/>
      <c r="AC1498" s="236"/>
      <c r="AD1498" s="541"/>
      <c r="AE1498" s="494"/>
      <c r="AF1498" s="494"/>
      <c r="AG1498" s="664"/>
      <c r="AH1498" s="541"/>
      <c r="AI1498" s="542"/>
      <c r="AJ1498" s="576"/>
      <c r="AK1498" s="664"/>
      <c r="AL1498" s="113"/>
      <c r="AM1498" s="113"/>
      <c r="AN1498" s="156"/>
      <c r="AO1498" s="182"/>
      <c r="AP1498" s="115"/>
      <c r="AQ1498" s="115"/>
      <c r="AR1498" s="115"/>
      <c r="AS1498" s="115"/>
      <c r="AT1498" s="115"/>
    </row>
    <row r="1499" spans="1:69" ht="39" customHeight="1" x14ac:dyDescent="0.25">
      <c r="A1499" s="1468">
        <v>1498</v>
      </c>
      <c r="B1499" s="117">
        <v>11</v>
      </c>
      <c r="C1499" s="784" t="s">
        <v>420</v>
      </c>
      <c r="D1499" s="487"/>
      <c r="E1499" s="728"/>
      <c r="F1499" s="487"/>
      <c r="G1499" s="730" t="s">
        <v>421</v>
      </c>
      <c r="H1499" s="340" t="s">
        <v>422</v>
      </c>
      <c r="I1499" s="508"/>
      <c r="J1499" s="281">
        <v>332</v>
      </c>
      <c r="K1499" s="216"/>
      <c r="L1499" s="301"/>
      <c r="M1499" s="301"/>
      <c r="N1499" s="650"/>
      <c r="O1499" s="959"/>
      <c r="P1499" s="402"/>
      <c r="Q1499" s="1408"/>
      <c r="R1499" s="784" t="s">
        <v>66</v>
      </c>
      <c r="S1499" s="279"/>
      <c r="T1499" s="482"/>
      <c r="U1499" s="250"/>
      <c r="V1499" s="197"/>
      <c r="W1499" s="250"/>
      <c r="X1499" s="197"/>
      <c r="Y1499" s="197"/>
      <c r="Z1499" s="246"/>
      <c r="AA1499" s="482"/>
      <c r="AB1499" s="299"/>
      <c r="AC1499" s="223"/>
      <c r="AD1499" s="301"/>
      <c r="AE1499" s="289"/>
      <c r="AF1499" s="289"/>
      <c r="AG1499" s="299"/>
      <c r="AH1499" s="651"/>
      <c r="AI1499" s="223"/>
      <c r="AJ1499" s="1408"/>
      <c r="AK1499" s="476">
        <v>1</v>
      </c>
      <c r="AL1499" s="749" t="s">
        <v>504</v>
      </c>
      <c r="AM1499" s="175" t="s">
        <v>492</v>
      </c>
      <c r="AN1499" s="151"/>
      <c r="AO1499" s="1159"/>
      <c r="AP1499" s="1162"/>
      <c r="AQ1499" s="1160"/>
      <c r="AR1499" s="331"/>
      <c r="AS1499" s="455"/>
      <c r="AT1499" s="457"/>
      <c r="AU1499" s="334"/>
      <c r="AV1499" s="334"/>
      <c r="AW1499" s="334"/>
      <c r="AX1499" s="334"/>
      <c r="AY1499" s="334"/>
      <c r="AZ1499" s="334"/>
      <c r="BA1499" s="334"/>
      <c r="BB1499" s="457"/>
      <c r="BC1499" s="331"/>
      <c r="BD1499" s="460"/>
      <c r="BE1499" s="331"/>
      <c r="BF1499" s="1161"/>
      <c r="BG1499" s="1161"/>
      <c r="BH1499" s="331"/>
      <c r="BI1499" s="462"/>
      <c r="BJ1499" s="1156"/>
      <c r="BK1499" s="464"/>
    </row>
    <row r="1500" spans="1:69" ht="39" customHeight="1" x14ac:dyDescent="0.25">
      <c r="A1500" s="1468">
        <v>1499</v>
      </c>
      <c r="B1500" s="117">
        <v>6</v>
      </c>
      <c r="C1500" s="932" t="s">
        <v>286</v>
      </c>
      <c r="D1500" s="481"/>
      <c r="E1500" s="778"/>
      <c r="F1500" s="481"/>
      <c r="G1500" s="830" t="s">
        <v>287</v>
      </c>
      <c r="H1500" s="777" t="s">
        <v>153</v>
      </c>
      <c r="I1500" s="473"/>
      <c r="J1500" s="256">
        <v>400</v>
      </c>
      <c r="K1500" s="265"/>
      <c r="L1500" s="265"/>
      <c r="M1500" s="265"/>
      <c r="N1500" s="404"/>
      <c r="O1500" s="265"/>
      <c r="P1500" s="519"/>
      <c r="Q1500" s="394"/>
      <c r="R1500" s="683" t="s">
        <v>66</v>
      </c>
      <c r="S1500" s="279"/>
      <c r="T1500" s="216"/>
      <c r="U1500" s="250"/>
      <c r="V1500" s="197"/>
      <c r="W1500" s="268"/>
      <c r="X1500" s="268"/>
      <c r="Y1500" s="268"/>
      <c r="Z1500" s="405"/>
      <c r="AA1500" s="252"/>
      <c r="AB1500" s="394"/>
      <c r="AC1500" s="474"/>
      <c r="AD1500" s="394"/>
      <c r="AE1500" s="494"/>
      <c r="AF1500" s="494"/>
      <c r="AG1500" s="471"/>
      <c r="AH1500" s="394"/>
      <c r="AI1500" s="829"/>
      <c r="AJ1500" s="470"/>
      <c r="AK1500" s="471">
        <v>2</v>
      </c>
      <c r="AL1500" s="749" t="s">
        <v>504</v>
      </c>
      <c r="AM1500" s="175" t="s">
        <v>492</v>
      </c>
      <c r="AN1500" s="151"/>
      <c r="AO1500" s="167"/>
      <c r="AP1500" s="115"/>
      <c r="AQ1500" s="115"/>
      <c r="AR1500" s="115"/>
      <c r="AS1500" s="115"/>
      <c r="AT1500" s="115"/>
    </row>
    <row r="1501" spans="1:69" s="827" customFormat="1" ht="39" customHeight="1" x14ac:dyDescent="0.25">
      <c r="A1501" s="1468">
        <v>1500</v>
      </c>
      <c r="B1501" s="117"/>
      <c r="C1501" s="231"/>
      <c r="D1501" s="535"/>
      <c r="E1501" s="535"/>
      <c r="F1501" s="535"/>
      <c r="G1501" s="536"/>
      <c r="H1501" s="537"/>
      <c r="I1501" s="537"/>
      <c r="J1501" s="538"/>
      <c r="K1501" s="309"/>
      <c r="L1501" s="309"/>
      <c r="M1501" s="309"/>
      <c r="N1501" s="578"/>
      <c r="O1501" s="309"/>
      <c r="P1501" s="540" t="s">
        <v>424</v>
      </c>
      <c r="Q1501" s="541"/>
      <c r="R1501" s="324"/>
      <c r="S1501" s="279"/>
      <c r="T1501" s="334"/>
      <c r="U1501" s="250"/>
      <c r="V1501" s="334"/>
      <c r="W1501" s="232"/>
      <c r="X1501" s="232"/>
      <c r="Y1501" s="232"/>
      <c r="Z1501" s="233"/>
      <c r="AA1501" s="252"/>
      <c r="AB1501" s="541"/>
      <c r="AC1501" s="236"/>
      <c r="AD1501" s="541"/>
      <c r="AE1501" s="494"/>
      <c r="AF1501" s="494"/>
      <c r="AG1501" s="664"/>
      <c r="AH1501" s="541"/>
      <c r="AI1501" s="542"/>
      <c r="AJ1501" s="576"/>
      <c r="AK1501" s="664"/>
      <c r="AL1501" s="113"/>
      <c r="AM1501" s="113"/>
      <c r="AN1501" s="156"/>
      <c r="AO1501" s="182"/>
      <c r="AP1501" s="115"/>
      <c r="AQ1501" s="115"/>
      <c r="AR1501" s="115"/>
      <c r="AS1501" s="115"/>
      <c r="AT1501" s="115"/>
    </row>
    <row r="1502" spans="1:69" ht="39" customHeight="1" x14ac:dyDescent="0.25">
      <c r="A1502" s="1468">
        <v>1501</v>
      </c>
      <c r="B1502" s="117">
        <v>5</v>
      </c>
      <c r="C1502" s="931" t="s">
        <v>367</v>
      </c>
      <c r="D1502" s="710"/>
      <c r="E1502" s="710"/>
      <c r="F1502" s="710"/>
      <c r="G1502" s="709" t="s">
        <v>425</v>
      </c>
      <c r="H1502" s="709" t="s">
        <v>132</v>
      </c>
      <c r="I1502" s="508"/>
      <c r="J1502" s="256">
        <v>403</v>
      </c>
      <c r="K1502" s="216" t="s">
        <v>158</v>
      </c>
      <c r="L1502" s="216" t="s">
        <v>1285</v>
      </c>
      <c r="M1502" s="301" t="s">
        <v>1340</v>
      </c>
      <c r="N1502" s="245"/>
      <c r="O1502" s="216" t="s">
        <v>1341</v>
      </c>
      <c r="P1502" s="320"/>
      <c r="Q1502" s="344" t="s">
        <v>570</v>
      </c>
      <c r="R1502" s="982" t="s">
        <v>5035</v>
      </c>
      <c r="S1502" s="279">
        <v>37204</v>
      </c>
      <c r="T1502" s="306"/>
      <c r="U1502" s="251" t="s">
        <v>54</v>
      </c>
      <c r="V1502" s="252" t="s">
        <v>950</v>
      </c>
      <c r="W1502" s="197" t="s">
        <v>56</v>
      </c>
      <c r="X1502" s="197" t="s">
        <v>57</v>
      </c>
      <c r="Y1502" s="197" t="s">
        <v>951</v>
      </c>
      <c r="Z1502" s="252">
        <v>44828</v>
      </c>
      <c r="AA1502" s="246"/>
      <c r="AB1502" s="282" t="s">
        <v>115</v>
      </c>
      <c r="AC1502" s="223" t="s">
        <v>946</v>
      </c>
      <c r="AD1502" s="301" t="s">
        <v>1342</v>
      </c>
      <c r="AE1502" s="306">
        <v>44379</v>
      </c>
      <c r="AF1502" s="306">
        <v>45108</v>
      </c>
      <c r="AG1502" s="282" t="s">
        <v>61</v>
      </c>
      <c r="AH1502" s="283"/>
      <c r="AI1502" s="322"/>
      <c r="AJ1502" s="348" t="s">
        <v>560</v>
      </c>
      <c r="AK1502" s="709">
        <v>3</v>
      </c>
      <c r="AL1502" s="826" t="s">
        <v>504</v>
      </c>
      <c r="AM1502" s="175" t="s">
        <v>492</v>
      </c>
      <c r="AN1502" s="151"/>
      <c r="AO1502" s="173"/>
      <c r="AP1502" s="115"/>
      <c r="AQ1502" s="115"/>
      <c r="AR1502" s="115"/>
      <c r="AS1502" s="115"/>
      <c r="AT1502" s="115"/>
    </row>
    <row r="1503" spans="1:69" ht="39" customHeight="1" x14ac:dyDescent="0.25">
      <c r="A1503" s="1468">
        <v>1502</v>
      </c>
      <c r="B1503" s="117">
        <v>5</v>
      </c>
      <c r="C1503" s="358" t="s">
        <v>426</v>
      </c>
      <c r="D1503" s="282"/>
      <c r="E1503" s="282"/>
      <c r="F1503" s="282"/>
      <c r="G1503" s="447" t="s">
        <v>427</v>
      </c>
      <c r="H1503" s="262" t="s">
        <v>85</v>
      </c>
      <c r="I1503" s="357"/>
      <c r="J1503" s="245" t="s">
        <v>556</v>
      </c>
      <c r="K1503" s="288"/>
      <c r="L1503" s="288"/>
      <c r="M1503" s="288"/>
      <c r="N1503" s="374"/>
      <c r="O1503" s="385"/>
      <c r="P1503" s="374"/>
      <c r="Q1503" s="344"/>
      <c r="R1503" s="683" t="s">
        <v>66</v>
      </c>
      <c r="S1503" s="279"/>
      <c r="T1503" s="197"/>
      <c r="U1503" s="250"/>
      <c r="V1503" s="250"/>
      <c r="W1503" s="197"/>
      <c r="X1503" s="197"/>
      <c r="Y1503" s="252"/>
      <c r="Z1503" s="252"/>
      <c r="AA1503" s="388"/>
      <c r="AB1503" s="288"/>
      <c r="AC1503" s="223"/>
      <c r="AD1503" s="288"/>
      <c r="AE1503" s="494"/>
      <c r="AF1503" s="494"/>
      <c r="AG1503" s="392"/>
      <c r="AH1503" s="283"/>
      <c r="AI1503" s="254"/>
      <c r="AJ1503" s="348"/>
      <c r="AK1503" s="241">
        <v>4</v>
      </c>
      <c r="AL1503" s="122" t="s">
        <v>504</v>
      </c>
      <c r="AM1503" s="175" t="s">
        <v>492</v>
      </c>
      <c r="AN1503" s="151"/>
      <c r="AO1503" s="151"/>
      <c r="AP1503" s="115"/>
      <c r="AQ1503" s="115"/>
      <c r="AR1503" s="115"/>
      <c r="AS1503" s="115"/>
      <c r="AT1503" s="115"/>
    </row>
    <row r="1504" spans="1:69" ht="39" customHeight="1" x14ac:dyDescent="0.25">
      <c r="A1504" s="1468">
        <v>1503</v>
      </c>
      <c r="B1504" s="117">
        <v>2</v>
      </c>
      <c r="C1504" s="528" t="s">
        <v>428</v>
      </c>
      <c r="D1504" s="282"/>
      <c r="E1504" s="282"/>
      <c r="F1504" s="282"/>
      <c r="G1504" s="447" t="s">
        <v>429</v>
      </c>
      <c r="H1504" s="262" t="s">
        <v>87</v>
      </c>
      <c r="I1504" s="357"/>
      <c r="J1504" s="245" t="s">
        <v>561</v>
      </c>
      <c r="K1504" s="197"/>
      <c r="L1504" s="299" t="s">
        <v>4004</v>
      </c>
      <c r="M1504" s="299" t="s">
        <v>4004</v>
      </c>
      <c r="N1504" s="245"/>
      <c r="O1504" s="216" t="s">
        <v>4005</v>
      </c>
      <c r="P1504" s="627"/>
      <c r="Q1504" s="281" t="s">
        <v>87</v>
      </c>
      <c r="R1504" s="381" t="s">
        <v>3245</v>
      </c>
      <c r="S1504" s="279"/>
      <c r="T1504" s="289"/>
      <c r="U1504" s="251" t="s">
        <v>54</v>
      </c>
      <c r="V1504" s="306" t="s">
        <v>4047</v>
      </c>
      <c r="W1504" s="949" t="s">
        <v>4050</v>
      </c>
      <c r="X1504" s="250" t="s">
        <v>5135</v>
      </c>
      <c r="Y1504" s="288" t="s">
        <v>4051</v>
      </c>
      <c r="Z1504" s="289">
        <v>45231</v>
      </c>
      <c r="AA1504" s="252"/>
      <c r="AB1504" s="288"/>
      <c r="AC1504" s="223" t="s">
        <v>946</v>
      </c>
      <c r="AD1504" s="288"/>
      <c r="AE1504" s="494"/>
      <c r="AF1504" s="494"/>
      <c r="AG1504" s="241"/>
      <c r="AH1504" s="253"/>
      <c r="AI1504" s="284" t="s">
        <v>1351</v>
      </c>
      <c r="AJ1504" s="303" t="s">
        <v>136</v>
      </c>
      <c r="AK1504" s="241">
        <v>4</v>
      </c>
      <c r="AL1504" s="122" t="s">
        <v>504</v>
      </c>
      <c r="AM1504" s="175" t="s">
        <v>492</v>
      </c>
      <c r="AN1504" s="151"/>
      <c r="AO1504" s="151"/>
      <c r="AP1504" s="115"/>
      <c r="AQ1504" s="115"/>
      <c r="AR1504" s="115"/>
      <c r="AS1504" s="115"/>
      <c r="AT1504" s="115"/>
    </row>
    <row r="1505" spans="1:47" ht="39" customHeight="1" x14ac:dyDescent="0.25">
      <c r="A1505" s="1468">
        <v>1504</v>
      </c>
      <c r="B1505" s="117">
        <v>2</v>
      </c>
      <c r="C1505" s="504" t="s">
        <v>430</v>
      </c>
      <c r="D1505" s="481"/>
      <c r="E1505" s="481"/>
      <c r="F1505" s="481"/>
      <c r="G1505" s="527" t="s">
        <v>354</v>
      </c>
      <c r="H1505" s="262" t="s">
        <v>87</v>
      </c>
      <c r="I1505" s="473"/>
      <c r="J1505" s="245" t="s">
        <v>561</v>
      </c>
      <c r="K1505" s="257"/>
      <c r="L1505" s="299"/>
      <c r="M1505" s="299"/>
      <c r="N1505" s="299"/>
      <c r="O1505" s="392"/>
      <c r="P1505" s="300"/>
      <c r="Q1505" s="197"/>
      <c r="R1505" s="683" t="s">
        <v>66</v>
      </c>
      <c r="S1505" s="279"/>
      <c r="T1505" s="289"/>
      <c r="U1505" s="250"/>
      <c r="V1505" s="299"/>
      <c r="W1505" s="250"/>
      <c r="X1505" s="299"/>
      <c r="Y1505" s="299"/>
      <c r="Z1505" s="289"/>
      <c r="AA1505" s="252"/>
      <c r="AB1505" s="299"/>
      <c r="AC1505" s="223"/>
      <c r="AD1505" s="299"/>
      <c r="AE1505" s="494"/>
      <c r="AF1505" s="494"/>
      <c r="AG1505" s="299"/>
      <c r="AH1505" s="299"/>
      <c r="AI1505" s="223"/>
      <c r="AJ1505" s="303"/>
      <c r="AK1505" s="471">
        <v>4</v>
      </c>
      <c r="AL1505" s="749" t="s">
        <v>504</v>
      </c>
      <c r="AM1505" s="175" t="s">
        <v>492</v>
      </c>
      <c r="AN1505" s="151"/>
      <c r="AO1505" s="167"/>
      <c r="AP1505" s="115"/>
      <c r="AQ1505" s="115"/>
      <c r="AR1505" s="115"/>
      <c r="AS1505" s="115"/>
      <c r="AT1505" s="115"/>
      <c r="AU1505" s="827"/>
    </row>
    <row r="1506" spans="1:47" s="827" customFormat="1" ht="39" customHeight="1" x14ac:dyDescent="0.25">
      <c r="A1506" s="1468">
        <v>1505</v>
      </c>
      <c r="B1506" s="117"/>
      <c r="C1506" s="231"/>
      <c r="D1506" s="535"/>
      <c r="E1506" s="535"/>
      <c r="F1506" s="535"/>
      <c r="G1506" s="536"/>
      <c r="H1506" s="537"/>
      <c r="I1506" s="537"/>
      <c r="J1506" s="538"/>
      <c r="K1506" s="309"/>
      <c r="L1506" s="309"/>
      <c r="M1506" s="309"/>
      <c r="N1506" s="578"/>
      <c r="O1506" s="309"/>
      <c r="P1506" s="540" t="s">
        <v>920</v>
      </c>
      <c r="Q1506" s="541"/>
      <c r="R1506" s="324"/>
      <c r="S1506" s="279"/>
      <c r="T1506" s="334"/>
      <c r="U1506" s="250"/>
      <c r="V1506" s="334"/>
      <c r="W1506" s="232"/>
      <c r="X1506" s="232"/>
      <c r="Y1506" s="232"/>
      <c r="Z1506" s="233"/>
      <c r="AA1506" s="252"/>
      <c r="AB1506" s="541"/>
      <c r="AC1506" s="236"/>
      <c r="AD1506" s="541"/>
      <c r="AE1506" s="494"/>
      <c r="AF1506" s="494"/>
      <c r="AG1506" s="664"/>
      <c r="AH1506" s="541"/>
      <c r="AI1506" s="542"/>
      <c r="AJ1506" s="576"/>
      <c r="AK1506" s="664"/>
      <c r="AL1506" s="113"/>
      <c r="AM1506" s="113"/>
      <c r="AN1506" s="156"/>
      <c r="AO1506" s="182"/>
      <c r="AP1506" s="115"/>
      <c r="AQ1506" s="115"/>
      <c r="AR1506" s="115"/>
      <c r="AS1506" s="115"/>
      <c r="AT1506" s="115"/>
    </row>
    <row r="1507" spans="1:47" ht="39" customHeight="1" x14ac:dyDescent="0.25">
      <c r="A1507" s="1468">
        <v>1506</v>
      </c>
      <c r="B1507" s="117">
        <v>5</v>
      </c>
      <c r="C1507" s="931" t="s">
        <v>367</v>
      </c>
      <c r="D1507" s="710"/>
      <c r="E1507" s="710"/>
      <c r="F1507" s="710"/>
      <c r="G1507" s="709" t="s">
        <v>425</v>
      </c>
      <c r="H1507" s="709" t="s">
        <v>132</v>
      </c>
      <c r="I1507" s="508"/>
      <c r="J1507" s="256">
        <v>403</v>
      </c>
      <c r="K1507" s="277"/>
      <c r="L1507" s="277"/>
      <c r="M1507" s="277"/>
      <c r="N1507" s="451"/>
      <c r="O1507" s="277"/>
      <c r="P1507" s="522"/>
      <c r="Q1507" s="397"/>
      <c r="R1507" s="683" t="s">
        <v>66</v>
      </c>
      <c r="S1507" s="279"/>
      <c r="T1507" s="216"/>
      <c r="U1507" s="250"/>
      <c r="V1507" s="197"/>
      <c r="W1507" s="280"/>
      <c r="X1507" s="280"/>
      <c r="Y1507" s="280"/>
      <c r="Z1507" s="486"/>
      <c r="AA1507" s="252"/>
      <c r="AB1507" s="397"/>
      <c r="AC1507" s="488"/>
      <c r="AD1507" s="397"/>
      <c r="AE1507" s="494"/>
      <c r="AF1507" s="494"/>
      <c r="AG1507" s="476"/>
      <c r="AH1507" s="397"/>
      <c r="AI1507" s="845"/>
      <c r="AJ1507" s="507"/>
      <c r="AK1507" s="709">
        <v>3</v>
      </c>
      <c r="AL1507" s="826" t="s">
        <v>504</v>
      </c>
      <c r="AM1507" s="175" t="s">
        <v>492</v>
      </c>
      <c r="AN1507" s="151"/>
      <c r="AO1507" s="173"/>
      <c r="AP1507" s="115"/>
      <c r="AQ1507" s="115"/>
      <c r="AR1507" s="115"/>
      <c r="AS1507" s="115"/>
      <c r="AT1507" s="115"/>
    </row>
    <row r="1508" spans="1:47" ht="39" customHeight="1" x14ac:dyDescent="0.25">
      <c r="A1508" s="1468">
        <v>1507</v>
      </c>
      <c r="B1508" s="117">
        <v>2</v>
      </c>
      <c r="C1508" s="528" t="s">
        <v>428</v>
      </c>
      <c r="D1508" s="282"/>
      <c r="E1508" s="282"/>
      <c r="F1508" s="282"/>
      <c r="G1508" s="447" t="s">
        <v>429</v>
      </c>
      <c r="H1508" s="262" t="s">
        <v>87</v>
      </c>
      <c r="I1508" s="357"/>
      <c r="J1508" s="245" t="s">
        <v>561</v>
      </c>
      <c r="K1508" s="216" t="s">
        <v>158</v>
      </c>
      <c r="L1508" s="289"/>
      <c r="M1508" s="216" t="s">
        <v>4590</v>
      </c>
      <c r="N1508" s="366"/>
      <c r="O1508" s="1406" t="s">
        <v>3206</v>
      </c>
      <c r="P1508" s="374"/>
      <c r="Q1508" s="344" t="s">
        <v>570</v>
      </c>
      <c r="R1508" s="1174" t="s">
        <v>2047</v>
      </c>
      <c r="S1508" s="279">
        <v>36875</v>
      </c>
      <c r="T1508" s="223"/>
      <c r="U1508" s="250"/>
      <c r="V1508" s="197"/>
      <c r="W1508" s="197"/>
      <c r="X1508" s="197"/>
      <c r="Y1508" s="288"/>
      <c r="Z1508" s="612"/>
      <c r="AA1508" s="252"/>
      <c r="AB1508" s="223"/>
      <c r="AC1508" s="223"/>
      <c r="AD1508" s="299"/>
      <c r="AE1508" s="223"/>
      <c r="AF1508" s="223"/>
      <c r="AG1508" s="282"/>
      <c r="AH1508" s="301"/>
      <c r="AI1508" s="223"/>
      <c r="AJ1508" s="348" t="s">
        <v>560</v>
      </c>
      <c r="AK1508" s="241">
        <v>4</v>
      </c>
      <c r="AL1508" s="122" t="s">
        <v>504</v>
      </c>
      <c r="AM1508" s="175" t="s">
        <v>492</v>
      </c>
      <c r="AN1508" s="167"/>
      <c r="AO1508" s="151"/>
      <c r="AP1508" s="115"/>
      <c r="AQ1508" s="115"/>
      <c r="AR1508" s="115"/>
      <c r="AS1508" s="115"/>
      <c r="AT1508" s="115"/>
    </row>
    <row r="1509" spans="1:47" ht="39" customHeight="1" x14ac:dyDescent="0.25">
      <c r="A1509" s="1468">
        <v>1508</v>
      </c>
      <c r="B1509" s="117">
        <v>2</v>
      </c>
      <c r="C1509" s="504" t="s">
        <v>430</v>
      </c>
      <c r="D1509" s="481"/>
      <c r="E1509" s="481"/>
      <c r="F1509" s="481"/>
      <c r="G1509" s="527" t="s">
        <v>354</v>
      </c>
      <c r="H1509" s="262" t="s">
        <v>87</v>
      </c>
      <c r="I1509" s="473"/>
      <c r="J1509" s="245" t="s">
        <v>561</v>
      </c>
      <c r="K1509" s="216"/>
      <c r="L1509" s="301"/>
      <c r="M1509" s="301"/>
      <c r="N1509" s="366"/>
      <c r="O1509" s="216"/>
      <c r="P1509" s="325"/>
      <c r="Q1509" s="301"/>
      <c r="R1509" s="683" t="s">
        <v>66</v>
      </c>
      <c r="S1509" s="279"/>
      <c r="T1509" s="306"/>
      <c r="U1509" s="250"/>
      <c r="V1509" s="197"/>
      <c r="W1509" s="250"/>
      <c r="X1509" s="197"/>
      <c r="Y1509" s="197"/>
      <c r="Z1509" s="246"/>
      <c r="AA1509" s="252"/>
      <c r="AB1509" s="301"/>
      <c r="AC1509" s="223"/>
      <c r="AD1509" s="301"/>
      <c r="AE1509" s="494"/>
      <c r="AF1509" s="494"/>
      <c r="AG1509" s="241"/>
      <c r="AH1509" s="301"/>
      <c r="AI1509" s="223"/>
      <c r="AJ1509" s="303"/>
      <c r="AK1509" s="471">
        <v>4</v>
      </c>
      <c r="AL1509" s="749" t="s">
        <v>504</v>
      </c>
      <c r="AM1509" s="175" t="s">
        <v>492</v>
      </c>
      <c r="AN1509" s="151"/>
      <c r="AO1509" s="167"/>
      <c r="AP1509" s="115"/>
      <c r="AQ1509" s="115"/>
      <c r="AR1509" s="115"/>
      <c r="AS1509" s="115"/>
      <c r="AT1509" s="115"/>
    </row>
    <row r="1510" spans="1:47" s="827" customFormat="1" ht="39" customHeight="1" x14ac:dyDescent="0.25">
      <c r="A1510" s="1468">
        <v>1509</v>
      </c>
      <c r="B1510" s="117"/>
      <c r="C1510" s="929"/>
      <c r="D1510" s="535"/>
      <c r="E1510" s="535"/>
      <c r="F1510" s="535"/>
      <c r="G1510" s="536"/>
      <c r="H1510" s="537"/>
      <c r="I1510" s="537"/>
      <c r="J1510" s="538"/>
      <c r="K1510" s="309"/>
      <c r="L1510" s="318"/>
      <c r="M1510" s="318"/>
      <c r="N1510" s="539"/>
      <c r="O1510" s="309"/>
      <c r="P1510" s="540" t="s">
        <v>919</v>
      </c>
      <c r="Q1510" s="541"/>
      <c r="R1510" s="1001"/>
      <c r="S1510" s="279"/>
      <c r="T1510" s="334"/>
      <c r="U1510" s="250"/>
      <c r="V1510" s="334"/>
      <c r="W1510" s="318"/>
      <c r="X1510" s="318"/>
      <c r="Y1510" s="318"/>
      <c r="Z1510" s="310"/>
      <c r="AA1510" s="252"/>
      <c r="AB1510" s="542"/>
      <c r="AC1510" s="542"/>
      <c r="AD1510" s="543"/>
      <c r="AE1510" s="494"/>
      <c r="AF1510" s="494"/>
      <c r="AG1510" s="544"/>
      <c r="AH1510" s="541"/>
      <c r="AI1510" s="545"/>
      <c r="AJ1510" s="546"/>
      <c r="AK1510" s="535"/>
      <c r="AL1510" s="113"/>
      <c r="AM1510" s="134"/>
      <c r="AN1510" s="181"/>
      <c r="AO1510" s="182"/>
      <c r="AP1510" s="115"/>
      <c r="AQ1510" s="115"/>
      <c r="AR1510" s="115"/>
      <c r="AS1510" s="115"/>
      <c r="AT1510" s="115"/>
    </row>
    <row r="1511" spans="1:47" ht="39" customHeight="1" x14ac:dyDescent="0.25">
      <c r="A1511" s="1468">
        <v>1510</v>
      </c>
      <c r="B1511" s="117">
        <v>5</v>
      </c>
      <c r="C1511" s="931" t="s">
        <v>367</v>
      </c>
      <c r="D1511" s="710"/>
      <c r="E1511" s="710"/>
      <c r="F1511" s="710"/>
      <c r="G1511" s="709" t="s">
        <v>425</v>
      </c>
      <c r="H1511" s="709" t="s">
        <v>132</v>
      </c>
      <c r="I1511" s="508"/>
      <c r="J1511" s="256">
        <v>403</v>
      </c>
      <c r="K1511" s="277"/>
      <c r="L1511" s="277"/>
      <c r="M1511" s="277"/>
      <c r="N1511" s="451"/>
      <c r="O1511" s="277"/>
      <c r="P1511" s="522"/>
      <c r="Q1511" s="397"/>
      <c r="R1511" s="683" t="s">
        <v>66</v>
      </c>
      <c r="S1511" s="279"/>
      <c r="T1511" s="216"/>
      <c r="U1511" s="250"/>
      <c r="V1511" s="197"/>
      <c r="W1511" s="280"/>
      <c r="X1511" s="280"/>
      <c r="Y1511" s="280"/>
      <c r="Z1511" s="486"/>
      <c r="AA1511" s="252"/>
      <c r="AB1511" s="397"/>
      <c r="AC1511" s="488"/>
      <c r="AD1511" s="397"/>
      <c r="AE1511" s="494"/>
      <c r="AF1511" s="494"/>
      <c r="AG1511" s="476"/>
      <c r="AH1511" s="397"/>
      <c r="AI1511" s="845"/>
      <c r="AJ1511" s="507"/>
      <c r="AK1511" s="709">
        <v>3</v>
      </c>
      <c r="AL1511" s="826" t="s">
        <v>504</v>
      </c>
      <c r="AM1511" s="175" t="s">
        <v>492</v>
      </c>
      <c r="AN1511" s="151"/>
      <c r="AO1511" s="173"/>
      <c r="AP1511" s="115"/>
      <c r="AQ1511" s="115"/>
      <c r="AR1511" s="115"/>
      <c r="AS1511" s="115"/>
      <c r="AT1511" s="115"/>
    </row>
    <row r="1512" spans="1:47" ht="39" customHeight="1" x14ac:dyDescent="0.25">
      <c r="A1512" s="1468">
        <v>1511</v>
      </c>
      <c r="B1512" s="117">
        <v>2</v>
      </c>
      <c r="C1512" s="528" t="s">
        <v>428</v>
      </c>
      <c r="D1512" s="282"/>
      <c r="E1512" s="282"/>
      <c r="F1512" s="282"/>
      <c r="G1512" s="447" t="s">
        <v>429</v>
      </c>
      <c r="H1512" s="262" t="s">
        <v>87</v>
      </c>
      <c r="I1512" s="357"/>
      <c r="J1512" s="245" t="s">
        <v>561</v>
      </c>
      <c r="K1512" s="216"/>
      <c r="L1512" s="289" t="s">
        <v>5883</v>
      </c>
      <c r="M1512" s="216" t="s">
        <v>5883</v>
      </c>
      <c r="N1512" s="366"/>
      <c r="O1512" s="1463" t="s">
        <v>5882</v>
      </c>
      <c r="P1512" s="374"/>
      <c r="Q1512" s="344" t="s">
        <v>132</v>
      </c>
      <c r="R1512" s="1174" t="s">
        <v>5881</v>
      </c>
      <c r="S1512" s="279">
        <v>30488</v>
      </c>
      <c r="T1512" s="223"/>
      <c r="U1512" s="251" t="s">
        <v>886</v>
      </c>
      <c r="V1512" s="197" t="s">
        <v>6109</v>
      </c>
      <c r="W1512" s="197" t="s">
        <v>886</v>
      </c>
      <c r="X1512" s="197" t="s">
        <v>886</v>
      </c>
      <c r="Y1512" s="288"/>
      <c r="Z1512" s="612">
        <v>45317</v>
      </c>
      <c r="AA1512" s="252"/>
      <c r="AB1512" s="223"/>
      <c r="AC1512" s="223"/>
      <c r="AD1512" s="299"/>
      <c r="AE1512" s="223"/>
      <c r="AF1512" s="223"/>
      <c r="AG1512" s="282"/>
      <c r="AH1512" s="301"/>
      <c r="AI1512" s="223"/>
      <c r="AJ1512" s="348" t="s">
        <v>560</v>
      </c>
      <c r="AK1512" s="241">
        <v>4</v>
      </c>
      <c r="AL1512" s="122" t="s">
        <v>504</v>
      </c>
      <c r="AM1512" s="175" t="s">
        <v>492</v>
      </c>
      <c r="AN1512" s="167"/>
      <c r="AO1512" s="151"/>
      <c r="AP1512" s="115"/>
      <c r="AQ1512" s="115"/>
      <c r="AR1512" s="115"/>
      <c r="AS1512" s="115"/>
      <c r="AT1512" s="115"/>
    </row>
    <row r="1513" spans="1:47" ht="39" customHeight="1" x14ac:dyDescent="0.25">
      <c r="A1513" s="1468">
        <v>1512</v>
      </c>
      <c r="B1513" s="117">
        <v>2</v>
      </c>
      <c r="C1513" s="504" t="s">
        <v>430</v>
      </c>
      <c r="D1513" s="481"/>
      <c r="E1513" s="481"/>
      <c r="F1513" s="481"/>
      <c r="G1513" s="527" t="s">
        <v>354</v>
      </c>
      <c r="H1513" s="262" t="s">
        <v>87</v>
      </c>
      <c r="I1513" s="473"/>
      <c r="J1513" s="245" t="s">
        <v>561</v>
      </c>
      <c r="K1513" s="216"/>
      <c r="L1513" s="299" t="s">
        <v>1508</v>
      </c>
      <c r="M1513" s="299" t="s">
        <v>1708</v>
      </c>
      <c r="N1513" s="245"/>
      <c r="O1513" s="392" t="s">
        <v>2913</v>
      </c>
      <c r="P1513" s="627"/>
      <c r="Q1513" s="594" t="s">
        <v>293</v>
      </c>
      <c r="R1513" s="1466" t="s">
        <v>1601</v>
      </c>
      <c r="S1513" s="279"/>
      <c r="T1513" s="289"/>
      <c r="U1513" s="251" t="s">
        <v>54</v>
      </c>
      <c r="V1513" s="306" t="s">
        <v>4047</v>
      </c>
      <c r="W1513" s="949" t="s">
        <v>4050</v>
      </c>
      <c r="X1513" s="250" t="s">
        <v>5135</v>
      </c>
      <c r="Y1513" s="288" t="s">
        <v>4051</v>
      </c>
      <c r="Z1513" s="289">
        <v>45231</v>
      </c>
      <c r="AA1513" s="252"/>
      <c r="AB1513" s="288" t="s">
        <v>4540</v>
      </c>
      <c r="AC1513" s="223" t="s">
        <v>946</v>
      </c>
      <c r="AD1513" s="245"/>
      <c r="AE1513" s="494">
        <v>45112</v>
      </c>
      <c r="AF1513" s="494">
        <v>45477</v>
      </c>
      <c r="AG1513" s="241"/>
      <c r="AH1513" s="253"/>
      <c r="AI1513" s="284" t="s">
        <v>1351</v>
      </c>
      <c r="AJ1513" s="303" t="s">
        <v>136</v>
      </c>
      <c r="AK1513" s="471">
        <v>4</v>
      </c>
      <c r="AL1513" s="749" t="s">
        <v>504</v>
      </c>
      <c r="AM1513" s="175" t="s">
        <v>492</v>
      </c>
      <c r="AN1513" s="151"/>
      <c r="AO1513" s="167"/>
      <c r="AP1513" s="115"/>
      <c r="AQ1513" s="115"/>
      <c r="AR1513" s="115"/>
      <c r="AS1513" s="115"/>
      <c r="AT1513" s="115"/>
    </row>
    <row r="1514" spans="1:47" s="827" customFormat="1" ht="39" customHeight="1" x14ac:dyDescent="0.25">
      <c r="A1514" s="1468">
        <v>1513</v>
      </c>
      <c r="B1514" s="117"/>
      <c r="C1514" s="929"/>
      <c r="D1514" s="535"/>
      <c r="E1514" s="535"/>
      <c r="F1514" s="535"/>
      <c r="G1514" s="536"/>
      <c r="H1514" s="537"/>
      <c r="I1514" s="537"/>
      <c r="J1514" s="538"/>
      <c r="K1514" s="309"/>
      <c r="L1514" s="318"/>
      <c r="M1514" s="318"/>
      <c r="N1514" s="539"/>
      <c r="O1514" s="309"/>
      <c r="P1514" s="540" t="s">
        <v>921</v>
      </c>
      <c r="Q1514" s="541"/>
      <c r="R1514" s="1174"/>
      <c r="S1514" s="279"/>
      <c r="T1514" s="334"/>
      <c r="U1514" s="250"/>
      <c r="V1514" s="334"/>
      <c r="W1514" s="318"/>
      <c r="X1514" s="318"/>
      <c r="Y1514" s="318"/>
      <c r="Z1514" s="310"/>
      <c r="AA1514" s="252"/>
      <c r="AB1514" s="542"/>
      <c r="AC1514" s="542"/>
      <c r="AD1514" s="543"/>
      <c r="AE1514" s="494"/>
      <c r="AF1514" s="494"/>
      <c r="AG1514" s="544"/>
      <c r="AH1514" s="541"/>
      <c r="AI1514" s="545"/>
      <c r="AJ1514" s="546"/>
      <c r="AK1514" s="535"/>
      <c r="AL1514" s="113"/>
      <c r="AM1514" s="134"/>
      <c r="AN1514" s="181"/>
      <c r="AO1514" s="182"/>
      <c r="AP1514" s="115"/>
      <c r="AQ1514" s="115"/>
      <c r="AR1514" s="115"/>
      <c r="AS1514" s="115"/>
      <c r="AT1514" s="115"/>
    </row>
    <row r="1515" spans="1:47" ht="39" customHeight="1" x14ac:dyDescent="0.25">
      <c r="A1515" s="1468">
        <v>1514</v>
      </c>
      <c r="B1515" s="117">
        <v>5</v>
      </c>
      <c r="C1515" s="931" t="s">
        <v>367</v>
      </c>
      <c r="D1515" s="710"/>
      <c r="E1515" s="710"/>
      <c r="F1515" s="710"/>
      <c r="G1515" s="709" t="s">
        <v>425</v>
      </c>
      <c r="H1515" s="709" t="s">
        <v>132</v>
      </c>
      <c r="I1515" s="508"/>
      <c r="J1515" s="256">
        <v>403</v>
      </c>
      <c r="K1515" s="277"/>
      <c r="L1515" s="277"/>
      <c r="M1515" s="277"/>
      <c r="N1515" s="451"/>
      <c r="O1515" s="277"/>
      <c r="P1515" s="522"/>
      <c r="Q1515" s="397"/>
      <c r="R1515" s="1174" t="s">
        <v>66</v>
      </c>
      <c r="S1515" s="279"/>
      <c r="T1515" s="216"/>
      <c r="U1515" s="250"/>
      <c r="V1515" s="197"/>
      <c r="W1515" s="280"/>
      <c r="X1515" s="280"/>
      <c r="Y1515" s="280"/>
      <c r="Z1515" s="486"/>
      <c r="AA1515" s="252"/>
      <c r="AB1515" s="397"/>
      <c r="AC1515" s="488"/>
      <c r="AD1515" s="397"/>
      <c r="AE1515" s="494"/>
      <c r="AF1515" s="494"/>
      <c r="AG1515" s="476"/>
      <c r="AH1515" s="397"/>
      <c r="AI1515" s="845"/>
      <c r="AJ1515" s="507"/>
      <c r="AK1515" s="709">
        <v>3</v>
      </c>
      <c r="AL1515" s="826" t="s">
        <v>504</v>
      </c>
      <c r="AM1515" s="175" t="s">
        <v>492</v>
      </c>
      <c r="AN1515" s="151"/>
      <c r="AO1515" s="173"/>
      <c r="AP1515" s="115"/>
      <c r="AQ1515" s="115"/>
      <c r="AR1515" s="115"/>
      <c r="AS1515" s="115"/>
      <c r="AT1515" s="115"/>
    </row>
    <row r="1516" spans="1:47" ht="39" customHeight="1" x14ac:dyDescent="0.25">
      <c r="A1516" s="1468">
        <v>1515</v>
      </c>
      <c r="B1516" s="117">
        <v>2</v>
      </c>
      <c r="C1516" s="528" t="s">
        <v>428</v>
      </c>
      <c r="D1516" s="282"/>
      <c r="E1516" s="282"/>
      <c r="F1516" s="282"/>
      <c r="G1516" s="447" t="s">
        <v>429</v>
      </c>
      <c r="H1516" s="262" t="s">
        <v>87</v>
      </c>
      <c r="I1516" s="357"/>
      <c r="J1516" s="245" t="s">
        <v>561</v>
      </c>
      <c r="K1516" s="216"/>
      <c r="L1516" s="281" t="s">
        <v>2014</v>
      </c>
      <c r="M1516" s="281" t="s">
        <v>2014</v>
      </c>
      <c r="N1516" s="366"/>
      <c r="O1516" s="1465" t="s">
        <v>3119</v>
      </c>
      <c r="P1516" s="347"/>
      <c r="Q1516" s="483" t="s">
        <v>87</v>
      </c>
      <c r="R1516" s="1466" t="s">
        <v>2238</v>
      </c>
      <c r="S1516" s="279"/>
      <c r="T1516" s="250"/>
      <c r="U1516" s="250"/>
      <c r="V1516" s="250"/>
      <c r="W1516" s="197"/>
      <c r="X1516" s="197"/>
      <c r="Y1516" s="197"/>
      <c r="Z1516" s="246"/>
      <c r="AA1516" s="246"/>
      <c r="AB1516" s="301"/>
      <c r="AC1516" s="223" t="s">
        <v>482</v>
      </c>
      <c r="AD1516" s="301"/>
      <c r="AE1516" s="494">
        <v>45114</v>
      </c>
      <c r="AF1516" s="494">
        <v>45479</v>
      </c>
      <c r="AG1516" s="305"/>
      <c r="AH1516" s="301"/>
      <c r="AI1516" s="296" t="s">
        <v>1351</v>
      </c>
      <c r="AJ1516" s="419" t="s">
        <v>136</v>
      </c>
      <c r="AK1516" s="241">
        <v>4</v>
      </c>
      <c r="AL1516" s="122" t="s">
        <v>504</v>
      </c>
      <c r="AM1516" s="175" t="s">
        <v>492</v>
      </c>
      <c r="AN1516" s="151"/>
      <c r="AO1516" s="151"/>
      <c r="AP1516" s="115"/>
      <c r="AQ1516" s="115"/>
      <c r="AR1516" s="115"/>
      <c r="AS1516" s="115"/>
      <c r="AT1516" s="115"/>
    </row>
    <row r="1517" spans="1:47" ht="39" customHeight="1" x14ac:dyDescent="0.25">
      <c r="A1517" s="1468">
        <v>1516</v>
      </c>
      <c r="B1517" s="117">
        <v>2</v>
      </c>
      <c r="C1517" s="504" t="s">
        <v>430</v>
      </c>
      <c r="D1517" s="481"/>
      <c r="E1517" s="481"/>
      <c r="F1517" s="481"/>
      <c r="G1517" s="527" t="s">
        <v>354</v>
      </c>
      <c r="H1517" s="262" t="s">
        <v>87</v>
      </c>
      <c r="I1517" s="473"/>
      <c r="J1517" s="245" t="s">
        <v>561</v>
      </c>
      <c r="K1517" s="216"/>
      <c r="L1517" s="216"/>
      <c r="M1517" s="216"/>
      <c r="N1517" s="245"/>
      <c r="O1517" s="216"/>
      <c r="P1517" s="402"/>
      <c r="Q1517" s="353"/>
      <c r="R1517" s="683" t="s">
        <v>66</v>
      </c>
      <c r="S1517" s="279"/>
      <c r="T1517" s="250"/>
      <c r="U1517" s="250"/>
      <c r="V1517" s="197"/>
      <c r="W1517" s="280"/>
      <c r="X1517" s="197"/>
      <c r="Y1517" s="602"/>
      <c r="Z1517" s="246"/>
      <c r="AA1517" s="252"/>
      <c r="AB1517" s="281"/>
      <c r="AC1517" s="223"/>
      <c r="AD1517" s="224"/>
      <c r="AE1517" s="494"/>
      <c r="AF1517" s="494"/>
      <c r="AG1517" s="241"/>
      <c r="AH1517" s="283"/>
      <c r="AI1517" s="296"/>
      <c r="AJ1517" s="317"/>
      <c r="AK1517" s="471">
        <v>4</v>
      </c>
      <c r="AL1517" s="749" t="s">
        <v>504</v>
      </c>
      <c r="AM1517" s="175" t="s">
        <v>492</v>
      </c>
      <c r="AN1517" s="151"/>
      <c r="AO1517" s="167"/>
      <c r="AP1517" s="115"/>
      <c r="AQ1517" s="115"/>
      <c r="AR1517" s="115"/>
      <c r="AS1517" s="115"/>
      <c r="AT1517" s="115"/>
    </row>
    <row r="1518" spans="1:47" s="827" customFormat="1" ht="39" customHeight="1" x14ac:dyDescent="0.25">
      <c r="A1518" s="1468">
        <v>1517</v>
      </c>
      <c r="B1518" s="117"/>
      <c r="C1518" s="324"/>
      <c r="D1518" s="664"/>
      <c r="E1518" s="664"/>
      <c r="F1518" s="664"/>
      <c r="G1518" s="227"/>
      <c r="H1518" s="228"/>
      <c r="I1518" s="228"/>
      <c r="J1518" s="229"/>
      <c r="K1518" s="227"/>
      <c r="L1518" s="229"/>
      <c r="M1518" s="229"/>
      <c r="N1518" s="229"/>
      <c r="O1518" s="309"/>
      <c r="P1518" s="230" t="s">
        <v>925</v>
      </c>
      <c r="Q1518" s="664"/>
      <c r="R1518" s="324"/>
      <c r="S1518" s="279"/>
      <c r="T1518" s="400"/>
      <c r="U1518" s="250"/>
      <c r="V1518" s="1437"/>
      <c r="W1518" s="232"/>
      <c r="X1518" s="232"/>
      <c r="Y1518" s="232"/>
      <c r="Z1518" s="233"/>
      <c r="AA1518" s="252"/>
      <c r="AB1518" s="235"/>
      <c r="AC1518" s="236"/>
      <c r="AD1518" s="235"/>
      <c r="AE1518" s="494"/>
      <c r="AF1518" s="494"/>
      <c r="AG1518" s="664"/>
      <c r="AH1518" s="238"/>
      <c r="AI1518" s="239"/>
      <c r="AJ1518" s="576"/>
      <c r="AK1518" s="664"/>
      <c r="AL1518" s="113"/>
      <c r="AM1518" s="113"/>
      <c r="AN1518" s="163"/>
      <c r="AO1518" s="114"/>
      <c r="AP1518" s="115"/>
      <c r="AQ1518" s="115"/>
      <c r="AR1518" s="115"/>
      <c r="AS1518" s="115"/>
      <c r="AT1518" s="116"/>
    </row>
    <row r="1519" spans="1:47" ht="39" customHeight="1" x14ac:dyDescent="0.25">
      <c r="A1519" s="1468">
        <v>1518</v>
      </c>
      <c r="B1519" s="131">
        <v>9</v>
      </c>
      <c r="C1519" s="933" t="s">
        <v>305</v>
      </c>
      <c r="D1519" s="551"/>
      <c r="E1519" s="852" t="s">
        <v>47</v>
      </c>
      <c r="F1519" s="551"/>
      <c r="G1519" s="853" t="s">
        <v>432</v>
      </c>
      <c r="H1519" s="854" t="s">
        <v>283</v>
      </c>
      <c r="I1519" s="854"/>
      <c r="J1519" s="281">
        <v>410</v>
      </c>
      <c r="K1519" s="216"/>
      <c r="L1519" s="216"/>
      <c r="M1519" s="216"/>
      <c r="N1519" s="245"/>
      <c r="O1519" s="216" t="s">
        <v>2404</v>
      </c>
      <c r="P1519" s="402" t="s">
        <v>1828</v>
      </c>
      <c r="Q1519" s="353" t="s">
        <v>153</v>
      </c>
      <c r="R1519" s="1140" t="s">
        <v>2403</v>
      </c>
      <c r="S1519" s="279">
        <v>23571</v>
      </c>
      <c r="T1519" s="250"/>
      <c r="U1519" s="251" t="s">
        <v>54</v>
      </c>
      <c r="V1519" s="197" t="s">
        <v>5512</v>
      </c>
      <c r="W1519" s="280" t="s">
        <v>384</v>
      </c>
      <c r="X1519" s="250" t="s">
        <v>5135</v>
      </c>
      <c r="Y1519" s="288" t="s">
        <v>5513</v>
      </c>
      <c r="Z1519" s="246">
        <v>45272</v>
      </c>
      <c r="AA1519" s="252"/>
      <c r="AB1519" s="281"/>
      <c r="AC1519" s="223"/>
      <c r="AD1519" s="224"/>
      <c r="AE1519" s="494"/>
      <c r="AF1519" s="494"/>
      <c r="AG1519" s="241"/>
      <c r="AH1519" s="283"/>
      <c r="AI1519" s="296"/>
      <c r="AJ1519" s="317" t="s">
        <v>47</v>
      </c>
      <c r="AK1519" s="859">
        <v>2</v>
      </c>
      <c r="AL1519" s="825" t="s">
        <v>926</v>
      </c>
      <c r="AM1519" s="175" t="s">
        <v>492</v>
      </c>
      <c r="AN1519" s="157"/>
      <c r="AO1519" s="860"/>
      <c r="AP1519" s="115"/>
      <c r="AQ1519" s="115"/>
      <c r="AR1519" s="115"/>
      <c r="AS1519" s="115"/>
      <c r="AT1519" s="115"/>
    </row>
    <row r="1520" spans="1:47" s="827" customFormat="1" ht="39" customHeight="1" x14ac:dyDescent="0.25">
      <c r="A1520" s="1468">
        <v>1519</v>
      </c>
      <c r="B1520" s="117"/>
      <c r="C1520" s="324"/>
      <c r="D1520" s="664"/>
      <c r="E1520" s="664"/>
      <c r="F1520" s="664"/>
      <c r="G1520" s="227"/>
      <c r="H1520" s="228"/>
      <c r="I1520" s="228"/>
      <c r="J1520" s="229"/>
      <c r="K1520" s="227"/>
      <c r="L1520" s="229"/>
      <c r="M1520" s="229"/>
      <c r="N1520" s="229"/>
      <c r="O1520" s="309"/>
      <c r="P1520" s="230" t="s">
        <v>434</v>
      </c>
      <c r="Q1520" s="664"/>
      <c r="R1520" s="324"/>
      <c r="S1520" s="279"/>
      <c r="T1520" s="232"/>
      <c r="U1520" s="250"/>
      <c r="V1520" s="232"/>
      <c r="W1520" s="232"/>
      <c r="X1520" s="232"/>
      <c r="Y1520" s="232"/>
      <c r="Z1520" s="233"/>
      <c r="AA1520" s="252"/>
      <c r="AB1520" s="235"/>
      <c r="AC1520" s="236"/>
      <c r="AD1520" s="235"/>
      <c r="AE1520" s="494"/>
      <c r="AF1520" s="494"/>
      <c r="AG1520" s="664"/>
      <c r="AH1520" s="238"/>
      <c r="AI1520" s="239"/>
      <c r="AJ1520" s="576"/>
      <c r="AK1520" s="664"/>
      <c r="AL1520" s="113"/>
      <c r="AM1520" s="113"/>
      <c r="AN1520" s="163"/>
      <c r="AO1520" s="114"/>
      <c r="AP1520" s="115"/>
      <c r="AQ1520" s="115"/>
      <c r="AR1520" s="115"/>
      <c r="AS1520" s="115"/>
      <c r="AT1520" s="116"/>
    </row>
    <row r="1521" spans="1:46" ht="39" customHeight="1" x14ac:dyDescent="0.25">
      <c r="A1521" s="1468">
        <v>1520</v>
      </c>
      <c r="B1521" s="128">
        <v>5</v>
      </c>
      <c r="C1521" s="931" t="s">
        <v>367</v>
      </c>
      <c r="D1521" s="709"/>
      <c r="E1521" s="709" t="s">
        <v>47</v>
      </c>
      <c r="F1521" s="709"/>
      <c r="G1521" s="847" t="s">
        <v>435</v>
      </c>
      <c r="H1521" s="479" t="s">
        <v>132</v>
      </c>
      <c r="I1521" s="479"/>
      <c r="J1521" s="256">
        <v>403</v>
      </c>
      <c r="K1521" s="216" t="s">
        <v>158</v>
      </c>
      <c r="L1521" s="301" t="s">
        <v>1107</v>
      </c>
      <c r="M1521" s="281" t="s">
        <v>1137</v>
      </c>
      <c r="N1521" s="347"/>
      <c r="O1521" s="216" t="s">
        <v>1138</v>
      </c>
      <c r="P1521" s="347"/>
      <c r="Q1521" s="344" t="s">
        <v>1042</v>
      </c>
      <c r="R1521" s="982" t="s">
        <v>1139</v>
      </c>
      <c r="S1521" s="279">
        <v>37178</v>
      </c>
      <c r="T1521" s="289"/>
      <c r="U1521" s="250"/>
      <c r="V1521" s="299"/>
      <c r="W1521" s="197" t="s">
        <v>5031</v>
      </c>
      <c r="X1521" s="197"/>
      <c r="Y1521" s="250"/>
      <c r="Z1521" s="289"/>
      <c r="AA1521" s="252"/>
      <c r="AB1521" s="361" t="s">
        <v>115</v>
      </c>
      <c r="AC1521" s="223" t="s">
        <v>946</v>
      </c>
      <c r="AD1521" s="281" t="s">
        <v>1111</v>
      </c>
      <c r="AE1521" s="494">
        <v>44476</v>
      </c>
      <c r="AF1521" s="494">
        <v>45206</v>
      </c>
      <c r="AG1521" s="241" t="s">
        <v>61</v>
      </c>
      <c r="AH1521" s="283"/>
      <c r="AI1521" s="547"/>
      <c r="AJ1521" s="348" t="s">
        <v>560</v>
      </c>
      <c r="AK1521" s="491">
        <v>3</v>
      </c>
      <c r="AL1521" s="826" t="s">
        <v>926</v>
      </c>
      <c r="AM1521" s="175" t="s">
        <v>492</v>
      </c>
      <c r="AN1521" s="138"/>
      <c r="AO1521" s="170"/>
      <c r="AP1521" s="115"/>
      <c r="AQ1521" s="115"/>
      <c r="AR1521" s="115"/>
      <c r="AS1521" s="115"/>
      <c r="AT1521" s="115"/>
    </row>
    <row r="1522" spans="1:46" ht="39" customHeight="1" x14ac:dyDescent="0.25">
      <c r="A1522" s="1468">
        <v>1521</v>
      </c>
      <c r="B1522" s="117">
        <v>3</v>
      </c>
      <c r="C1522" s="528" t="s">
        <v>436</v>
      </c>
      <c r="D1522" s="282"/>
      <c r="E1522" s="282"/>
      <c r="F1522" s="282"/>
      <c r="G1522" s="447" t="s">
        <v>437</v>
      </c>
      <c r="H1522" s="262" t="s">
        <v>85</v>
      </c>
      <c r="I1522" s="357"/>
      <c r="J1522" s="245" t="s">
        <v>556</v>
      </c>
      <c r="K1522" s="197"/>
      <c r="L1522" s="256"/>
      <c r="M1522" s="256"/>
      <c r="N1522" s="245"/>
      <c r="O1522" s="216" t="s">
        <v>2651</v>
      </c>
      <c r="P1522" s="555"/>
      <c r="Q1522" s="485" t="s">
        <v>293</v>
      </c>
      <c r="R1522" s="982" t="s">
        <v>2650</v>
      </c>
      <c r="S1522" s="279">
        <v>30785</v>
      </c>
      <c r="T1522" s="250"/>
      <c r="U1522" s="251" t="s">
        <v>54</v>
      </c>
      <c r="V1522" s="250" t="s">
        <v>2793</v>
      </c>
      <c r="W1522" s="197" t="s">
        <v>56</v>
      </c>
      <c r="X1522" s="197" t="s">
        <v>57</v>
      </c>
      <c r="Y1522" s="197" t="s">
        <v>2609</v>
      </c>
      <c r="Z1522" s="246">
        <v>45141</v>
      </c>
      <c r="AA1522" s="252"/>
      <c r="AB1522" s="281"/>
      <c r="AC1522" s="281"/>
      <c r="AD1522" s="281"/>
      <c r="AE1522" s="252"/>
      <c r="AF1522" s="252"/>
      <c r="AG1522" s="282"/>
      <c r="AH1522" s="282"/>
      <c r="AI1522" s="296"/>
      <c r="AJ1522" s="348" t="s">
        <v>560</v>
      </c>
      <c r="AK1522" s="241">
        <v>4</v>
      </c>
      <c r="AL1522" s="122" t="s">
        <v>926</v>
      </c>
      <c r="AM1522" s="175" t="s">
        <v>492</v>
      </c>
      <c r="AN1522" s="173"/>
      <c r="AO1522" s="151"/>
      <c r="AP1522" s="115"/>
      <c r="AQ1522" s="115"/>
      <c r="AR1522" s="115"/>
      <c r="AS1522" s="115"/>
      <c r="AT1522" s="115"/>
    </row>
    <row r="1523" spans="1:46" ht="39" customHeight="1" x14ac:dyDescent="0.25">
      <c r="A1523" s="1468">
        <v>1522</v>
      </c>
      <c r="B1523" s="117">
        <v>3</v>
      </c>
      <c r="C1523" s="356" t="s">
        <v>438</v>
      </c>
      <c r="D1523" s="282" t="s">
        <v>134</v>
      </c>
      <c r="E1523" s="282"/>
      <c r="F1523" s="282"/>
      <c r="G1523" s="447" t="s">
        <v>291</v>
      </c>
      <c r="H1523" s="262" t="s">
        <v>87</v>
      </c>
      <c r="I1523" s="357"/>
      <c r="J1523" s="245" t="s">
        <v>561</v>
      </c>
      <c r="K1523" s="595"/>
      <c r="L1523" s="281" t="s">
        <v>1685</v>
      </c>
      <c r="M1523" s="281" t="s">
        <v>2783</v>
      </c>
      <c r="N1523" s="366"/>
      <c r="O1523" s="1431" t="s">
        <v>2989</v>
      </c>
      <c r="P1523" s="402"/>
      <c r="Q1523" s="380" t="s">
        <v>87</v>
      </c>
      <c r="R1523" s="427" t="s">
        <v>1698</v>
      </c>
      <c r="S1523" s="279"/>
      <c r="T1523" s="197"/>
      <c r="U1523" s="251" t="s">
        <v>468</v>
      </c>
      <c r="V1523" s="385" t="s">
        <v>5948</v>
      </c>
      <c r="W1523" s="197" t="s">
        <v>5930</v>
      </c>
      <c r="X1523" s="1510" t="s">
        <v>2030</v>
      </c>
      <c r="Y1523" s="981" t="s">
        <v>5952</v>
      </c>
      <c r="Z1523" s="246">
        <v>45309</v>
      </c>
      <c r="AA1523" s="252"/>
      <c r="AB1523" s="288" t="s">
        <v>4533</v>
      </c>
      <c r="AC1523" s="223" t="s">
        <v>946</v>
      </c>
      <c r="AD1523" s="376"/>
      <c r="AE1523" s="494">
        <v>45111</v>
      </c>
      <c r="AF1523" s="494">
        <v>45476</v>
      </c>
      <c r="AG1523" s="241"/>
      <c r="AH1523" s="283"/>
      <c r="AI1523" s="254" t="s">
        <v>1351</v>
      </c>
      <c r="AJ1523" s="303" t="s">
        <v>136</v>
      </c>
      <c r="AK1523" s="241">
        <v>4</v>
      </c>
      <c r="AL1523" s="122" t="s">
        <v>926</v>
      </c>
      <c r="AM1523" s="175" t="s">
        <v>492</v>
      </c>
      <c r="AN1523" s="179" t="s">
        <v>5766</v>
      </c>
      <c r="AO1523" s="151"/>
      <c r="AP1523" s="115"/>
      <c r="AQ1523" s="115"/>
      <c r="AR1523" s="115"/>
      <c r="AS1523" s="115"/>
      <c r="AT1523" s="115"/>
    </row>
    <row r="1524" spans="1:46" ht="39" customHeight="1" x14ac:dyDescent="0.25">
      <c r="A1524" s="1468">
        <v>1523</v>
      </c>
      <c r="B1524" s="159">
        <v>3</v>
      </c>
      <c r="C1524" s="549" t="s">
        <v>438</v>
      </c>
      <c r="D1524" s="481" t="s">
        <v>134</v>
      </c>
      <c r="E1524" s="481"/>
      <c r="F1524" s="481"/>
      <c r="G1524" s="527" t="s">
        <v>291</v>
      </c>
      <c r="H1524" s="262" t="s">
        <v>87</v>
      </c>
      <c r="I1524" s="473"/>
      <c r="J1524" s="245" t="s">
        <v>561</v>
      </c>
      <c r="K1524" s="216"/>
      <c r="L1524" s="256" t="s">
        <v>3969</v>
      </c>
      <c r="M1524" s="256" t="s">
        <v>3969</v>
      </c>
      <c r="N1524" s="366"/>
      <c r="O1524" s="216" t="s">
        <v>2647</v>
      </c>
      <c r="P1524" s="484" t="s">
        <v>1828</v>
      </c>
      <c r="Q1524" s="344" t="s">
        <v>85</v>
      </c>
      <c r="R1524" s="996" t="s">
        <v>2646</v>
      </c>
      <c r="S1524" s="279">
        <v>27120</v>
      </c>
      <c r="T1524" s="306"/>
      <c r="U1524" s="251" t="s">
        <v>54</v>
      </c>
      <c r="V1524" s="250" t="s">
        <v>2793</v>
      </c>
      <c r="W1524" s="197" t="s">
        <v>56</v>
      </c>
      <c r="X1524" s="197" t="s">
        <v>57</v>
      </c>
      <c r="Y1524" s="197" t="s">
        <v>2609</v>
      </c>
      <c r="Z1524" s="246">
        <v>45139</v>
      </c>
      <c r="AA1524" s="252"/>
      <c r="AB1524" s="301"/>
      <c r="AC1524" s="223"/>
      <c r="AD1524" s="301"/>
      <c r="AE1524" s="306"/>
      <c r="AF1524" s="306"/>
      <c r="AG1524" s="305"/>
      <c r="AH1524" s="301"/>
      <c r="AI1524" s="254"/>
      <c r="AJ1524" s="348" t="s">
        <v>560</v>
      </c>
      <c r="AK1524" s="471">
        <v>4</v>
      </c>
      <c r="AL1524" s="749" t="s">
        <v>926</v>
      </c>
      <c r="AM1524" s="175" t="s">
        <v>492</v>
      </c>
      <c r="AN1524" s="110" t="s">
        <v>5766</v>
      </c>
      <c r="AO1524" s="167"/>
      <c r="AP1524" s="115"/>
      <c r="AQ1524" s="115"/>
      <c r="AR1524" s="115"/>
      <c r="AS1524" s="115"/>
      <c r="AT1524" s="115"/>
    </row>
    <row r="1525" spans="1:46" s="827" customFormat="1" ht="39" customHeight="1" x14ac:dyDescent="0.25">
      <c r="A1525" s="1468">
        <v>1524</v>
      </c>
      <c r="B1525" s="117"/>
      <c r="C1525" s="324"/>
      <c r="D1525" s="664"/>
      <c r="E1525" s="664"/>
      <c r="F1525" s="664"/>
      <c r="G1525" s="227"/>
      <c r="H1525" s="228"/>
      <c r="I1525" s="228"/>
      <c r="J1525" s="229"/>
      <c r="K1525" s="227"/>
      <c r="L1525" s="229"/>
      <c r="M1525" s="229"/>
      <c r="N1525" s="229"/>
      <c r="O1525" s="309"/>
      <c r="P1525" s="230" t="s">
        <v>439</v>
      </c>
      <c r="Q1525" s="664"/>
      <c r="R1525" s="324"/>
      <c r="S1525" s="279"/>
      <c r="T1525" s="232"/>
      <c r="U1525" s="250"/>
      <c r="V1525" s="232"/>
      <c r="W1525" s="232"/>
      <c r="X1525" s="232"/>
      <c r="Y1525" s="232"/>
      <c r="Z1525" s="233"/>
      <c r="AA1525" s="252"/>
      <c r="AB1525" s="235"/>
      <c r="AC1525" s="236"/>
      <c r="AD1525" s="235"/>
      <c r="AE1525" s="494"/>
      <c r="AF1525" s="494"/>
      <c r="AG1525" s="664"/>
      <c r="AH1525" s="238"/>
      <c r="AI1525" s="239"/>
      <c r="AJ1525" s="576"/>
      <c r="AK1525" s="664"/>
      <c r="AL1525" s="113"/>
      <c r="AM1525" s="113"/>
      <c r="AN1525" s="163"/>
      <c r="AO1525" s="114"/>
      <c r="AP1525" s="115"/>
      <c r="AQ1525" s="115"/>
      <c r="AR1525" s="115"/>
      <c r="AS1525" s="115"/>
      <c r="AT1525" s="116"/>
    </row>
    <row r="1526" spans="1:46" ht="39" customHeight="1" x14ac:dyDescent="0.25">
      <c r="A1526" s="1468">
        <v>1525</v>
      </c>
      <c r="B1526" s="158">
        <v>5</v>
      </c>
      <c r="C1526" s="931" t="s">
        <v>440</v>
      </c>
      <c r="D1526" s="709"/>
      <c r="E1526" s="709" t="s">
        <v>47</v>
      </c>
      <c r="F1526" s="709"/>
      <c r="G1526" s="847" t="s">
        <v>441</v>
      </c>
      <c r="H1526" s="863" t="s">
        <v>132</v>
      </c>
      <c r="I1526" s="863"/>
      <c r="J1526" s="256">
        <v>403</v>
      </c>
      <c r="K1526" s="216"/>
      <c r="L1526" s="245"/>
      <c r="M1526" s="256"/>
      <c r="N1526" s="245"/>
      <c r="O1526" s="216"/>
      <c r="P1526" s="555"/>
      <c r="Q1526" s="485"/>
      <c r="R1526" s="982" t="s">
        <v>66</v>
      </c>
      <c r="S1526" s="279"/>
      <c r="T1526" s="197"/>
      <c r="U1526" s="250"/>
      <c r="V1526" s="197"/>
      <c r="W1526" s="299"/>
      <c r="X1526" s="197"/>
      <c r="Y1526" s="197"/>
      <c r="Z1526" s="252"/>
      <c r="AA1526" s="246"/>
      <c r="AB1526" s="241"/>
      <c r="AC1526" s="223"/>
      <c r="AD1526" s="257"/>
      <c r="AE1526" s="246"/>
      <c r="AF1526" s="246"/>
      <c r="AG1526" s="305"/>
      <c r="AH1526" s="253"/>
      <c r="AI1526" s="284"/>
      <c r="AJ1526" s="348"/>
      <c r="AK1526" s="491">
        <v>3</v>
      </c>
      <c r="AL1526" s="826" t="s">
        <v>926</v>
      </c>
      <c r="AM1526" s="175" t="s">
        <v>492</v>
      </c>
      <c r="AN1526" s="138"/>
      <c r="AO1526" s="170"/>
      <c r="AP1526" s="115"/>
      <c r="AQ1526" s="115"/>
      <c r="AR1526" s="115"/>
      <c r="AS1526" s="115"/>
      <c r="AT1526" s="115"/>
    </row>
    <row r="1527" spans="1:46" ht="39" customHeight="1" x14ac:dyDescent="0.25">
      <c r="A1527" s="1468">
        <v>1526</v>
      </c>
      <c r="B1527" s="117">
        <v>3</v>
      </c>
      <c r="C1527" s="528" t="s">
        <v>931</v>
      </c>
      <c r="D1527" s="282"/>
      <c r="E1527" s="282"/>
      <c r="F1527" s="282"/>
      <c r="G1527" s="447" t="s">
        <v>442</v>
      </c>
      <c r="H1527" s="262" t="s">
        <v>85</v>
      </c>
      <c r="I1527" s="357"/>
      <c r="J1527" s="245" t="s">
        <v>556</v>
      </c>
      <c r="K1527" s="216" t="s">
        <v>158</v>
      </c>
      <c r="L1527" s="245" t="s">
        <v>1140</v>
      </c>
      <c r="M1527" s="256" t="s">
        <v>1141</v>
      </c>
      <c r="N1527" s="245"/>
      <c r="O1527" s="216" t="s">
        <v>1142</v>
      </c>
      <c r="P1527" s="555"/>
      <c r="Q1527" s="485" t="s">
        <v>570</v>
      </c>
      <c r="R1527" s="982" t="s">
        <v>1143</v>
      </c>
      <c r="S1527" s="279">
        <v>36647</v>
      </c>
      <c r="T1527" s="197"/>
      <c r="U1527" s="197"/>
      <c r="V1527" s="197"/>
      <c r="W1527" s="197"/>
      <c r="X1527" s="197"/>
      <c r="Y1527" s="981"/>
      <c r="Z1527" s="252"/>
      <c r="AA1527" s="246"/>
      <c r="AB1527" s="241"/>
      <c r="AC1527" s="223" t="s">
        <v>946</v>
      </c>
      <c r="AD1527" s="257"/>
      <c r="AE1527" s="246">
        <v>44378</v>
      </c>
      <c r="AF1527" s="246"/>
      <c r="AG1527" s="305" t="s">
        <v>61</v>
      </c>
      <c r="AH1527" s="253"/>
      <c r="AI1527" s="284"/>
      <c r="AJ1527" s="348" t="s">
        <v>560</v>
      </c>
      <c r="AK1527" s="241">
        <v>4</v>
      </c>
      <c r="AL1527" s="122" t="s">
        <v>926</v>
      </c>
      <c r="AM1527" s="175" t="s">
        <v>492</v>
      </c>
      <c r="AN1527" s="183"/>
      <c r="AO1527" s="151"/>
      <c r="AP1527" s="115"/>
      <c r="AQ1527" s="115"/>
      <c r="AR1527" s="115"/>
      <c r="AS1527" s="115"/>
      <c r="AT1527" s="115"/>
    </row>
    <row r="1528" spans="1:46" ht="39" customHeight="1" x14ac:dyDescent="0.25">
      <c r="A1528" s="1468">
        <v>1527</v>
      </c>
      <c r="B1528" s="159">
        <v>2</v>
      </c>
      <c r="C1528" s="504" t="s">
        <v>443</v>
      </c>
      <c r="D1528" s="481"/>
      <c r="E1528" s="481"/>
      <c r="F1528" s="481"/>
      <c r="G1528" s="527" t="s">
        <v>354</v>
      </c>
      <c r="H1528" s="262" t="s">
        <v>87</v>
      </c>
      <c r="I1528" s="473"/>
      <c r="J1528" s="245" t="s">
        <v>561</v>
      </c>
      <c r="K1528" s="257"/>
      <c r="L1528" s="299"/>
      <c r="M1528" s="299"/>
      <c r="N1528" s="299"/>
      <c r="O1528" s="216" t="s">
        <v>2306</v>
      </c>
      <c r="P1528" s="555"/>
      <c r="Q1528" s="485" t="s">
        <v>567</v>
      </c>
      <c r="R1528" s="982" t="s">
        <v>2305</v>
      </c>
      <c r="S1528" s="279">
        <v>28388</v>
      </c>
      <c r="T1528" s="289"/>
      <c r="U1528" s="250" t="s">
        <v>54</v>
      </c>
      <c r="V1528" s="197"/>
      <c r="W1528" s="197" t="s">
        <v>56</v>
      </c>
      <c r="X1528" s="197"/>
      <c r="Y1528" s="197"/>
      <c r="Z1528" s="246"/>
      <c r="AA1528" s="289"/>
      <c r="AB1528" s="299"/>
      <c r="AC1528" s="223"/>
      <c r="AD1528" s="299"/>
      <c r="AE1528" s="289"/>
      <c r="AF1528" s="289"/>
      <c r="AG1528" s="299"/>
      <c r="AH1528" s="299"/>
      <c r="AI1528" s="223"/>
      <c r="AJ1528" s="348" t="s">
        <v>560</v>
      </c>
      <c r="AK1528" s="471">
        <v>4</v>
      </c>
      <c r="AL1528" s="749" t="s">
        <v>926</v>
      </c>
      <c r="AM1528" s="175" t="s">
        <v>492</v>
      </c>
      <c r="AN1528" s="151" t="s">
        <v>5764</v>
      </c>
      <c r="AO1528" s="167"/>
      <c r="AP1528" s="115"/>
      <c r="AQ1528" s="115"/>
      <c r="AR1528" s="115"/>
      <c r="AS1528" s="115"/>
      <c r="AT1528" s="115"/>
    </row>
    <row r="1529" spans="1:46" s="827" customFormat="1" ht="39" customHeight="1" x14ac:dyDescent="0.25">
      <c r="A1529" s="1468">
        <v>1528</v>
      </c>
      <c r="B1529" s="117"/>
      <c r="C1529" s="324"/>
      <c r="D1529" s="664"/>
      <c r="E1529" s="664"/>
      <c r="F1529" s="664"/>
      <c r="G1529" s="227"/>
      <c r="H1529" s="228"/>
      <c r="I1529" s="228"/>
      <c r="J1529" s="229"/>
      <c r="K1529" s="227"/>
      <c r="L1529" s="229"/>
      <c r="M1529" s="229"/>
      <c r="N1529" s="229"/>
      <c r="O1529" s="309"/>
      <c r="P1529" s="230" t="s">
        <v>444</v>
      </c>
      <c r="Q1529" s="664"/>
      <c r="R1529" s="324"/>
      <c r="S1529" s="279"/>
      <c r="T1529" s="232"/>
      <c r="U1529" s="250"/>
      <c r="V1529" s="232"/>
      <c r="W1529" s="232"/>
      <c r="X1529" s="232"/>
      <c r="Y1529" s="232"/>
      <c r="Z1529" s="233"/>
      <c r="AA1529" s="252"/>
      <c r="AB1529" s="235"/>
      <c r="AC1529" s="236"/>
      <c r="AD1529" s="235"/>
      <c r="AE1529" s="494"/>
      <c r="AF1529" s="494"/>
      <c r="AG1529" s="664"/>
      <c r="AH1529" s="238"/>
      <c r="AI1529" s="239"/>
      <c r="AJ1529" s="576"/>
      <c r="AK1529" s="664"/>
      <c r="AL1529" s="113"/>
      <c r="AM1529" s="113"/>
      <c r="AN1529" s="163"/>
      <c r="AO1529" s="114"/>
      <c r="AP1529" s="115"/>
      <c r="AQ1529" s="115"/>
      <c r="AR1529" s="115"/>
      <c r="AS1529" s="115"/>
      <c r="AT1529" s="116"/>
    </row>
    <row r="1530" spans="1:46" ht="39" customHeight="1" x14ac:dyDescent="0.25">
      <c r="A1530" s="1468">
        <v>1529</v>
      </c>
      <c r="B1530" s="158">
        <v>5</v>
      </c>
      <c r="C1530" s="934" t="s">
        <v>367</v>
      </c>
      <c r="D1530" s="865"/>
      <c r="E1530" s="498" t="s">
        <v>47</v>
      </c>
      <c r="F1530" s="498"/>
      <c r="G1530" s="499" t="s">
        <v>445</v>
      </c>
      <c r="H1530" s="500" t="s">
        <v>132</v>
      </c>
      <c r="I1530" s="479"/>
      <c r="J1530" s="256">
        <v>403</v>
      </c>
      <c r="K1530" s="277"/>
      <c r="L1530" s="397"/>
      <c r="M1530" s="441"/>
      <c r="N1530" s="399"/>
      <c r="O1530" s="216" t="s">
        <v>2116</v>
      </c>
      <c r="P1530" s="555"/>
      <c r="Q1530" s="298" t="s">
        <v>132</v>
      </c>
      <c r="R1530" s="982" t="s">
        <v>5414</v>
      </c>
      <c r="S1530" s="279">
        <v>36869</v>
      </c>
      <c r="T1530" s="399"/>
      <c r="U1530" s="250"/>
      <c r="V1530" s="845"/>
      <c r="W1530" s="197"/>
      <c r="X1530" s="197"/>
      <c r="Y1530" s="412"/>
      <c r="Z1530" s="399"/>
      <c r="AA1530" s="252"/>
      <c r="AB1530" s="441"/>
      <c r="AC1530" s="488"/>
      <c r="AD1530" s="849"/>
      <c r="AE1530" s="494"/>
      <c r="AF1530" s="494"/>
      <c r="AG1530" s="476"/>
      <c r="AH1530" s="489"/>
      <c r="AI1530" s="523"/>
      <c r="AJ1530" s="379" t="s">
        <v>560</v>
      </c>
      <c r="AK1530" s="491">
        <v>3</v>
      </c>
      <c r="AL1530" s="826" t="s">
        <v>926</v>
      </c>
      <c r="AM1530" s="175" t="s">
        <v>492</v>
      </c>
      <c r="AN1530" s="483" t="s">
        <v>5791</v>
      </c>
      <c r="AO1530" s="170"/>
      <c r="AP1530" s="115"/>
      <c r="AQ1530" s="115"/>
      <c r="AR1530" s="115"/>
      <c r="AS1530" s="115"/>
      <c r="AT1530" s="115"/>
    </row>
    <row r="1531" spans="1:46" ht="39" customHeight="1" x14ac:dyDescent="0.25">
      <c r="A1531" s="1468">
        <v>1530</v>
      </c>
      <c r="B1531" s="117">
        <v>2</v>
      </c>
      <c r="C1531" s="501" t="s">
        <v>353</v>
      </c>
      <c r="D1531" s="282"/>
      <c r="E1531" s="282"/>
      <c r="F1531" s="282"/>
      <c r="G1531" s="447" t="s">
        <v>354</v>
      </c>
      <c r="H1531" s="262" t="s">
        <v>87</v>
      </c>
      <c r="I1531" s="357"/>
      <c r="J1531" s="245" t="s">
        <v>561</v>
      </c>
      <c r="K1531" s="305"/>
      <c r="L1531" s="281" t="s">
        <v>4055</v>
      </c>
      <c r="M1531" s="281" t="s">
        <v>4055</v>
      </c>
      <c r="N1531" s="366"/>
      <c r="O1531" s="1457" t="s">
        <v>4597</v>
      </c>
      <c r="P1531" s="325" t="s">
        <v>1828</v>
      </c>
      <c r="Q1531" s="344" t="s">
        <v>567</v>
      </c>
      <c r="R1531" s="834" t="s">
        <v>4596</v>
      </c>
      <c r="S1531" s="279">
        <v>27098</v>
      </c>
      <c r="T1531" s="306"/>
      <c r="U1531" s="251" t="s">
        <v>54</v>
      </c>
      <c r="V1531" s="197" t="s">
        <v>5955</v>
      </c>
      <c r="W1531" s="197" t="s">
        <v>70</v>
      </c>
      <c r="X1531" s="197" t="s">
        <v>71</v>
      </c>
      <c r="Y1531" s="949" t="s">
        <v>5964</v>
      </c>
      <c r="Z1531" s="612">
        <v>45312</v>
      </c>
      <c r="AA1531" s="252"/>
      <c r="AB1531" s="305"/>
      <c r="AC1531" s="223"/>
      <c r="AD1531" s="306"/>
      <c r="AE1531" s="494"/>
      <c r="AF1531" s="494"/>
      <c r="AG1531" s="282"/>
      <c r="AH1531" s="282"/>
      <c r="AI1531" s="254"/>
      <c r="AJ1531" s="348" t="s">
        <v>560</v>
      </c>
      <c r="AK1531" s="241">
        <v>4</v>
      </c>
      <c r="AL1531" s="122" t="s">
        <v>926</v>
      </c>
      <c r="AM1531" s="175" t="s">
        <v>492</v>
      </c>
      <c r="AN1531" s="151" t="s">
        <v>5764</v>
      </c>
      <c r="AO1531" s="151"/>
      <c r="AP1531" s="115"/>
      <c r="AQ1531" s="115"/>
      <c r="AR1531" s="115"/>
      <c r="AS1531" s="115"/>
      <c r="AT1531" s="115"/>
    </row>
    <row r="1532" spans="1:46" ht="39" customHeight="1" x14ac:dyDescent="0.25">
      <c r="A1532" s="1468">
        <v>1531</v>
      </c>
      <c r="B1532" s="117">
        <v>2</v>
      </c>
      <c r="C1532" s="501" t="s">
        <v>353</v>
      </c>
      <c r="D1532" s="282"/>
      <c r="E1532" s="282"/>
      <c r="F1532" s="282"/>
      <c r="G1532" s="447" t="s">
        <v>354</v>
      </c>
      <c r="H1532" s="262" t="s">
        <v>87</v>
      </c>
      <c r="I1532" s="357"/>
      <c r="J1532" s="245" t="s">
        <v>561</v>
      </c>
      <c r="K1532" s="216"/>
      <c r="L1532" s="301" t="s">
        <v>3596</v>
      </c>
      <c r="M1532" s="301" t="s">
        <v>3596</v>
      </c>
      <c r="N1532" s="281"/>
      <c r="O1532" s="392" t="s">
        <v>3602</v>
      </c>
      <c r="P1532" s="325" t="s">
        <v>1828</v>
      </c>
      <c r="Q1532" s="298" t="s">
        <v>87</v>
      </c>
      <c r="R1532" s="982" t="s">
        <v>3601</v>
      </c>
      <c r="S1532" s="279">
        <v>26538</v>
      </c>
      <c r="T1532" s="252"/>
      <c r="U1532" s="251" t="s">
        <v>54</v>
      </c>
      <c r="V1532" s="197" t="s">
        <v>3614</v>
      </c>
      <c r="W1532" s="1541" t="s">
        <v>70</v>
      </c>
      <c r="X1532" s="197" t="s">
        <v>2030</v>
      </c>
      <c r="Y1532" s="949" t="s">
        <v>3615</v>
      </c>
      <c r="Z1532" s="246">
        <v>45217</v>
      </c>
      <c r="AA1532" s="252"/>
      <c r="AB1532" s="282"/>
      <c r="AC1532" s="223"/>
      <c r="AD1532" s="282"/>
      <c r="AE1532" s="494"/>
      <c r="AF1532" s="494"/>
      <c r="AG1532" s="282"/>
      <c r="AH1532" s="283"/>
      <c r="AI1532" s="254"/>
      <c r="AJ1532" s="348" t="s">
        <v>560</v>
      </c>
      <c r="AK1532" s="241">
        <v>4</v>
      </c>
      <c r="AL1532" s="122" t="s">
        <v>926</v>
      </c>
      <c r="AM1532" s="175" t="s">
        <v>492</v>
      </c>
      <c r="AN1532" s="151" t="s">
        <v>5764</v>
      </c>
      <c r="AO1532" s="151"/>
      <c r="AP1532" s="115"/>
      <c r="AQ1532" s="115"/>
      <c r="AR1532" s="115"/>
      <c r="AS1532" s="115"/>
      <c r="AT1532" s="115"/>
    </row>
    <row r="1533" spans="1:46" ht="39" customHeight="1" x14ac:dyDescent="0.25">
      <c r="A1533" s="1468">
        <v>1532</v>
      </c>
      <c r="B1533" s="117">
        <v>2</v>
      </c>
      <c r="C1533" s="501" t="s">
        <v>353</v>
      </c>
      <c r="D1533" s="282"/>
      <c r="E1533" s="282"/>
      <c r="F1533" s="282"/>
      <c r="G1533" s="447" t="s">
        <v>354</v>
      </c>
      <c r="H1533" s="262" t="s">
        <v>87</v>
      </c>
      <c r="I1533" s="357"/>
      <c r="J1533" s="245" t="s">
        <v>561</v>
      </c>
      <c r="K1533" s="216"/>
      <c r="L1533" s="281" t="s">
        <v>3567</v>
      </c>
      <c r="M1533" s="281" t="s">
        <v>3567</v>
      </c>
      <c r="N1533" s="366"/>
      <c r="O1533" s="216" t="s">
        <v>3571</v>
      </c>
      <c r="P1533" s="325" t="s">
        <v>1828</v>
      </c>
      <c r="Q1533" s="837" t="s">
        <v>87</v>
      </c>
      <c r="R1533" s="834" t="s">
        <v>3570</v>
      </c>
      <c r="S1533" s="279">
        <v>28171</v>
      </c>
      <c r="T1533" s="306"/>
      <c r="U1533" s="251" t="s">
        <v>54</v>
      </c>
      <c r="V1533" s="280" t="s">
        <v>3959</v>
      </c>
      <c r="W1533" s="280" t="s">
        <v>70</v>
      </c>
      <c r="X1533" s="399" t="s">
        <v>71</v>
      </c>
      <c r="Y1533" s="280" t="s">
        <v>4351</v>
      </c>
      <c r="Z1533" s="486">
        <v>45226</v>
      </c>
      <c r="AA1533" s="252"/>
      <c r="AB1533" s="281"/>
      <c r="AC1533" s="223"/>
      <c r="AD1533" s="306"/>
      <c r="AE1533" s="494"/>
      <c r="AF1533" s="494"/>
      <c r="AG1533" s="301"/>
      <c r="AH1533" s="301"/>
      <c r="AI1533" s="223"/>
      <c r="AJ1533" s="348" t="s">
        <v>560</v>
      </c>
      <c r="AK1533" s="241">
        <v>4</v>
      </c>
      <c r="AL1533" s="122" t="s">
        <v>926</v>
      </c>
      <c r="AM1533" s="175" t="s">
        <v>492</v>
      </c>
      <c r="AN1533" s="151" t="s">
        <v>5764</v>
      </c>
      <c r="AO1533" s="151"/>
      <c r="AP1533" s="115"/>
      <c r="AQ1533" s="115"/>
      <c r="AR1533" s="115"/>
      <c r="AS1533" s="115"/>
      <c r="AT1533" s="115"/>
    </row>
    <row r="1534" spans="1:46" ht="39" customHeight="1" x14ac:dyDescent="0.25">
      <c r="A1534" s="1468">
        <v>1533</v>
      </c>
      <c r="B1534" s="161">
        <v>2</v>
      </c>
      <c r="C1534" s="501" t="s">
        <v>446</v>
      </c>
      <c r="D1534" s="282"/>
      <c r="E1534" s="282"/>
      <c r="F1534" s="282"/>
      <c r="G1534" s="447" t="s">
        <v>354</v>
      </c>
      <c r="H1534" s="262" t="s">
        <v>87</v>
      </c>
      <c r="I1534" s="364"/>
      <c r="J1534" s="245" t="s">
        <v>561</v>
      </c>
      <c r="K1534" s="216"/>
      <c r="L1534" s="301" t="s">
        <v>2014</v>
      </c>
      <c r="M1534" s="301" t="s">
        <v>2014</v>
      </c>
      <c r="N1534" s="366"/>
      <c r="O1534" s="392" t="s">
        <v>3056</v>
      </c>
      <c r="P1534" s="247"/>
      <c r="Q1534" s="594" t="s">
        <v>87</v>
      </c>
      <c r="R1534" s="381" t="s">
        <v>2237</v>
      </c>
      <c r="S1534" s="279"/>
      <c r="T1534" s="289"/>
      <c r="U1534" s="251" t="s">
        <v>54</v>
      </c>
      <c r="V1534" s="250" t="s">
        <v>5808</v>
      </c>
      <c r="W1534" s="197" t="s">
        <v>5807</v>
      </c>
      <c r="X1534" s="401" t="s">
        <v>5135</v>
      </c>
      <c r="Y1534" s="245" t="s">
        <v>5809</v>
      </c>
      <c r="Z1534" s="246">
        <v>45287</v>
      </c>
      <c r="AA1534" s="252"/>
      <c r="AB1534" s="301"/>
      <c r="AC1534" s="223" t="s">
        <v>946</v>
      </c>
      <c r="AD1534" s="301"/>
      <c r="AE1534" s="494"/>
      <c r="AF1534" s="494"/>
      <c r="AG1534" s="385"/>
      <c r="AH1534" s="301"/>
      <c r="AI1534" s="296" t="s">
        <v>1351</v>
      </c>
      <c r="AJ1534" s="303" t="s">
        <v>136</v>
      </c>
      <c r="AK1534" s="241">
        <v>4</v>
      </c>
      <c r="AL1534" s="122" t="s">
        <v>926</v>
      </c>
      <c r="AM1534" s="175" t="s">
        <v>492</v>
      </c>
      <c r="AN1534" s="151" t="s">
        <v>5764</v>
      </c>
      <c r="AO1534" s="151"/>
      <c r="AP1534" s="115"/>
      <c r="AQ1534" s="115"/>
      <c r="AR1534" s="115"/>
      <c r="AS1534" s="115"/>
      <c r="AT1534" s="115"/>
    </row>
    <row r="1535" spans="1:46" ht="39" customHeight="1" x14ac:dyDescent="0.25">
      <c r="A1535" s="1468">
        <v>1534</v>
      </c>
      <c r="B1535" s="117">
        <v>2</v>
      </c>
      <c r="C1535" s="504" t="s">
        <v>360</v>
      </c>
      <c r="D1535" s="481"/>
      <c r="E1535" s="481"/>
      <c r="F1535" s="481"/>
      <c r="G1535" s="472" t="s">
        <v>354</v>
      </c>
      <c r="H1535" s="262" t="s">
        <v>87</v>
      </c>
      <c r="I1535" s="473"/>
      <c r="J1535" s="245" t="s">
        <v>561</v>
      </c>
      <c r="K1535" s="277"/>
      <c r="L1535" s="397" t="s">
        <v>1678</v>
      </c>
      <c r="M1535" s="397" t="s">
        <v>991</v>
      </c>
      <c r="N1535" s="276"/>
      <c r="O1535" s="1457" t="s">
        <v>3088</v>
      </c>
      <c r="P1535" s="889"/>
      <c r="Q1535" s="397" t="s">
        <v>87</v>
      </c>
      <c r="R1535" s="999" t="s">
        <v>1359</v>
      </c>
      <c r="S1535" s="279"/>
      <c r="T1535" s="280"/>
      <c r="U1535" s="251" t="s">
        <v>54</v>
      </c>
      <c r="V1535" s="306" t="s">
        <v>4047</v>
      </c>
      <c r="W1535" s="949" t="s">
        <v>4050</v>
      </c>
      <c r="X1535" s="250" t="s">
        <v>5135</v>
      </c>
      <c r="Y1535" s="288" t="s">
        <v>4051</v>
      </c>
      <c r="Z1535" s="289">
        <v>45231</v>
      </c>
      <c r="AA1535" s="252"/>
      <c r="AB1535" s="250" t="s">
        <v>4397</v>
      </c>
      <c r="AC1535" s="488" t="s">
        <v>209</v>
      </c>
      <c r="AD1535" s="441"/>
      <c r="AE1535" s="494">
        <v>45070</v>
      </c>
      <c r="AF1535" s="494">
        <v>45435</v>
      </c>
      <c r="AG1535" s="476"/>
      <c r="AH1535" s="489"/>
      <c r="AI1535" s="712" t="s">
        <v>1351</v>
      </c>
      <c r="AJ1535" s="507" t="s">
        <v>136</v>
      </c>
      <c r="AK1535" s="471">
        <v>4</v>
      </c>
      <c r="AL1535" s="749" t="s">
        <v>926</v>
      </c>
      <c r="AM1535" s="175" t="s">
        <v>492</v>
      </c>
      <c r="AN1535" s="151" t="s">
        <v>5764</v>
      </c>
      <c r="AO1535" s="167"/>
      <c r="AP1535" s="115"/>
      <c r="AQ1535" s="115"/>
      <c r="AR1535" s="115"/>
      <c r="AS1535" s="115"/>
      <c r="AT1535" s="115"/>
    </row>
    <row r="1536" spans="1:46" s="827" customFormat="1" ht="39" customHeight="1" x14ac:dyDescent="0.25">
      <c r="A1536" s="1468">
        <v>1535</v>
      </c>
      <c r="B1536" s="117"/>
      <c r="C1536" s="324"/>
      <c r="D1536" s="664"/>
      <c r="E1536" s="664"/>
      <c r="F1536" s="664"/>
      <c r="G1536" s="227"/>
      <c r="H1536" s="228"/>
      <c r="I1536" s="228"/>
      <c r="J1536" s="229"/>
      <c r="K1536" s="227"/>
      <c r="L1536" s="229"/>
      <c r="M1536" s="229"/>
      <c r="N1536" s="229"/>
      <c r="O1536" s="309"/>
      <c r="P1536" s="230" t="s">
        <v>447</v>
      </c>
      <c r="Q1536" s="664"/>
      <c r="R1536" s="324"/>
      <c r="S1536" s="279"/>
      <c r="T1536" s="232"/>
      <c r="U1536" s="250"/>
      <c r="V1536" s="232"/>
      <c r="W1536" s="232"/>
      <c r="X1536" s="232"/>
      <c r="Y1536" s="232"/>
      <c r="Z1536" s="233"/>
      <c r="AA1536" s="252"/>
      <c r="AB1536" s="235"/>
      <c r="AC1536" s="236"/>
      <c r="AD1536" s="235"/>
      <c r="AE1536" s="494"/>
      <c r="AF1536" s="494"/>
      <c r="AG1536" s="664"/>
      <c r="AH1536" s="238"/>
      <c r="AI1536" s="239"/>
      <c r="AJ1536" s="576"/>
      <c r="AK1536" s="664"/>
      <c r="AL1536" s="113"/>
      <c r="AM1536" s="113"/>
      <c r="AN1536" s="163"/>
      <c r="AO1536" s="114"/>
      <c r="AP1536" s="115"/>
      <c r="AQ1536" s="115"/>
      <c r="AR1536" s="115"/>
      <c r="AS1536" s="115"/>
      <c r="AT1536" s="116"/>
    </row>
    <row r="1537" spans="1:46" ht="39" customHeight="1" x14ac:dyDescent="0.25">
      <c r="A1537" s="1468">
        <v>1536</v>
      </c>
      <c r="B1537" s="158">
        <v>5</v>
      </c>
      <c r="C1537" s="934" t="s">
        <v>367</v>
      </c>
      <c r="D1537" s="865"/>
      <c r="E1537" s="498" t="s">
        <v>47</v>
      </c>
      <c r="F1537" s="498"/>
      <c r="G1537" s="499" t="s">
        <v>445</v>
      </c>
      <c r="H1537" s="500" t="s">
        <v>132</v>
      </c>
      <c r="I1537" s="479"/>
      <c r="J1537" s="256">
        <v>403</v>
      </c>
      <c r="K1537" s="216" t="s">
        <v>144</v>
      </c>
      <c r="L1537" s="281" t="s">
        <v>1152</v>
      </c>
      <c r="M1537" s="281" t="s">
        <v>1153</v>
      </c>
      <c r="N1537" s="245"/>
      <c r="O1537" s="216" t="s">
        <v>1154</v>
      </c>
      <c r="P1537" s="325"/>
      <c r="Q1537" s="344" t="s">
        <v>132</v>
      </c>
      <c r="R1537" s="982" t="s">
        <v>1155</v>
      </c>
      <c r="S1537" s="279">
        <v>35604</v>
      </c>
      <c r="T1537" s="250" t="s">
        <v>471</v>
      </c>
      <c r="U1537" s="251" t="s">
        <v>2866</v>
      </c>
      <c r="V1537" s="385" t="s">
        <v>5955</v>
      </c>
      <c r="W1537" s="147" t="s">
        <v>2381</v>
      </c>
      <c r="X1537" s="197" t="s">
        <v>2002</v>
      </c>
      <c r="Y1537" s="1127" t="s">
        <v>5956</v>
      </c>
      <c r="Z1537" s="252">
        <v>45310</v>
      </c>
      <c r="AA1537" s="252">
        <v>45312</v>
      </c>
      <c r="AB1537" s="281"/>
      <c r="AC1537" s="223" t="s">
        <v>946</v>
      </c>
      <c r="AD1537" s="281" t="s">
        <v>1156</v>
      </c>
      <c r="AE1537" s="494">
        <v>44146</v>
      </c>
      <c r="AF1537" s="494">
        <v>45240</v>
      </c>
      <c r="AG1537" s="241" t="s">
        <v>61</v>
      </c>
      <c r="AH1537" s="281"/>
      <c r="AI1537" s="307"/>
      <c r="AJ1537" s="348" t="s">
        <v>560</v>
      </c>
      <c r="AK1537" s="491">
        <v>3</v>
      </c>
      <c r="AL1537" s="826" t="s">
        <v>926</v>
      </c>
      <c r="AM1537" s="175" t="s">
        <v>492</v>
      </c>
      <c r="AN1537" s="483" t="s">
        <v>5791</v>
      </c>
      <c r="AO1537" s="170"/>
      <c r="AP1537" s="115"/>
      <c r="AQ1537" s="115"/>
      <c r="AR1537" s="115"/>
      <c r="AS1537" s="115"/>
      <c r="AT1537" s="115"/>
    </row>
    <row r="1538" spans="1:46" ht="39" customHeight="1" x14ac:dyDescent="0.25">
      <c r="A1538" s="1468">
        <v>1537</v>
      </c>
      <c r="B1538" s="117">
        <v>2</v>
      </c>
      <c r="C1538" s="501" t="s">
        <v>353</v>
      </c>
      <c r="D1538" s="282"/>
      <c r="E1538" s="282"/>
      <c r="F1538" s="282"/>
      <c r="G1538" s="447" t="s">
        <v>354</v>
      </c>
      <c r="H1538" s="262" t="s">
        <v>87</v>
      </c>
      <c r="I1538" s="357"/>
      <c r="J1538" s="245" t="s">
        <v>561</v>
      </c>
      <c r="K1538" s="216"/>
      <c r="L1538" s="282" t="s">
        <v>2800</v>
      </c>
      <c r="M1538" s="282" t="s">
        <v>2800</v>
      </c>
      <c r="N1538" s="281"/>
      <c r="O1538" s="216" t="s">
        <v>3464</v>
      </c>
      <c r="P1538" s="325" t="s">
        <v>1828</v>
      </c>
      <c r="Q1538" s="373" t="s">
        <v>293</v>
      </c>
      <c r="R1538" s="982" t="s">
        <v>3463</v>
      </c>
      <c r="S1538" s="279">
        <v>22635</v>
      </c>
      <c r="T1538" s="197"/>
      <c r="U1538" s="251" t="s">
        <v>178</v>
      </c>
      <c r="V1538" s="250" t="s">
        <v>6071</v>
      </c>
      <c r="W1538" s="147" t="s">
        <v>1955</v>
      </c>
      <c r="X1538" s="289" t="s">
        <v>5762</v>
      </c>
      <c r="Y1538" s="981" t="s">
        <v>6097</v>
      </c>
      <c r="Z1538" s="252">
        <v>45317</v>
      </c>
      <c r="AA1538" s="252">
        <v>45331</v>
      </c>
      <c r="AB1538" s="281"/>
      <c r="AC1538" s="223"/>
      <c r="AD1538" s="281"/>
      <c r="AE1538" s="494"/>
      <c r="AF1538" s="494"/>
      <c r="AG1538" s="241"/>
      <c r="AH1538" s="281"/>
      <c r="AI1538" s="296"/>
      <c r="AJ1538" s="348" t="s">
        <v>560</v>
      </c>
      <c r="AK1538" s="241">
        <v>4</v>
      </c>
      <c r="AL1538" s="122" t="s">
        <v>926</v>
      </c>
      <c r="AM1538" s="175" t="s">
        <v>492</v>
      </c>
      <c r="AN1538" s="173" t="s">
        <v>5767</v>
      </c>
      <c r="AO1538" s="151"/>
      <c r="AP1538" s="115"/>
      <c r="AQ1538" s="115"/>
      <c r="AR1538" s="115"/>
      <c r="AS1538" s="115"/>
      <c r="AT1538" s="115"/>
    </row>
    <row r="1539" spans="1:46" ht="39" customHeight="1" x14ac:dyDescent="0.25">
      <c r="A1539" s="1468">
        <v>1538</v>
      </c>
      <c r="B1539" s="117">
        <v>2</v>
      </c>
      <c r="C1539" s="501" t="s">
        <v>353</v>
      </c>
      <c r="D1539" s="282"/>
      <c r="E1539" s="282"/>
      <c r="F1539" s="282"/>
      <c r="G1539" s="447" t="s">
        <v>354</v>
      </c>
      <c r="H1539" s="262" t="s">
        <v>87</v>
      </c>
      <c r="I1539" s="357"/>
      <c r="J1539" s="245" t="s">
        <v>561</v>
      </c>
      <c r="K1539" s="216"/>
      <c r="L1539" s="216"/>
      <c r="M1539" s="216"/>
      <c r="N1539" s="301"/>
      <c r="O1539" s="216"/>
      <c r="P1539" s="325"/>
      <c r="Q1539" s="373"/>
      <c r="R1539" s="982" t="s">
        <v>66</v>
      </c>
      <c r="S1539" s="279"/>
      <c r="T1539" s="197"/>
      <c r="U1539" s="197"/>
      <c r="V1539" s="197"/>
      <c r="W1539" s="250"/>
      <c r="X1539" s="197"/>
      <c r="Y1539" s="197"/>
      <c r="Z1539" s="246"/>
      <c r="AA1539" s="252"/>
      <c r="AB1539" s="301"/>
      <c r="AC1539" s="223"/>
      <c r="AD1539" s="301"/>
      <c r="AE1539" s="494"/>
      <c r="AF1539" s="494"/>
      <c r="AG1539" s="301"/>
      <c r="AH1539" s="301"/>
      <c r="AI1539" s="401"/>
      <c r="AJ1539" s="348"/>
      <c r="AK1539" s="241">
        <v>4</v>
      </c>
      <c r="AL1539" s="122" t="s">
        <v>926</v>
      </c>
      <c r="AM1539" s="175" t="s">
        <v>492</v>
      </c>
      <c r="AN1539" s="151" t="s">
        <v>5764</v>
      </c>
      <c r="AO1539" s="151"/>
      <c r="AP1539" s="115"/>
      <c r="AQ1539" s="115"/>
      <c r="AR1539" s="115"/>
      <c r="AS1539" s="115"/>
      <c r="AT1539" s="115"/>
    </row>
    <row r="1540" spans="1:46" ht="39" customHeight="1" x14ac:dyDescent="0.25">
      <c r="A1540" s="1468">
        <v>1539</v>
      </c>
      <c r="B1540" s="117">
        <v>2</v>
      </c>
      <c r="C1540" s="501" t="s">
        <v>448</v>
      </c>
      <c r="D1540" s="282"/>
      <c r="E1540" s="282"/>
      <c r="F1540" s="282"/>
      <c r="G1540" s="447" t="s">
        <v>354</v>
      </c>
      <c r="H1540" s="262" t="s">
        <v>87</v>
      </c>
      <c r="I1540" s="357"/>
      <c r="J1540" s="245" t="s">
        <v>561</v>
      </c>
      <c r="K1540" s="277"/>
      <c r="L1540" s="397" t="s">
        <v>5411</v>
      </c>
      <c r="M1540" s="397" t="s">
        <v>5411</v>
      </c>
      <c r="N1540" s="276"/>
      <c r="O1540" s="1357" t="s">
        <v>5410</v>
      </c>
      <c r="P1540" s="325" t="s">
        <v>1828</v>
      </c>
      <c r="Q1540" s="373" t="s">
        <v>85</v>
      </c>
      <c r="R1540" s="982" t="s">
        <v>5409</v>
      </c>
      <c r="S1540" s="279">
        <v>27138</v>
      </c>
      <c r="T1540" s="280"/>
      <c r="U1540" s="251" t="s">
        <v>54</v>
      </c>
      <c r="V1540" s="1416" t="s">
        <v>5447</v>
      </c>
      <c r="W1540" s="280" t="s">
        <v>56</v>
      </c>
      <c r="X1540" s="280" t="s">
        <v>57</v>
      </c>
      <c r="Y1540" s="949" t="s">
        <v>4631</v>
      </c>
      <c r="Z1540" s="246">
        <v>45270</v>
      </c>
      <c r="AA1540" s="252"/>
      <c r="AB1540" s="250"/>
      <c r="AC1540" s="488"/>
      <c r="AD1540" s="441"/>
      <c r="AE1540" s="494"/>
      <c r="AF1540" s="494"/>
      <c r="AG1540" s="476"/>
      <c r="AH1540" s="489"/>
      <c r="AI1540" s="712"/>
      <c r="AJ1540" s="348" t="s">
        <v>560</v>
      </c>
      <c r="AK1540" s="241">
        <v>4</v>
      </c>
      <c r="AL1540" s="122" t="s">
        <v>926</v>
      </c>
      <c r="AM1540" s="175" t="s">
        <v>492</v>
      </c>
      <c r="AN1540" s="151" t="s">
        <v>5764</v>
      </c>
      <c r="AO1540" s="151"/>
      <c r="AP1540" s="115"/>
      <c r="AQ1540" s="115"/>
      <c r="AR1540" s="115"/>
      <c r="AS1540" s="115"/>
      <c r="AT1540" s="115"/>
    </row>
    <row r="1541" spans="1:46" ht="39" customHeight="1" x14ac:dyDescent="0.25">
      <c r="A1541" s="1468">
        <v>1540</v>
      </c>
      <c r="B1541" s="117">
        <v>2</v>
      </c>
      <c r="C1541" s="501" t="s">
        <v>446</v>
      </c>
      <c r="D1541" s="282"/>
      <c r="E1541" s="282"/>
      <c r="F1541" s="282"/>
      <c r="G1541" s="447" t="s">
        <v>354</v>
      </c>
      <c r="H1541" s="262" t="s">
        <v>87</v>
      </c>
      <c r="I1541" s="357"/>
      <c r="J1541" s="245" t="s">
        <v>561</v>
      </c>
      <c r="K1541" s="216"/>
      <c r="L1541" s="301" t="s">
        <v>1678</v>
      </c>
      <c r="M1541" s="301" t="s">
        <v>991</v>
      </c>
      <c r="N1541" s="245"/>
      <c r="O1541" s="1357" t="s">
        <v>2982</v>
      </c>
      <c r="P1541" s="294"/>
      <c r="Q1541" s="301" t="s">
        <v>87</v>
      </c>
      <c r="R1541" s="381" t="s">
        <v>1357</v>
      </c>
      <c r="S1541" s="279"/>
      <c r="T1541" s="197"/>
      <c r="U1541" s="251" t="s">
        <v>54</v>
      </c>
      <c r="V1541" s="250"/>
      <c r="W1541" s="250" t="s">
        <v>295</v>
      </c>
      <c r="X1541" s="250"/>
      <c r="Y1541" s="252"/>
      <c r="Z1541" s="252"/>
      <c r="AA1541" s="252"/>
      <c r="AB1541" s="250" t="s">
        <v>4393</v>
      </c>
      <c r="AC1541" s="223" t="s">
        <v>946</v>
      </c>
      <c r="AD1541" s="281"/>
      <c r="AE1541" s="494">
        <v>45070</v>
      </c>
      <c r="AF1541" s="494">
        <v>45435</v>
      </c>
      <c r="AG1541" s="241"/>
      <c r="AH1541" s="283"/>
      <c r="AI1541" s="254" t="s">
        <v>1351</v>
      </c>
      <c r="AJ1541" s="303" t="s">
        <v>136</v>
      </c>
      <c r="AK1541" s="241">
        <v>4</v>
      </c>
      <c r="AL1541" s="122" t="s">
        <v>926</v>
      </c>
      <c r="AM1541" s="175" t="s">
        <v>492</v>
      </c>
      <c r="AN1541" s="151" t="s">
        <v>5764</v>
      </c>
      <c r="AO1541" s="151"/>
      <c r="AP1541" s="115"/>
      <c r="AQ1541" s="115"/>
      <c r="AR1541" s="115"/>
      <c r="AS1541" s="115"/>
      <c r="AT1541" s="115"/>
    </row>
    <row r="1542" spans="1:46" ht="39" customHeight="1" x14ac:dyDescent="0.25">
      <c r="A1542" s="1468">
        <v>1541</v>
      </c>
      <c r="B1542" s="161">
        <v>2</v>
      </c>
      <c r="C1542" s="504" t="s">
        <v>353</v>
      </c>
      <c r="D1542" s="481"/>
      <c r="E1542" s="481" t="s">
        <v>47</v>
      </c>
      <c r="F1542" s="481"/>
      <c r="G1542" s="527" t="s">
        <v>449</v>
      </c>
      <c r="H1542" s="262" t="s">
        <v>87</v>
      </c>
      <c r="I1542" s="492"/>
      <c r="J1542" s="245" t="s">
        <v>561</v>
      </c>
      <c r="K1542" s="216"/>
      <c r="L1542" s="216"/>
      <c r="M1542" s="216"/>
      <c r="N1542" s="216"/>
      <c r="O1542" s="216"/>
      <c r="P1542" s="325"/>
      <c r="Q1542" s="373"/>
      <c r="R1542" s="982" t="s">
        <v>66</v>
      </c>
      <c r="S1542" s="279"/>
      <c r="T1542" s="197"/>
      <c r="U1542" s="197"/>
      <c r="V1542" s="197"/>
      <c r="W1542" s="250"/>
      <c r="X1542" s="197"/>
      <c r="Y1542" s="197"/>
      <c r="Z1542" s="246"/>
      <c r="AA1542" s="252"/>
      <c r="AB1542" s="376"/>
      <c r="AC1542" s="223"/>
      <c r="AD1542" s="281"/>
      <c r="AE1542" s="494"/>
      <c r="AF1542" s="494"/>
      <c r="AG1542" s="282"/>
      <c r="AH1542" s="376"/>
      <c r="AI1542" s="547"/>
      <c r="AJ1542" s="348"/>
      <c r="AK1542" s="471">
        <v>4</v>
      </c>
      <c r="AL1542" s="749" t="s">
        <v>926</v>
      </c>
      <c r="AM1542" s="175" t="s">
        <v>492</v>
      </c>
      <c r="AN1542" s="151" t="s">
        <v>5764</v>
      </c>
      <c r="AO1542" s="167"/>
      <c r="AP1542" s="115"/>
      <c r="AQ1542" s="115"/>
      <c r="AR1542" s="115"/>
      <c r="AS1542" s="115"/>
      <c r="AT1542" s="115"/>
    </row>
    <row r="1543" spans="1:46" s="827" customFormat="1" ht="39" customHeight="1" x14ac:dyDescent="0.25">
      <c r="A1543" s="1468">
        <v>1542</v>
      </c>
      <c r="B1543" s="161"/>
      <c r="C1543" s="723"/>
      <c r="D1543" s="535"/>
      <c r="E1543" s="535"/>
      <c r="F1543" s="535"/>
      <c r="G1543" s="536"/>
      <c r="H1543" s="732"/>
      <c r="I1543" s="732"/>
      <c r="J1543" s="309"/>
      <c r="K1543" s="309"/>
      <c r="L1543" s="309"/>
      <c r="M1543" s="538"/>
      <c r="N1543" s="309"/>
      <c r="O1543" s="309"/>
      <c r="P1543" s="738" t="s">
        <v>450</v>
      </c>
      <c r="Q1543" s="911"/>
      <c r="R1543" s="324"/>
      <c r="S1543" s="279"/>
      <c r="T1543" s="232"/>
      <c r="U1543" s="197"/>
      <c r="V1543" s="232"/>
      <c r="W1543" s="232"/>
      <c r="X1543" s="232"/>
      <c r="Y1543" s="232"/>
      <c r="Z1543" s="233"/>
      <c r="AA1543" s="252"/>
      <c r="AB1543" s="745"/>
      <c r="AC1543" s="236"/>
      <c r="AD1543" s="538"/>
      <c r="AE1543" s="494"/>
      <c r="AF1543" s="494"/>
      <c r="AG1543" s="535"/>
      <c r="AH1543" s="745"/>
      <c r="AI1543" s="747"/>
      <c r="AJ1543" s="742"/>
      <c r="AK1543" s="742"/>
      <c r="AL1543" s="113"/>
      <c r="AM1543" s="113"/>
      <c r="AN1543" s="156"/>
      <c r="AO1543" s="114"/>
      <c r="AP1543" s="115"/>
      <c r="AQ1543" s="115"/>
      <c r="AR1543" s="115"/>
      <c r="AS1543" s="115"/>
      <c r="AT1543" s="115"/>
    </row>
    <row r="1544" spans="1:46" ht="39" customHeight="1" x14ac:dyDescent="0.25">
      <c r="A1544" s="1468">
        <v>1543</v>
      </c>
      <c r="B1544" s="158">
        <v>5</v>
      </c>
      <c r="C1544" s="934" t="s">
        <v>367</v>
      </c>
      <c r="D1544" s="865"/>
      <c r="E1544" s="498"/>
      <c r="F1544" s="498"/>
      <c r="G1544" s="499" t="s">
        <v>451</v>
      </c>
      <c r="H1544" s="500" t="s">
        <v>132</v>
      </c>
      <c r="I1544" s="480"/>
      <c r="J1544" s="256">
        <v>403</v>
      </c>
      <c r="K1544" s="216"/>
      <c r="L1544" s="216"/>
      <c r="M1544" s="281"/>
      <c r="N1544" s="216"/>
      <c r="O1544" s="216" t="s">
        <v>2298</v>
      </c>
      <c r="P1544" s="555"/>
      <c r="Q1544" s="373" t="s">
        <v>570</v>
      </c>
      <c r="R1544" s="982" t="s">
        <v>2297</v>
      </c>
      <c r="S1544" s="279">
        <v>37176</v>
      </c>
      <c r="T1544" s="197"/>
      <c r="U1544" s="250" t="s">
        <v>54</v>
      </c>
      <c r="V1544" s="306"/>
      <c r="W1544" s="197" t="s">
        <v>56</v>
      </c>
      <c r="X1544" s="197"/>
      <c r="Y1544" s="197"/>
      <c r="Z1544" s="246"/>
      <c r="AA1544" s="252"/>
      <c r="AB1544" s="376"/>
      <c r="AC1544" s="223"/>
      <c r="AD1544" s="281"/>
      <c r="AE1544" s="494"/>
      <c r="AF1544" s="494"/>
      <c r="AG1544" s="282"/>
      <c r="AH1544" s="376"/>
      <c r="AI1544" s="547"/>
      <c r="AJ1544" s="348" t="s">
        <v>560</v>
      </c>
      <c r="AK1544" s="491">
        <v>3</v>
      </c>
      <c r="AL1544" s="826" t="s">
        <v>926</v>
      </c>
      <c r="AM1544" s="175" t="s">
        <v>492</v>
      </c>
      <c r="AN1544" s="151"/>
      <c r="AO1544" s="173"/>
      <c r="AP1544" s="115"/>
      <c r="AQ1544" s="115"/>
      <c r="AR1544" s="115"/>
      <c r="AS1544" s="115"/>
      <c r="AT1544" s="115"/>
    </row>
    <row r="1545" spans="1:46" ht="39" customHeight="1" x14ac:dyDescent="0.25">
      <c r="A1545" s="1468">
        <v>1544</v>
      </c>
      <c r="B1545" s="161">
        <v>3</v>
      </c>
      <c r="C1545" s="358" t="s">
        <v>452</v>
      </c>
      <c r="D1545" s="282"/>
      <c r="E1545" s="282"/>
      <c r="F1545" s="282"/>
      <c r="G1545" s="447" t="s">
        <v>453</v>
      </c>
      <c r="H1545" s="262" t="s">
        <v>85</v>
      </c>
      <c r="I1545" s="364"/>
      <c r="J1545" s="245" t="s">
        <v>556</v>
      </c>
      <c r="K1545" s="216"/>
      <c r="L1545" s="216"/>
      <c r="M1545" s="281"/>
      <c r="N1545" s="216"/>
      <c r="O1545" s="392" t="s">
        <v>3195</v>
      </c>
      <c r="P1545" s="247" t="s">
        <v>1411</v>
      </c>
      <c r="Q1545" s="344" t="s">
        <v>87</v>
      </c>
      <c r="R1545" s="982" t="s">
        <v>1402</v>
      </c>
      <c r="S1545" s="279">
        <v>30567</v>
      </c>
      <c r="T1545" s="197"/>
      <c r="U1545" s="251" t="s">
        <v>54</v>
      </c>
      <c r="V1545" s="197"/>
      <c r="W1545" s="197" t="s">
        <v>70</v>
      </c>
      <c r="X1545" s="197" t="s">
        <v>71</v>
      </c>
      <c r="Y1545" s="197"/>
      <c r="Z1545" s="246"/>
      <c r="AA1545" s="252"/>
      <c r="AB1545" s="376"/>
      <c r="AC1545" s="223"/>
      <c r="AD1545" s="281"/>
      <c r="AE1545" s="494"/>
      <c r="AF1545" s="494"/>
      <c r="AG1545" s="282"/>
      <c r="AH1545" s="376"/>
      <c r="AI1545" s="547"/>
      <c r="AJ1545" s="348" t="s">
        <v>560</v>
      </c>
      <c r="AK1545" s="241">
        <v>4</v>
      </c>
      <c r="AL1545" s="122" t="s">
        <v>926</v>
      </c>
      <c r="AM1545" s="175" t="s">
        <v>492</v>
      </c>
      <c r="AN1545" s="151"/>
      <c r="AO1545" s="151"/>
      <c r="AP1545" s="115"/>
      <c r="AQ1545" s="115"/>
      <c r="AR1545" s="115"/>
      <c r="AS1545" s="115"/>
      <c r="AT1545" s="115"/>
    </row>
    <row r="1546" spans="1:46" ht="39" customHeight="1" x14ac:dyDescent="0.25">
      <c r="A1546" s="1468">
        <v>1545</v>
      </c>
      <c r="B1546" s="161">
        <v>2</v>
      </c>
      <c r="C1546" s="358" t="s">
        <v>454</v>
      </c>
      <c r="D1546" s="282"/>
      <c r="E1546" s="282"/>
      <c r="F1546" s="282"/>
      <c r="G1546" s="447" t="s">
        <v>455</v>
      </c>
      <c r="H1546" s="262" t="s">
        <v>87</v>
      </c>
      <c r="I1546" s="364"/>
      <c r="J1546" s="245" t="s">
        <v>561</v>
      </c>
      <c r="K1546" s="216"/>
      <c r="L1546" s="216" t="s">
        <v>5856</v>
      </c>
      <c r="M1546" s="216" t="s">
        <v>5856</v>
      </c>
      <c r="N1546" s="216"/>
      <c r="O1546" s="1472" t="s">
        <v>5855</v>
      </c>
      <c r="P1546" s="402" t="s">
        <v>1828</v>
      </c>
      <c r="Q1546" s="344" t="s">
        <v>132</v>
      </c>
      <c r="R1546" s="982" t="s">
        <v>5854</v>
      </c>
      <c r="S1546" s="279">
        <v>25787</v>
      </c>
      <c r="T1546" s="250"/>
      <c r="U1546" s="251" t="s">
        <v>54</v>
      </c>
      <c r="V1546" s="197" t="s">
        <v>5955</v>
      </c>
      <c r="W1546" s="197" t="s">
        <v>70</v>
      </c>
      <c r="X1546" s="197" t="s">
        <v>71</v>
      </c>
      <c r="Y1546" s="949" t="s">
        <v>5964</v>
      </c>
      <c r="Z1546" s="612">
        <v>45312</v>
      </c>
      <c r="AA1546" s="252"/>
      <c r="AB1546" s="281"/>
      <c r="AC1546" s="281"/>
      <c r="AD1546" s="281"/>
      <c r="AE1546" s="252"/>
      <c r="AF1546" s="252"/>
      <c r="AG1546" s="282"/>
      <c r="AH1546" s="282"/>
      <c r="AI1546" s="296"/>
      <c r="AJ1546" s="348" t="s">
        <v>560</v>
      </c>
      <c r="AK1546" s="241">
        <v>4</v>
      </c>
      <c r="AL1546" s="122" t="s">
        <v>926</v>
      </c>
      <c r="AM1546" s="175" t="s">
        <v>492</v>
      </c>
      <c r="AN1546" s="151"/>
      <c r="AO1546" s="151"/>
      <c r="AP1546" s="115"/>
      <c r="AQ1546" s="115"/>
      <c r="AR1546" s="115"/>
      <c r="AS1546" s="115"/>
      <c r="AT1546" s="115"/>
    </row>
    <row r="1547" spans="1:46" ht="39" customHeight="1" x14ac:dyDescent="0.25">
      <c r="A1547" s="1468">
        <v>1546</v>
      </c>
      <c r="B1547" s="161">
        <v>2</v>
      </c>
      <c r="C1547" s="358" t="s">
        <v>454</v>
      </c>
      <c r="D1547" s="282"/>
      <c r="E1547" s="282"/>
      <c r="F1547" s="282"/>
      <c r="G1547" s="447" t="s">
        <v>455</v>
      </c>
      <c r="H1547" s="262" t="s">
        <v>87</v>
      </c>
      <c r="I1547" s="364"/>
      <c r="J1547" s="245" t="s">
        <v>561</v>
      </c>
      <c r="K1547" s="288" t="s">
        <v>158</v>
      </c>
      <c r="L1547" s="216" t="s">
        <v>3678</v>
      </c>
      <c r="M1547" s="216" t="s">
        <v>3678</v>
      </c>
      <c r="N1547" s="281" t="s">
        <v>4217</v>
      </c>
      <c r="O1547" s="392" t="s">
        <v>3686</v>
      </c>
      <c r="P1547" s="320"/>
      <c r="Q1547" s="197" t="s">
        <v>87</v>
      </c>
      <c r="R1547" s="381" t="s">
        <v>3685</v>
      </c>
      <c r="S1547" s="279">
        <v>37726</v>
      </c>
      <c r="T1547" s="197"/>
      <c r="U1547" s="250"/>
      <c r="V1547" s="197"/>
      <c r="W1547" s="197"/>
      <c r="X1547" s="197"/>
      <c r="Y1547" s="197"/>
      <c r="Z1547" s="246"/>
      <c r="AA1547" s="252"/>
      <c r="AB1547" s="288" t="s">
        <v>4306</v>
      </c>
      <c r="AC1547" s="223" t="s">
        <v>4222</v>
      </c>
      <c r="AD1547" s="299" t="s">
        <v>467</v>
      </c>
      <c r="AE1547" s="494">
        <v>45114</v>
      </c>
      <c r="AF1547" s="494">
        <v>45479</v>
      </c>
      <c r="AG1547" s="282"/>
      <c r="AH1547" s="376"/>
      <c r="AI1547" s="296" t="s">
        <v>1351</v>
      </c>
      <c r="AJ1547" s="303" t="s">
        <v>136</v>
      </c>
      <c r="AK1547" s="241">
        <v>4</v>
      </c>
      <c r="AL1547" s="122" t="s">
        <v>926</v>
      </c>
      <c r="AM1547" s="175" t="s">
        <v>492</v>
      </c>
      <c r="AN1547" s="151"/>
      <c r="AO1547" s="151"/>
      <c r="AP1547" s="115"/>
      <c r="AQ1547" s="115"/>
      <c r="AR1547" s="115"/>
      <c r="AS1547" s="115"/>
      <c r="AT1547" s="115"/>
    </row>
    <row r="1548" spans="1:46" ht="39" customHeight="1" x14ac:dyDescent="0.25">
      <c r="A1548" s="1468">
        <v>1547</v>
      </c>
      <c r="B1548" s="161">
        <v>2</v>
      </c>
      <c r="C1548" s="358" t="s">
        <v>454</v>
      </c>
      <c r="D1548" s="282"/>
      <c r="E1548" s="282"/>
      <c r="F1548" s="282"/>
      <c r="G1548" s="447" t="s">
        <v>455</v>
      </c>
      <c r="H1548" s="262" t="s">
        <v>87</v>
      </c>
      <c r="I1548" s="364"/>
      <c r="J1548" s="245" t="s">
        <v>561</v>
      </c>
      <c r="K1548" s="216"/>
      <c r="L1548" s="216"/>
      <c r="M1548" s="216"/>
      <c r="N1548" s="216"/>
      <c r="O1548" s="959"/>
      <c r="P1548" s="320"/>
      <c r="Q1548" s="344"/>
      <c r="R1548" s="982" t="s">
        <v>66</v>
      </c>
      <c r="S1548" s="279"/>
      <c r="T1548" s="197"/>
      <c r="U1548" s="197"/>
      <c r="V1548" s="197"/>
      <c r="W1548" s="250"/>
      <c r="X1548" s="197"/>
      <c r="Y1548" s="197"/>
      <c r="Z1548" s="246"/>
      <c r="AA1548" s="252"/>
      <c r="AB1548" s="376"/>
      <c r="AC1548" s="223"/>
      <c r="AD1548" s="281"/>
      <c r="AE1548" s="494"/>
      <c r="AF1548" s="494"/>
      <c r="AG1548" s="282"/>
      <c r="AH1548" s="376"/>
      <c r="AI1548" s="547"/>
      <c r="AJ1548" s="348"/>
      <c r="AK1548" s="241">
        <v>4</v>
      </c>
      <c r="AL1548" s="122" t="s">
        <v>926</v>
      </c>
      <c r="AM1548" s="175" t="s">
        <v>492</v>
      </c>
      <c r="AN1548" s="151"/>
      <c r="AO1548" s="151"/>
      <c r="AP1548" s="115"/>
      <c r="AQ1548" s="115"/>
      <c r="AR1548" s="115"/>
      <c r="AS1548" s="115"/>
      <c r="AT1548" s="115"/>
    </row>
    <row r="1549" spans="1:46" ht="39" customHeight="1" x14ac:dyDescent="0.25">
      <c r="A1549" s="1468">
        <v>1548</v>
      </c>
      <c r="B1549" s="161">
        <v>2</v>
      </c>
      <c r="C1549" s="568" t="s">
        <v>456</v>
      </c>
      <c r="D1549" s="282"/>
      <c r="E1549" s="282"/>
      <c r="F1549" s="282"/>
      <c r="G1549" s="447" t="s">
        <v>457</v>
      </c>
      <c r="H1549" s="262" t="s">
        <v>87</v>
      </c>
      <c r="I1549" s="364"/>
      <c r="J1549" s="245" t="s">
        <v>561</v>
      </c>
      <c r="K1549" s="288" t="s">
        <v>158</v>
      </c>
      <c r="L1549" s="216" t="s">
        <v>3678</v>
      </c>
      <c r="M1549" s="216" t="s">
        <v>3678</v>
      </c>
      <c r="N1549" s="281" t="s">
        <v>4217</v>
      </c>
      <c r="O1549" s="392" t="s">
        <v>3696</v>
      </c>
      <c r="P1549" s="300"/>
      <c r="Q1549" s="197" t="s">
        <v>87</v>
      </c>
      <c r="R1549" s="302" t="s">
        <v>3694</v>
      </c>
      <c r="S1549" s="279">
        <v>37837</v>
      </c>
      <c r="T1549" s="289"/>
      <c r="U1549" s="251" t="s">
        <v>54</v>
      </c>
      <c r="V1549" s="306" t="s">
        <v>4047</v>
      </c>
      <c r="W1549" s="949" t="s">
        <v>4050</v>
      </c>
      <c r="X1549" s="250" t="s">
        <v>5135</v>
      </c>
      <c r="Y1549" s="288" t="s">
        <v>4051</v>
      </c>
      <c r="Z1549" s="289">
        <v>45231</v>
      </c>
      <c r="AA1549" s="252"/>
      <c r="AB1549" s="288" t="s">
        <v>4581</v>
      </c>
      <c r="AC1549" s="223" t="s">
        <v>946</v>
      </c>
      <c r="AD1549" s="299" t="s">
        <v>467</v>
      </c>
      <c r="AE1549" s="494">
        <v>45110</v>
      </c>
      <c r="AF1549" s="494">
        <v>45475</v>
      </c>
      <c r="AG1549" s="299"/>
      <c r="AH1549" s="299"/>
      <c r="AI1549" s="296" t="s">
        <v>1351</v>
      </c>
      <c r="AJ1549" s="303" t="s">
        <v>136</v>
      </c>
      <c r="AK1549" s="241">
        <v>4</v>
      </c>
      <c r="AL1549" s="122" t="s">
        <v>926</v>
      </c>
      <c r="AM1549" s="175" t="s">
        <v>492</v>
      </c>
      <c r="AN1549" s="151"/>
      <c r="AO1549" s="151"/>
      <c r="AP1549" s="115"/>
      <c r="AQ1549" s="115"/>
      <c r="AR1549" s="115"/>
      <c r="AS1549" s="115"/>
      <c r="AT1549" s="115"/>
    </row>
    <row r="1550" spans="1:46" ht="39" customHeight="1" x14ac:dyDescent="0.25">
      <c r="A1550" s="1468">
        <v>1549</v>
      </c>
      <c r="B1550" s="161">
        <v>2</v>
      </c>
      <c r="C1550" s="725" t="s">
        <v>456</v>
      </c>
      <c r="D1550" s="481"/>
      <c r="E1550" s="481"/>
      <c r="F1550" s="481"/>
      <c r="G1550" s="527" t="s">
        <v>457</v>
      </c>
      <c r="H1550" s="262" t="s">
        <v>87</v>
      </c>
      <c r="I1550" s="492"/>
      <c r="J1550" s="245" t="s">
        <v>561</v>
      </c>
      <c r="K1550" s="288" t="s">
        <v>158</v>
      </c>
      <c r="L1550" s="216" t="s">
        <v>3678</v>
      </c>
      <c r="M1550" s="216" t="s">
        <v>3678</v>
      </c>
      <c r="N1550" s="281" t="s">
        <v>4217</v>
      </c>
      <c r="O1550" s="216" t="s">
        <v>3698</v>
      </c>
      <c r="P1550" s="300"/>
      <c r="Q1550" s="197" t="s">
        <v>87</v>
      </c>
      <c r="R1550" s="381" t="s">
        <v>5759</v>
      </c>
      <c r="S1550" s="279">
        <v>37619</v>
      </c>
      <c r="T1550" s="289"/>
      <c r="U1550" s="251" t="s">
        <v>54</v>
      </c>
      <c r="V1550" s="306" t="s">
        <v>4047</v>
      </c>
      <c r="W1550" s="949" t="s">
        <v>4050</v>
      </c>
      <c r="X1550" s="250" t="s">
        <v>5135</v>
      </c>
      <c r="Y1550" s="288" t="s">
        <v>4051</v>
      </c>
      <c r="Z1550" s="289">
        <v>45231</v>
      </c>
      <c r="AA1550" s="252"/>
      <c r="AB1550" s="288" t="s">
        <v>4582</v>
      </c>
      <c r="AC1550" s="223" t="s">
        <v>946</v>
      </c>
      <c r="AD1550" s="299" t="s">
        <v>467</v>
      </c>
      <c r="AE1550" s="494">
        <v>45111</v>
      </c>
      <c r="AF1550" s="494">
        <v>45476</v>
      </c>
      <c r="AG1550" s="299"/>
      <c r="AH1550" s="299"/>
      <c r="AI1550" s="296" t="s">
        <v>1351</v>
      </c>
      <c r="AJ1550" s="303" t="s">
        <v>136</v>
      </c>
      <c r="AK1550" s="471">
        <v>4</v>
      </c>
      <c r="AL1550" s="749" t="s">
        <v>926</v>
      </c>
      <c r="AM1550" s="175" t="s">
        <v>492</v>
      </c>
      <c r="AN1550" s="151"/>
      <c r="AO1550" s="167"/>
      <c r="AP1550" s="115"/>
      <c r="AQ1550" s="115"/>
      <c r="AR1550" s="115"/>
      <c r="AS1550" s="115"/>
      <c r="AT1550" s="115"/>
    </row>
    <row r="1551" spans="1:46" s="827" customFormat="1" ht="39" customHeight="1" x14ac:dyDescent="0.25">
      <c r="A1551" s="1468">
        <v>1550</v>
      </c>
      <c r="B1551" s="187"/>
      <c r="C1551" s="912"/>
      <c r="D1551" s="912"/>
      <c r="E1551" s="912"/>
      <c r="F1551" s="912"/>
      <c r="G1551" s="913"/>
      <c r="H1551" s="913"/>
      <c r="I1551" s="912"/>
      <c r="J1551" s="912"/>
      <c r="K1551" s="912"/>
      <c r="L1551" s="913"/>
      <c r="M1551" s="913"/>
      <c r="N1551" s="912"/>
      <c r="O1551" s="913"/>
      <c r="P1551" s="914" t="s">
        <v>505</v>
      </c>
      <c r="Q1551" s="915"/>
      <c r="R1551" s="324"/>
      <c r="S1551" s="279"/>
      <c r="T1551" s="912"/>
      <c r="U1551" s="250"/>
      <c r="V1551" s="912"/>
      <c r="W1551" s="913"/>
      <c r="X1551" s="913"/>
      <c r="Y1551" s="912"/>
      <c r="Z1551" s="912"/>
      <c r="AA1551" s="252"/>
      <c r="AB1551" s="913"/>
      <c r="AC1551" s="912"/>
      <c r="AD1551" s="912"/>
      <c r="AE1551" s="494"/>
      <c r="AF1551" s="494"/>
      <c r="AG1551" s="912"/>
      <c r="AH1551" s="912"/>
      <c r="AI1551" s="913"/>
      <c r="AJ1551" s="913"/>
      <c r="AK1551" s="913"/>
      <c r="AL1551" s="113"/>
      <c r="AM1551" s="113"/>
      <c r="AN1551" s="113"/>
      <c r="AO1551" s="114"/>
      <c r="AP1551" s="115"/>
      <c r="AQ1551" s="115"/>
      <c r="AR1551" s="115"/>
      <c r="AS1551" s="115"/>
      <c r="AT1551" s="115"/>
    </row>
    <row r="1552" spans="1:46" ht="39" customHeight="1" x14ac:dyDescent="0.25">
      <c r="A1552" s="1468">
        <v>1551</v>
      </c>
      <c r="B1552" s="161"/>
      <c r="C1552" s="793" t="s">
        <v>265</v>
      </c>
      <c r="D1552" s="476"/>
      <c r="E1552" s="442"/>
      <c r="F1552" s="476"/>
      <c r="G1552" s="757" t="s">
        <v>506</v>
      </c>
      <c r="H1552" s="868" t="s">
        <v>65</v>
      </c>
      <c r="I1552" s="480"/>
      <c r="J1552" s="245">
        <v>202</v>
      </c>
      <c r="K1552" s="197" t="s">
        <v>50</v>
      </c>
      <c r="L1552" s="441" t="s">
        <v>1908</v>
      </c>
      <c r="M1552" s="441" t="s">
        <v>1908</v>
      </c>
      <c r="N1552" s="277"/>
      <c r="O1552" s="277" t="s">
        <v>1918</v>
      </c>
      <c r="P1552" s="402" t="s">
        <v>1828</v>
      </c>
      <c r="Q1552" s="728" t="s">
        <v>65</v>
      </c>
      <c r="R1552" s="995" t="s">
        <v>1913</v>
      </c>
      <c r="S1552" s="279">
        <v>25791</v>
      </c>
      <c r="T1552" s="197"/>
      <c r="U1552" s="251" t="s">
        <v>54</v>
      </c>
      <c r="V1552" s="250" t="s">
        <v>4047</v>
      </c>
      <c r="W1552" s="197" t="s">
        <v>70</v>
      </c>
      <c r="X1552" s="289" t="s">
        <v>71</v>
      </c>
      <c r="Y1552" s="288" t="s">
        <v>4218</v>
      </c>
      <c r="Z1552" s="252">
        <v>45232</v>
      </c>
      <c r="AA1552" s="252"/>
      <c r="AB1552" s="867"/>
      <c r="AC1552" s="488"/>
      <c r="AD1552" s="441"/>
      <c r="AE1552" s="494"/>
      <c r="AF1552" s="494"/>
      <c r="AG1552" s="487"/>
      <c r="AH1552" s="867"/>
      <c r="AI1552" s="862"/>
      <c r="AJ1552" s="755" t="s">
        <v>62</v>
      </c>
      <c r="AK1552" s="442">
        <v>1</v>
      </c>
      <c r="AL1552" s="869" t="s">
        <v>507</v>
      </c>
      <c r="AM1552" s="869" t="s">
        <v>508</v>
      </c>
      <c r="AN1552" s="173"/>
      <c r="AO1552" s="173"/>
      <c r="AP1552" s="115"/>
      <c r="AQ1552" s="115"/>
      <c r="AR1552" s="115"/>
      <c r="AS1552" s="115"/>
      <c r="AT1552" s="115"/>
    </row>
    <row r="1553" spans="1:47" ht="39" customHeight="1" x14ac:dyDescent="0.25">
      <c r="A1553" s="1468">
        <v>1552</v>
      </c>
      <c r="B1553" s="119">
        <v>16</v>
      </c>
      <c r="C1553" s="240" t="s">
        <v>509</v>
      </c>
      <c r="D1553" s="241"/>
      <c r="E1553" s="242"/>
      <c r="F1553" s="241"/>
      <c r="G1553" s="243" t="s">
        <v>269</v>
      </c>
      <c r="H1553" s="319" t="s">
        <v>92</v>
      </c>
      <c r="I1553" s="364"/>
      <c r="J1553" s="245">
        <v>204</v>
      </c>
      <c r="K1553" s="197" t="s">
        <v>50</v>
      </c>
      <c r="L1553" s="216"/>
      <c r="M1553" s="281"/>
      <c r="N1553" s="216"/>
      <c r="O1553" s="277" t="s">
        <v>2128</v>
      </c>
      <c r="P1553" s="592"/>
      <c r="Q1553" s="728" t="s">
        <v>92</v>
      </c>
      <c r="R1553" s="995" t="s">
        <v>2127</v>
      </c>
      <c r="S1553" s="279">
        <v>26137</v>
      </c>
      <c r="T1553" s="280"/>
      <c r="U1553" s="251" t="s">
        <v>54</v>
      </c>
      <c r="V1553" s="250" t="s">
        <v>4047</v>
      </c>
      <c r="W1553" s="197" t="s">
        <v>70</v>
      </c>
      <c r="X1553" s="289" t="s">
        <v>71</v>
      </c>
      <c r="Y1553" s="288" t="s">
        <v>4218</v>
      </c>
      <c r="Z1553" s="252">
        <v>45232</v>
      </c>
      <c r="AA1553" s="252"/>
      <c r="AB1553" s="376"/>
      <c r="AC1553" s="223"/>
      <c r="AD1553" s="281"/>
      <c r="AE1553" s="494"/>
      <c r="AF1553" s="494"/>
      <c r="AG1553" s="282"/>
      <c r="AH1553" s="376"/>
      <c r="AI1553" s="547"/>
      <c r="AJ1553" s="755" t="s">
        <v>62</v>
      </c>
      <c r="AK1553" s="242">
        <v>1</v>
      </c>
      <c r="AL1553" s="139" t="s">
        <v>507</v>
      </c>
      <c r="AM1553" s="139" t="s">
        <v>508</v>
      </c>
      <c r="AN1553" s="151"/>
      <c r="AO1553" s="151"/>
      <c r="AP1553" s="115"/>
      <c r="AQ1553" s="115"/>
      <c r="AR1553" s="115"/>
      <c r="AS1553" s="115"/>
      <c r="AT1553" s="115"/>
    </row>
    <row r="1554" spans="1:47" ht="39" customHeight="1" x14ac:dyDescent="0.25">
      <c r="A1554" s="1468">
        <v>1553</v>
      </c>
      <c r="B1554" s="161"/>
      <c r="C1554" s="259" t="s">
        <v>270</v>
      </c>
      <c r="D1554" s="241"/>
      <c r="E1554" s="242"/>
      <c r="F1554" s="241"/>
      <c r="G1554" s="243" t="s">
        <v>203</v>
      </c>
      <c r="H1554" s="319" t="s">
        <v>92</v>
      </c>
      <c r="I1554" s="364"/>
      <c r="J1554" s="245">
        <v>204</v>
      </c>
      <c r="K1554" s="216" t="s">
        <v>50</v>
      </c>
      <c r="L1554" s="734" t="s">
        <v>1205</v>
      </c>
      <c r="M1554" s="734" t="s">
        <v>1205</v>
      </c>
      <c r="N1554" s="276"/>
      <c r="O1554" s="277" t="s">
        <v>1206</v>
      </c>
      <c r="P1554" s="708"/>
      <c r="Q1554" s="442" t="s">
        <v>83</v>
      </c>
      <c r="R1554" s="1163" t="s">
        <v>1207</v>
      </c>
      <c r="S1554" s="279">
        <v>35369</v>
      </c>
      <c r="T1554" s="443"/>
      <c r="U1554" s="251" t="s">
        <v>468</v>
      </c>
      <c r="V1554" s="443" t="s">
        <v>1832</v>
      </c>
      <c r="W1554" s="280" t="s">
        <v>3259</v>
      </c>
      <c r="X1554" s="197" t="s">
        <v>2030</v>
      </c>
      <c r="Y1554" s="288" t="s">
        <v>2366</v>
      </c>
      <c r="Z1554" s="398">
        <v>45126</v>
      </c>
      <c r="AA1554" s="252"/>
      <c r="AB1554" s="476"/>
      <c r="AC1554" s="488" t="s">
        <v>946</v>
      </c>
      <c r="AD1554" s="476"/>
      <c r="AE1554" s="494">
        <v>42317</v>
      </c>
      <c r="AF1554" s="494">
        <v>45285</v>
      </c>
      <c r="AG1554" s="476" t="s">
        <v>61</v>
      </c>
      <c r="AH1554" s="871"/>
      <c r="AI1554" s="760"/>
      <c r="AJ1554" s="755" t="s">
        <v>62</v>
      </c>
      <c r="AK1554" s="242">
        <v>1</v>
      </c>
      <c r="AL1554" s="139" t="s">
        <v>507</v>
      </c>
      <c r="AM1554" s="139" t="s">
        <v>508</v>
      </c>
      <c r="AN1554" s="167"/>
      <c r="AO1554" s="167"/>
      <c r="AP1554" s="115"/>
      <c r="AQ1554" s="115"/>
      <c r="AR1554" s="115"/>
      <c r="AS1554" s="115"/>
      <c r="AT1554" s="115"/>
    </row>
    <row r="1555" spans="1:47" s="827" customFormat="1" ht="39" customHeight="1" x14ac:dyDescent="0.25">
      <c r="A1555" s="1468">
        <v>1554</v>
      </c>
      <c r="B1555" s="187"/>
      <c r="C1555" s="916"/>
      <c r="D1555" s="916"/>
      <c r="E1555" s="916"/>
      <c r="F1555" s="916"/>
      <c r="G1555" s="917"/>
      <c r="H1555" s="917"/>
      <c r="I1555" s="916"/>
      <c r="J1555" s="916"/>
      <c r="K1555" s="724"/>
      <c r="L1555" s="664"/>
      <c r="M1555" s="727"/>
      <c r="N1555" s="664"/>
      <c r="O1555" s="729"/>
      <c r="P1555" s="230" t="s">
        <v>88</v>
      </c>
      <c r="Q1555" s="916"/>
      <c r="R1555" s="324"/>
      <c r="S1555" s="279"/>
      <c r="T1555" s="916"/>
      <c r="U1555" s="250"/>
      <c r="V1555" s="916"/>
      <c r="W1555" s="917"/>
      <c r="X1555" s="917"/>
      <c r="Y1555" s="916"/>
      <c r="Z1555" s="916"/>
      <c r="AA1555" s="252"/>
      <c r="AB1555" s="917"/>
      <c r="AC1555" s="916"/>
      <c r="AD1555" s="916"/>
      <c r="AE1555" s="494"/>
      <c r="AF1555" s="494"/>
      <c r="AG1555" s="916"/>
      <c r="AH1555" s="916"/>
      <c r="AI1555" s="917"/>
      <c r="AJ1555" s="917"/>
      <c r="AK1555" s="917"/>
      <c r="AL1555" s="828"/>
      <c r="AM1555" s="828"/>
      <c r="AN1555" s="828"/>
      <c r="AO1555" s="918"/>
      <c r="AP1555" s="115"/>
      <c r="AQ1555" s="115"/>
      <c r="AR1555" s="115"/>
      <c r="AS1555" s="115"/>
      <c r="AT1555" s="115"/>
    </row>
    <row r="1556" spans="1:47" ht="39" customHeight="1" x14ac:dyDescent="0.25">
      <c r="A1556" s="1468">
        <v>1555</v>
      </c>
      <c r="B1556" s="161"/>
      <c r="C1556" s="259" t="s">
        <v>510</v>
      </c>
      <c r="D1556" s="241"/>
      <c r="E1556" s="242"/>
      <c r="F1556" s="241"/>
      <c r="G1556" s="243" t="s">
        <v>506</v>
      </c>
      <c r="H1556" s="319" t="s">
        <v>92</v>
      </c>
      <c r="I1556" s="364"/>
      <c r="J1556" s="245">
        <v>204</v>
      </c>
      <c r="K1556" s="197" t="s">
        <v>50</v>
      </c>
      <c r="L1556" s="277" t="s">
        <v>1990</v>
      </c>
      <c r="M1556" s="277" t="s">
        <v>1990</v>
      </c>
      <c r="N1556" s="277"/>
      <c r="O1556" s="959" t="s">
        <v>2337</v>
      </c>
      <c r="P1556" s="592"/>
      <c r="Q1556" s="728" t="s">
        <v>92</v>
      </c>
      <c r="R1556" s="995" t="s">
        <v>2336</v>
      </c>
      <c r="S1556" s="279">
        <v>27814</v>
      </c>
      <c r="T1556" s="280"/>
      <c r="U1556" s="251" t="s">
        <v>54</v>
      </c>
      <c r="V1556" s="280" t="s">
        <v>3959</v>
      </c>
      <c r="W1556" s="197" t="s">
        <v>70</v>
      </c>
      <c r="X1556" s="289" t="s">
        <v>71</v>
      </c>
      <c r="Y1556" s="280" t="s">
        <v>4351</v>
      </c>
      <c r="Z1556" s="486">
        <v>45226</v>
      </c>
      <c r="AA1556" s="252"/>
      <c r="AB1556" s="867"/>
      <c r="AC1556" s="488"/>
      <c r="AD1556" s="441"/>
      <c r="AE1556" s="494"/>
      <c r="AF1556" s="494"/>
      <c r="AG1556" s="487"/>
      <c r="AH1556" s="867"/>
      <c r="AI1556" s="862"/>
      <c r="AJ1556" s="755" t="s">
        <v>62</v>
      </c>
      <c r="AK1556" s="442">
        <v>1</v>
      </c>
      <c r="AL1556" s="869" t="s">
        <v>507</v>
      </c>
      <c r="AM1556" s="869" t="s">
        <v>508</v>
      </c>
      <c r="AN1556" s="173"/>
      <c r="AO1556" s="173"/>
      <c r="AP1556" s="115"/>
      <c r="AQ1556" s="115"/>
      <c r="AR1556" s="115"/>
      <c r="AS1556" s="115"/>
      <c r="AT1556" s="115"/>
    </row>
    <row r="1557" spans="1:47" ht="39" customHeight="1" x14ac:dyDescent="0.25">
      <c r="A1557" s="1468">
        <v>1556</v>
      </c>
      <c r="B1557" s="161"/>
      <c r="C1557" s="935" t="s">
        <v>511</v>
      </c>
      <c r="D1557" s="834"/>
      <c r="E1557" s="834"/>
      <c r="F1557" s="834"/>
      <c r="G1557" s="345" t="s">
        <v>274</v>
      </c>
      <c r="H1557" s="835" t="s">
        <v>132</v>
      </c>
      <c r="I1557" s="492"/>
      <c r="J1557" s="256">
        <v>403</v>
      </c>
      <c r="K1557" s="216"/>
      <c r="L1557" s="289"/>
      <c r="M1557" s="289"/>
      <c r="N1557" s="366"/>
      <c r="O1557" s="265" t="s">
        <v>2115</v>
      </c>
      <c r="P1557" s="402" t="s">
        <v>1828</v>
      </c>
      <c r="Q1557" s="837" t="s">
        <v>87</v>
      </c>
      <c r="R1557" s="834" t="s">
        <v>2114</v>
      </c>
      <c r="S1557" s="279">
        <v>36613</v>
      </c>
      <c r="T1557" s="250"/>
      <c r="U1557" s="251" t="s">
        <v>54</v>
      </c>
      <c r="V1557" s="280" t="s">
        <v>3959</v>
      </c>
      <c r="W1557" s="197" t="s">
        <v>70</v>
      </c>
      <c r="X1557" s="289" t="s">
        <v>71</v>
      </c>
      <c r="Y1557" s="280" t="s">
        <v>4351</v>
      </c>
      <c r="Z1557" s="486">
        <v>45226</v>
      </c>
      <c r="AA1557" s="252"/>
      <c r="AB1557" s="301"/>
      <c r="AC1557" s="223"/>
      <c r="AD1557" s="301"/>
      <c r="AE1557" s="494"/>
      <c r="AF1557" s="494"/>
      <c r="AG1557" s="301"/>
      <c r="AH1557" s="301"/>
      <c r="AI1557" s="401"/>
      <c r="AJ1557" s="348" t="s">
        <v>560</v>
      </c>
      <c r="AK1557" s="743">
        <v>3</v>
      </c>
      <c r="AL1557" s="833" t="s">
        <v>507</v>
      </c>
      <c r="AM1557" s="833" t="s">
        <v>508</v>
      </c>
      <c r="AN1557" s="167"/>
      <c r="AO1557" s="167"/>
      <c r="AP1557" s="115"/>
      <c r="AQ1557" s="115"/>
      <c r="AR1557" s="115"/>
      <c r="AS1557" s="115"/>
      <c r="AT1557" s="115"/>
    </row>
    <row r="1558" spans="1:47" s="827" customFormat="1" ht="39" customHeight="1" x14ac:dyDescent="0.25">
      <c r="A1558" s="1468">
        <v>1557</v>
      </c>
      <c r="B1558" s="188"/>
      <c r="C1558" s="383"/>
      <c r="D1558" s="383"/>
      <c r="E1558" s="383"/>
      <c r="F1558" s="383"/>
      <c r="G1558" s="230"/>
      <c r="H1558" s="230"/>
      <c r="I1558" s="383"/>
      <c r="J1558" s="383"/>
      <c r="K1558" s="383"/>
      <c r="L1558" s="230"/>
      <c r="M1558" s="230"/>
      <c r="N1558" s="383"/>
      <c r="O1558" s="230"/>
      <c r="P1558" s="230" t="s">
        <v>512</v>
      </c>
      <c r="Q1558" s="383"/>
      <c r="R1558" s="324"/>
      <c r="S1558" s="279"/>
      <c r="T1558" s="383"/>
      <c r="U1558" s="250"/>
      <c r="V1558" s="250"/>
      <c r="W1558" s="197"/>
      <c r="X1558" s="197"/>
      <c r="Y1558" s="197"/>
      <c r="Z1558" s="383"/>
      <c r="AA1558" s="252"/>
      <c r="AB1558" s="230"/>
      <c r="AC1558" s="383"/>
      <c r="AD1558" s="656"/>
      <c r="AE1558" s="494"/>
      <c r="AF1558" s="494"/>
      <c r="AG1558" s="383"/>
      <c r="AH1558" s="383"/>
      <c r="AI1558" s="230"/>
      <c r="AJ1558" s="230"/>
      <c r="AK1558" s="230"/>
      <c r="AL1558" s="1"/>
      <c r="AM1558" s="1"/>
      <c r="AN1558" s="1"/>
      <c r="AO1558" s="148"/>
      <c r="AP1558" s="115" t="s">
        <v>513</v>
      </c>
      <c r="AQ1558" s="115"/>
      <c r="AR1558" s="115"/>
      <c r="AS1558" s="115"/>
      <c r="AT1558" s="116"/>
    </row>
    <row r="1559" spans="1:47" ht="39" customHeight="1" x14ac:dyDescent="0.25">
      <c r="A1559" s="1468">
        <v>1558</v>
      </c>
      <c r="B1559" s="189">
        <v>14</v>
      </c>
      <c r="C1559" s="793" t="s">
        <v>277</v>
      </c>
      <c r="D1559" s="476"/>
      <c r="E1559" s="442" t="s">
        <v>47</v>
      </c>
      <c r="F1559" s="476"/>
      <c r="G1559" s="757" t="s">
        <v>506</v>
      </c>
      <c r="H1559" s="868" t="s">
        <v>78</v>
      </c>
      <c r="I1559" s="870"/>
      <c r="J1559" s="245">
        <v>300</v>
      </c>
      <c r="K1559" s="277" t="s">
        <v>50</v>
      </c>
      <c r="L1559" s="734" t="s">
        <v>1170</v>
      </c>
      <c r="M1559" s="734" t="s">
        <v>1170</v>
      </c>
      <c r="N1559" s="734"/>
      <c r="O1559" s="277" t="s">
        <v>1171</v>
      </c>
      <c r="P1559" s="708"/>
      <c r="Q1559" s="442" t="s">
        <v>83</v>
      </c>
      <c r="R1559" s="1163" t="s">
        <v>1172</v>
      </c>
      <c r="S1559" s="279">
        <v>35221</v>
      </c>
      <c r="T1559" s="443"/>
      <c r="U1559" s="251" t="s">
        <v>54</v>
      </c>
      <c r="V1559" s="280" t="s">
        <v>55</v>
      </c>
      <c r="W1559" s="280" t="s">
        <v>56</v>
      </c>
      <c r="X1559" s="280" t="s">
        <v>57</v>
      </c>
      <c r="Y1559" s="280" t="s">
        <v>58</v>
      </c>
      <c r="Z1559" s="486">
        <v>44783</v>
      </c>
      <c r="AA1559" s="252"/>
      <c r="AB1559" s="276"/>
      <c r="AC1559" s="488" t="s">
        <v>946</v>
      </c>
      <c r="AD1559" s="276"/>
      <c r="AE1559" s="494">
        <v>42292</v>
      </c>
      <c r="AF1559" s="494">
        <v>45454</v>
      </c>
      <c r="AG1559" s="476" t="s">
        <v>61</v>
      </c>
      <c r="AH1559" s="871"/>
      <c r="AI1559" s="721"/>
      <c r="AJ1559" s="755" t="s">
        <v>62</v>
      </c>
      <c r="AK1559" s="442">
        <v>1</v>
      </c>
      <c r="AL1559" s="175" t="s">
        <v>514</v>
      </c>
      <c r="AM1559" s="175" t="s">
        <v>508</v>
      </c>
      <c r="AN1559" s="800"/>
      <c r="AO1559" s="800">
        <f>SUBTOTAL(9,B1559:AL1559)</f>
        <v>168065</v>
      </c>
      <c r="AP1559" s="115"/>
      <c r="AQ1559" s="115"/>
      <c r="AR1559" s="115"/>
      <c r="AS1559" s="115"/>
      <c r="AT1559" s="115"/>
    </row>
    <row r="1560" spans="1:47" ht="39" customHeight="1" x14ac:dyDescent="0.25">
      <c r="A1560" s="1468">
        <v>1559</v>
      </c>
      <c r="B1560" s="119" t="s">
        <v>120</v>
      </c>
      <c r="C1560" s="240" t="s">
        <v>515</v>
      </c>
      <c r="D1560" s="241"/>
      <c r="E1560" s="242" t="s">
        <v>47</v>
      </c>
      <c r="F1560" s="241"/>
      <c r="G1560" s="243" t="s">
        <v>271</v>
      </c>
      <c r="H1560" s="244" t="s">
        <v>83</v>
      </c>
      <c r="I1560" s="340"/>
      <c r="J1560" s="245">
        <v>302</v>
      </c>
      <c r="K1560" s="277" t="s">
        <v>50</v>
      </c>
      <c r="L1560" s="269" t="s">
        <v>5907</v>
      </c>
      <c r="M1560" s="269" t="s">
        <v>5907</v>
      </c>
      <c r="N1560" s="256"/>
      <c r="O1560" s="216" t="s">
        <v>5914</v>
      </c>
      <c r="P1560" s="287"/>
      <c r="Q1560" s="442" t="s">
        <v>78</v>
      </c>
      <c r="R1560" s="259" t="s">
        <v>5913</v>
      </c>
      <c r="S1560" s="279">
        <v>29645</v>
      </c>
      <c r="T1560" s="250"/>
      <c r="U1560" s="250"/>
      <c r="V1560" s="250"/>
      <c r="W1560" s="197" t="s">
        <v>6064</v>
      </c>
      <c r="X1560" s="197"/>
      <c r="Y1560" s="197"/>
      <c r="Z1560" s="246"/>
      <c r="AA1560" s="252"/>
      <c r="AB1560" s="245"/>
      <c r="AC1560" s="223"/>
      <c r="AD1560" s="245"/>
      <c r="AE1560" s="494"/>
      <c r="AF1560" s="494"/>
      <c r="AG1560" s="241"/>
      <c r="AH1560" s="253"/>
      <c r="AI1560" s="254"/>
      <c r="AJ1560" s="755" t="s">
        <v>62</v>
      </c>
      <c r="AK1560" s="242">
        <v>1</v>
      </c>
      <c r="AL1560" s="123" t="s">
        <v>514</v>
      </c>
      <c r="AM1560" s="123" t="s">
        <v>508</v>
      </c>
      <c r="AN1560" s="137"/>
      <c r="AO1560" s="137">
        <f>SUBTOTAL(9,B1560:AL1560)</f>
        <v>29948</v>
      </c>
      <c r="AP1560" s="115"/>
      <c r="AQ1560" s="115"/>
      <c r="AR1560" s="115"/>
      <c r="AS1560" s="115"/>
      <c r="AT1560" s="115"/>
    </row>
    <row r="1561" spans="1:47" ht="39" customHeight="1" x14ac:dyDescent="0.25">
      <c r="A1561" s="1468">
        <v>1560</v>
      </c>
      <c r="B1561" s="131" t="s">
        <v>516</v>
      </c>
      <c r="C1561" s="311" t="s">
        <v>284</v>
      </c>
      <c r="D1561" s="241"/>
      <c r="E1561" s="312" t="s">
        <v>47</v>
      </c>
      <c r="F1561" s="241"/>
      <c r="G1561" s="313" t="s">
        <v>285</v>
      </c>
      <c r="H1561" s="314" t="s">
        <v>283</v>
      </c>
      <c r="I1561" s="350"/>
      <c r="J1561" s="281">
        <v>410</v>
      </c>
      <c r="K1561" s="216" t="s">
        <v>158</v>
      </c>
      <c r="L1561" s="245" t="s">
        <v>1173</v>
      </c>
      <c r="M1561" s="245" t="s">
        <v>1173</v>
      </c>
      <c r="N1561" s="245"/>
      <c r="O1561" s="216" t="s">
        <v>1174</v>
      </c>
      <c r="P1561" s="247"/>
      <c r="Q1561" s="353" t="s">
        <v>283</v>
      </c>
      <c r="R1561" s="1140" t="s">
        <v>1175</v>
      </c>
      <c r="S1561" s="279">
        <v>34441</v>
      </c>
      <c r="T1561" s="250"/>
      <c r="U1561" s="251" t="s">
        <v>54</v>
      </c>
      <c r="V1561" s="197" t="s">
        <v>55</v>
      </c>
      <c r="W1561" s="197" t="s">
        <v>56</v>
      </c>
      <c r="X1561" s="197" t="s">
        <v>57</v>
      </c>
      <c r="Y1561" s="197" t="s">
        <v>58</v>
      </c>
      <c r="Z1561" s="246">
        <v>44783</v>
      </c>
      <c r="AA1561" s="252"/>
      <c r="AB1561" s="241"/>
      <c r="AC1561" s="223" t="s">
        <v>946</v>
      </c>
      <c r="AD1561" s="241"/>
      <c r="AE1561" s="494">
        <v>43846</v>
      </c>
      <c r="AF1561" s="494">
        <v>44941</v>
      </c>
      <c r="AG1561" s="241" t="s">
        <v>61</v>
      </c>
      <c r="AH1561" s="253"/>
      <c r="AI1561" s="254"/>
      <c r="AJ1561" s="317" t="s">
        <v>47</v>
      </c>
      <c r="AK1561" s="312">
        <v>2</v>
      </c>
      <c r="AL1561" s="123" t="s">
        <v>514</v>
      </c>
      <c r="AM1561" s="123" t="s">
        <v>508</v>
      </c>
      <c r="AN1561" s="157"/>
      <c r="AO1561" s="157">
        <f>SUBTOTAL(9,B1561:AL1561)</f>
        <v>168423</v>
      </c>
      <c r="AP1561" s="115"/>
      <c r="AQ1561" s="115"/>
      <c r="AR1561" s="115"/>
      <c r="AS1561" s="115"/>
      <c r="AT1561" s="115"/>
    </row>
    <row r="1562" spans="1:47" ht="39" customHeight="1" x14ac:dyDescent="0.25">
      <c r="A1562" s="1468">
        <v>1561</v>
      </c>
      <c r="B1562" s="128">
        <v>7</v>
      </c>
      <c r="C1562" s="290" t="s">
        <v>517</v>
      </c>
      <c r="D1562" s="291"/>
      <c r="E1562" s="291" t="s">
        <v>47</v>
      </c>
      <c r="F1562" s="291"/>
      <c r="G1562" s="292" t="s">
        <v>518</v>
      </c>
      <c r="H1562" s="293" t="s">
        <v>519</v>
      </c>
      <c r="I1562" s="346"/>
      <c r="J1562" s="281">
        <v>402</v>
      </c>
      <c r="K1562" s="216" t="s">
        <v>313</v>
      </c>
      <c r="L1562" s="245" t="s">
        <v>1199</v>
      </c>
      <c r="M1562" s="245" t="s">
        <v>1199</v>
      </c>
      <c r="N1562" s="256"/>
      <c r="O1562" s="216" t="s">
        <v>1200</v>
      </c>
      <c r="P1562" s="372"/>
      <c r="Q1562" s="344" t="s">
        <v>519</v>
      </c>
      <c r="R1562" s="982" t="s">
        <v>5998</v>
      </c>
      <c r="S1562" s="279">
        <v>34245</v>
      </c>
      <c r="T1562" s="250"/>
      <c r="U1562" s="250"/>
      <c r="V1562" s="197"/>
      <c r="W1562" s="197" t="s">
        <v>5443</v>
      </c>
      <c r="X1562" s="197"/>
      <c r="Y1562" s="197"/>
      <c r="Z1562" s="246"/>
      <c r="AA1562" s="252"/>
      <c r="AB1562" s="245"/>
      <c r="AC1562" s="223" t="s">
        <v>946</v>
      </c>
      <c r="AD1562" s="245"/>
      <c r="AE1562" s="494">
        <v>43353</v>
      </c>
      <c r="AF1562" s="494">
        <v>45178</v>
      </c>
      <c r="AG1562" s="241" t="s">
        <v>61</v>
      </c>
      <c r="AH1562" s="253"/>
      <c r="AI1562" s="386"/>
      <c r="AJ1562" s="348" t="s">
        <v>560</v>
      </c>
      <c r="AK1562" s="348">
        <v>3</v>
      </c>
      <c r="AL1562" s="123" t="s">
        <v>514</v>
      </c>
      <c r="AM1562" s="123" t="s">
        <v>508</v>
      </c>
      <c r="AN1562" s="138"/>
      <c r="AO1562" s="138">
        <f>SUBTOTAL(9,B1562:AL1562)</f>
        <v>123188</v>
      </c>
      <c r="AP1562" s="115"/>
      <c r="AQ1562" s="115"/>
      <c r="AR1562" s="115"/>
      <c r="AS1562" s="115"/>
      <c r="AT1562" s="115"/>
    </row>
    <row r="1563" spans="1:47" ht="39" customHeight="1" x14ac:dyDescent="0.25">
      <c r="A1563" s="1468">
        <v>1562</v>
      </c>
      <c r="B1563" s="117">
        <v>5</v>
      </c>
      <c r="C1563" s="378" t="s">
        <v>426</v>
      </c>
      <c r="D1563" s="303"/>
      <c r="E1563" s="241"/>
      <c r="F1563" s="241"/>
      <c r="G1563" s="261" t="s">
        <v>427</v>
      </c>
      <c r="H1563" s="262" t="s">
        <v>85</v>
      </c>
      <c r="I1563" s="357"/>
      <c r="J1563" s="245" t="s">
        <v>556</v>
      </c>
      <c r="K1563" s="216"/>
      <c r="L1563" s="301" t="s">
        <v>2800</v>
      </c>
      <c r="M1563" s="301" t="s">
        <v>2800</v>
      </c>
      <c r="N1563" s="366"/>
      <c r="O1563" s="216" t="s">
        <v>2792</v>
      </c>
      <c r="P1563" s="402" t="s">
        <v>1828</v>
      </c>
      <c r="Q1563" s="344" t="s">
        <v>87</v>
      </c>
      <c r="R1563" s="982" t="s">
        <v>2791</v>
      </c>
      <c r="S1563" s="279">
        <v>27101</v>
      </c>
      <c r="T1563" s="252"/>
      <c r="U1563" s="251" t="s">
        <v>54</v>
      </c>
      <c r="V1563" s="197"/>
      <c r="W1563" s="197" t="s">
        <v>56</v>
      </c>
      <c r="X1563" s="197" t="s">
        <v>57</v>
      </c>
      <c r="Y1563" s="197"/>
      <c r="Z1563" s="246"/>
      <c r="AA1563" s="252"/>
      <c r="AB1563" s="282"/>
      <c r="AC1563" s="223"/>
      <c r="AD1563" s="282"/>
      <c r="AE1563" s="494"/>
      <c r="AF1563" s="494"/>
      <c r="AG1563" s="282"/>
      <c r="AH1563" s="283"/>
      <c r="AI1563" s="254"/>
      <c r="AJ1563" s="348" t="s">
        <v>560</v>
      </c>
      <c r="AK1563" s="241">
        <v>4</v>
      </c>
      <c r="AL1563" s="123" t="s">
        <v>514</v>
      </c>
      <c r="AM1563" s="123" t="s">
        <v>508</v>
      </c>
      <c r="AN1563" s="151"/>
      <c r="AO1563" s="151">
        <f>SUBTOTAL(9,B1563:AL1563)</f>
        <v>27110</v>
      </c>
      <c r="AP1563" s="115"/>
      <c r="AQ1563" s="115"/>
      <c r="AR1563" s="115"/>
      <c r="AS1563" s="115"/>
      <c r="AT1563" s="115"/>
      <c r="AU1563" t="s">
        <v>4209</v>
      </c>
    </row>
    <row r="1564" spans="1:47" ht="39" customHeight="1" x14ac:dyDescent="0.25">
      <c r="A1564" s="1468">
        <v>1563</v>
      </c>
      <c r="B1564" s="161">
        <v>4</v>
      </c>
      <c r="C1564" s="549" t="s">
        <v>382</v>
      </c>
      <c r="D1564" s="471" t="s">
        <v>134</v>
      </c>
      <c r="E1564" s="471"/>
      <c r="F1564" s="471"/>
      <c r="G1564" s="472" t="s">
        <v>520</v>
      </c>
      <c r="H1564" s="262" t="s">
        <v>85</v>
      </c>
      <c r="I1564" s="492"/>
      <c r="J1564" s="245" t="s">
        <v>556</v>
      </c>
      <c r="K1564" s="257"/>
      <c r="L1564" s="299"/>
      <c r="M1564" s="299"/>
      <c r="N1564" s="299"/>
      <c r="O1564" s="216" t="s">
        <v>2099</v>
      </c>
      <c r="P1564" s="402" t="s">
        <v>1828</v>
      </c>
      <c r="Q1564" s="344" t="s">
        <v>293</v>
      </c>
      <c r="R1564" s="982" t="s">
        <v>2098</v>
      </c>
      <c r="S1564" s="279">
        <v>33124</v>
      </c>
      <c r="T1564" s="289"/>
      <c r="U1564" s="251" t="s">
        <v>54</v>
      </c>
      <c r="V1564" s="250" t="s">
        <v>4047</v>
      </c>
      <c r="W1564" s="197" t="s">
        <v>70</v>
      </c>
      <c r="X1564" s="289" t="s">
        <v>71</v>
      </c>
      <c r="Y1564" s="288" t="s">
        <v>4218</v>
      </c>
      <c r="Z1564" s="252">
        <v>45232</v>
      </c>
      <c r="AA1564" s="252"/>
      <c r="AB1564" s="299"/>
      <c r="AC1564" s="223"/>
      <c r="AD1564" s="299"/>
      <c r="AE1564" s="494"/>
      <c r="AF1564" s="494"/>
      <c r="AG1564" s="299"/>
      <c r="AH1564" s="299"/>
      <c r="AI1564" s="223"/>
      <c r="AJ1564" s="348" t="s">
        <v>560</v>
      </c>
      <c r="AK1564" s="471">
        <v>4</v>
      </c>
      <c r="AL1564" s="176" t="s">
        <v>514</v>
      </c>
      <c r="AM1564" s="176" t="s">
        <v>508</v>
      </c>
      <c r="AN1564" s="167" t="s">
        <v>1382</v>
      </c>
      <c r="AO1564" s="167" t="s">
        <v>1383</v>
      </c>
      <c r="AP1564" s="115"/>
      <c r="AQ1564" s="115"/>
      <c r="AR1564" s="115"/>
      <c r="AS1564" s="115"/>
      <c r="AT1564" s="115"/>
    </row>
    <row r="1565" spans="1:47" s="827" customFormat="1" ht="39" customHeight="1" x14ac:dyDescent="0.25">
      <c r="A1565" s="1468">
        <v>1564</v>
      </c>
      <c r="B1565" s="117"/>
      <c r="C1565" s="324"/>
      <c r="D1565" s="664"/>
      <c r="E1565" s="664"/>
      <c r="F1565" s="664"/>
      <c r="G1565" s="227"/>
      <c r="H1565" s="228"/>
      <c r="I1565" s="228"/>
      <c r="J1565" s="229"/>
      <c r="K1565" s="227"/>
      <c r="L1565" s="229"/>
      <c r="M1565" s="229"/>
      <c r="N1565" s="229"/>
      <c r="O1565" s="309"/>
      <c r="P1565" s="230" t="s">
        <v>521</v>
      </c>
      <c r="Q1565" s="664"/>
      <c r="R1565" s="324"/>
      <c r="S1565" s="279"/>
      <c r="T1565" s="232"/>
      <c r="U1565" s="250"/>
      <c r="V1565" s="232"/>
      <c r="W1565" s="232"/>
      <c r="X1565" s="232"/>
      <c r="Y1565" s="232"/>
      <c r="Z1565" s="233"/>
      <c r="AA1565" s="252"/>
      <c r="AB1565" s="235"/>
      <c r="AC1565" s="236"/>
      <c r="AD1565" s="235"/>
      <c r="AE1565" s="494"/>
      <c r="AF1565" s="494"/>
      <c r="AG1565" s="664"/>
      <c r="AH1565" s="238"/>
      <c r="AI1565" s="239"/>
      <c r="AJ1565" s="576"/>
      <c r="AK1565" s="664"/>
      <c r="AL1565" s="113"/>
      <c r="AM1565" s="113"/>
      <c r="AN1565" s="113"/>
      <c r="AO1565" s="114"/>
      <c r="AP1565" s="115" t="s">
        <v>513</v>
      </c>
      <c r="AQ1565" s="115"/>
      <c r="AR1565" s="115"/>
      <c r="AS1565" s="115"/>
      <c r="AT1565" s="116"/>
    </row>
    <row r="1566" spans="1:47" ht="39" customHeight="1" x14ac:dyDescent="0.25">
      <c r="A1566" s="1468">
        <v>1565</v>
      </c>
      <c r="B1566" s="119">
        <v>10</v>
      </c>
      <c r="C1566" s="793" t="s">
        <v>305</v>
      </c>
      <c r="D1566" s="476"/>
      <c r="E1566" s="442" t="s">
        <v>47</v>
      </c>
      <c r="F1566" s="476"/>
      <c r="G1566" s="757" t="s">
        <v>506</v>
      </c>
      <c r="H1566" s="244" t="s">
        <v>83</v>
      </c>
      <c r="I1566" s="733"/>
      <c r="J1566" s="245">
        <v>302</v>
      </c>
      <c r="K1566" s="197" t="s">
        <v>50</v>
      </c>
      <c r="L1566" s="276"/>
      <c r="M1566" s="276"/>
      <c r="N1566" s="276"/>
      <c r="O1566" s="277" t="s">
        <v>2351</v>
      </c>
      <c r="P1566" s="708"/>
      <c r="Q1566" s="442" t="s">
        <v>119</v>
      </c>
      <c r="R1566" s="1163" t="s">
        <v>2350</v>
      </c>
      <c r="S1566" s="279">
        <v>36108</v>
      </c>
      <c r="T1566" s="280"/>
      <c r="U1566" s="251" t="s">
        <v>54</v>
      </c>
      <c r="V1566" s="197" t="s">
        <v>55</v>
      </c>
      <c r="W1566" s="197" t="s">
        <v>56</v>
      </c>
      <c r="X1566" s="197" t="s">
        <v>57</v>
      </c>
      <c r="Y1566" s="280" t="s">
        <v>5732</v>
      </c>
      <c r="Z1566" s="398">
        <v>44783</v>
      </c>
      <c r="AA1566" s="252"/>
      <c r="AB1566" s="276"/>
      <c r="AC1566" s="488"/>
      <c r="AD1566" s="276"/>
      <c r="AE1566" s="494"/>
      <c r="AF1566" s="494"/>
      <c r="AG1566" s="476"/>
      <c r="AH1566" s="871"/>
      <c r="AI1566" s="721"/>
      <c r="AJ1566" s="755" t="s">
        <v>62</v>
      </c>
      <c r="AK1566" s="442">
        <v>1</v>
      </c>
      <c r="AL1566" s="175" t="s">
        <v>514</v>
      </c>
      <c r="AM1566" s="175" t="s">
        <v>508</v>
      </c>
      <c r="AN1566" s="800"/>
      <c r="AO1566" s="800">
        <f>SUBTOTAL(9,B1566:AL1566)</f>
        <v>81204</v>
      </c>
      <c r="AP1566" s="115">
        <v>1</v>
      </c>
      <c r="AQ1566" s="115"/>
      <c r="AR1566" s="115"/>
      <c r="AS1566" s="115"/>
      <c r="AT1566" s="115"/>
    </row>
    <row r="1567" spans="1:47" ht="39" customHeight="1" x14ac:dyDescent="0.25">
      <c r="A1567" s="1468">
        <v>1566</v>
      </c>
      <c r="B1567" s="159" t="s">
        <v>522</v>
      </c>
      <c r="C1567" s="356" t="s">
        <v>382</v>
      </c>
      <c r="D1567" s="241" t="s">
        <v>134</v>
      </c>
      <c r="E1567" s="241"/>
      <c r="F1567" s="241"/>
      <c r="G1567" s="261" t="s">
        <v>520</v>
      </c>
      <c r="H1567" s="262" t="s">
        <v>85</v>
      </c>
      <c r="I1567" s="357"/>
      <c r="J1567" s="245" t="s">
        <v>556</v>
      </c>
      <c r="K1567" s="265" t="s">
        <v>158</v>
      </c>
      <c r="L1567" s="265" t="s">
        <v>1176</v>
      </c>
      <c r="M1567" s="438" t="s">
        <v>1176</v>
      </c>
      <c r="N1567" s="438"/>
      <c r="O1567" s="265" t="s">
        <v>1177</v>
      </c>
      <c r="P1567" s="247"/>
      <c r="Q1567" s="831" t="s">
        <v>570</v>
      </c>
      <c r="R1567" s="834" t="s">
        <v>1178</v>
      </c>
      <c r="S1567" s="279">
        <v>36621</v>
      </c>
      <c r="T1567" s="414"/>
      <c r="U1567" s="251" t="s">
        <v>54</v>
      </c>
      <c r="V1567" s="268" t="s">
        <v>55</v>
      </c>
      <c r="W1567" s="268" t="s">
        <v>56</v>
      </c>
      <c r="X1567" s="268" t="s">
        <v>57</v>
      </c>
      <c r="Y1567" s="268" t="s">
        <v>58</v>
      </c>
      <c r="Z1567" s="405">
        <v>44783</v>
      </c>
      <c r="AA1567" s="252"/>
      <c r="AB1567" s="438"/>
      <c r="AC1567" s="474" t="s">
        <v>946</v>
      </c>
      <c r="AD1567" s="264"/>
      <c r="AE1567" s="494">
        <v>44636</v>
      </c>
      <c r="AF1567" s="494">
        <v>45732</v>
      </c>
      <c r="AG1567" s="481" t="s">
        <v>61</v>
      </c>
      <c r="AH1567" s="585"/>
      <c r="AI1567" s="719"/>
      <c r="AJ1567" s="743" t="s">
        <v>560</v>
      </c>
      <c r="AK1567" s="241">
        <v>4</v>
      </c>
      <c r="AL1567" s="123" t="s">
        <v>514</v>
      </c>
      <c r="AM1567" s="123" t="s">
        <v>508</v>
      </c>
      <c r="AN1567" s="151" t="s">
        <v>1382</v>
      </c>
      <c r="AO1567" s="151" t="s">
        <v>1383</v>
      </c>
      <c r="AP1567" s="115">
        <v>1</v>
      </c>
      <c r="AQ1567" s="115"/>
      <c r="AR1567" s="115"/>
      <c r="AS1567" s="115"/>
      <c r="AT1567" s="115"/>
    </row>
    <row r="1568" spans="1:47" ht="39" customHeight="1" x14ac:dyDescent="0.25">
      <c r="A1568" s="1468">
        <v>1567</v>
      </c>
      <c r="B1568" s="159" t="s">
        <v>523</v>
      </c>
      <c r="C1568" s="358" t="s">
        <v>385</v>
      </c>
      <c r="D1568" s="303" t="s">
        <v>134</v>
      </c>
      <c r="E1568" s="241"/>
      <c r="F1568" s="241"/>
      <c r="G1568" s="261" t="s">
        <v>524</v>
      </c>
      <c r="H1568" s="262" t="s">
        <v>85</v>
      </c>
      <c r="I1568" s="357"/>
      <c r="J1568" s="245" t="s">
        <v>556</v>
      </c>
      <c r="K1568" s="216" t="s">
        <v>158</v>
      </c>
      <c r="L1568" s="256" t="s">
        <v>1115</v>
      </c>
      <c r="M1568" s="256" t="s">
        <v>1115</v>
      </c>
      <c r="N1568" s="245"/>
      <c r="O1568" s="216" t="s">
        <v>1191</v>
      </c>
      <c r="P1568" s="247"/>
      <c r="Q1568" s="344" t="s">
        <v>519</v>
      </c>
      <c r="R1568" s="982" t="s">
        <v>1192</v>
      </c>
      <c r="S1568" s="279">
        <v>32359</v>
      </c>
      <c r="T1568" s="250"/>
      <c r="U1568" s="251" t="s">
        <v>54</v>
      </c>
      <c r="V1568" s="250" t="s">
        <v>1193</v>
      </c>
      <c r="W1568" s="197" t="s">
        <v>56</v>
      </c>
      <c r="X1568" s="197" t="s">
        <v>57</v>
      </c>
      <c r="Y1568" s="197" t="s">
        <v>951</v>
      </c>
      <c r="Z1568" s="252">
        <v>44931</v>
      </c>
      <c r="AA1568" s="252"/>
      <c r="AB1568" s="590" t="s">
        <v>337</v>
      </c>
      <c r="AC1568" s="223" t="s">
        <v>946</v>
      </c>
      <c r="AD1568" s="593"/>
      <c r="AE1568" s="494">
        <v>43524</v>
      </c>
      <c r="AF1568" s="494">
        <v>44619</v>
      </c>
      <c r="AG1568" s="241" t="s">
        <v>61</v>
      </c>
      <c r="AH1568" s="253"/>
      <c r="AI1568" s="297"/>
      <c r="AJ1568" s="348" t="s">
        <v>560</v>
      </c>
      <c r="AK1568" s="241">
        <v>4</v>
      </c>
      <c r="AL1568" s="123" t="s">
        <v>514</v>
      </c>
      <c r="AM1568" s="123" t="s">
        <v>508</v>
      </c>
      <c r="AN1568" s="151"/>
      <c r="AO1568" s="151" t="s">
        <v>1383</v>
      </c>
      <c r="AP1568" s="115">
        <v>1</v>
      </c>
      <c r="AQ1568" s="115"/>
      <c r="AR1568" s="115"/>
      <c r="AS1568" s="115"/>
      <c r="AT1568" s="116"/>
    </row>
    <row r="1569" spans="1:46" ht="39" customHeight="1" x14ac:dyDescent="0.25">
      <c r="A1569" s="1468">
        <v>1568</v>
      </c>
      <c r="B1569" s="158" t="s">
        <v>525</v>
      </c>
      <c r="C1569" s="290" t="s">
        <v>517</v>
      </c>
      <c r="D1569" s="291"/>
      <c r="E1569" s="291" t="s">
        <v>47</v>
      </c>
      <c r="F1569" s="291"/>
      <c r="G1569" s="292" t="s">
        <v>518</v>
      </c>
      <c r="H1569" s="370" t="s">
        <v>519</v>
      </c>
      <c r="I1569" s="371"/>
      <c r="J1569" s="281">
        <v>402</v>
      </c>
      <c r="K1569" s="216" t="s">
        <v>144</v>
      </c>
      <c r="L1569" s="245" t="s">
        <v>1194</v>
      </c>
      <c r="M1569" s="245" t="s">
        <v>1194</v>
      </c>
      <c r="N1569" s="245"/>
      <c r="O1569" s="216" t="s">
        <v>1195</v>
      </c>
      <c r="P1569" s="247"/>
      <c r="Q1569" s="344" t="s">
        <v>132</v>
      </c>
      <c r="R1569" s="982" t="s">
        <v>1196</v>
      </c>
      <c r="S1569" s="279">
        <v>31367</v>
      </c>
      <c r="T1569" s="250"/>
      <c r="U1569" s="251" t="s">
        <v>54</v>
      </c>
      <c r="V1569" s="250" t="s">
        <v>1193</v>
      </c>
      <c r="W1569" s="197" t="s">
        <v>56</v>
      </c>
      <c r="X1569" s="197" t="s">
        <v>57</v>
      </c>
      <c r="Y1569" s="197" t="s">
        <v>951</v>
      </c>
      <c r="Z1569" s="252">
        <v>44566</v>
      </c>
      <c r="AA1569" s="252"/>
      <c r="AB1569" s="245"/>
      <c r="AC1569" s="223" t="s">
        <v>566</v>
      </c>
      <c r="AD1569" s="245"/>
      <c r="AE1569" s="494">
        <v>43752</v>
      </c>
      <c r="AF1569" s="494">
        <v>44847</v>
      </c>
      <c r="AG1569" s="241" t="s">
        <v>61</v>
      </c>
      <c r="AH1569" s="253"/>
      <c r="AI1569" s="296"/>
      <c r="AJ1569" s="348" t="s">
        <v>560</v>
      </c>
      <c r="AK1569" s="348">
        <v>3</v>
      </c>
      <c r="AL1569" s="123" t="s">
        <v>514</v>
      </c>
      <c r="AM1569" s="123" t="s">
        <v>508</v>
      </c>
      <c r="AN1569" s="138"/>
      <c r="AO1569" s="138">
        <f>SUBTOTAL(9,B1569:AL1569)</f>
        <v>164937</v>
      </c>
      <c r="AP1569" s="115">
        <v>1</v>
      </c>
      <c r="AQ1569" s="115"/>
      <c r="AR1569" s="115"/>
      <c r="AS1569" s="115"/>
      <c r="AT1569" s="115"/>
    </row>
    <row r="1570" spans="1:46" ht="39" customHeight="1" x14ac:dyDescent="0.25">
      <c r="A1570" s="1468">
        <v>1569</v>
      </c>
      <c r="B1570" s="159" t="s">
        <v>526</v>
      </c>
      <c r="C1570" s="356" t="s">
        <v>290</v>
      </c>
      <c r="D1570" s="241" t="s">
        <v>134</v>
      </c>
      <c r="E1570" s="241"/>
      <c r="F1570" s="241"/>
      <c r="G1570" s="261" t="s">
        <v>527</v>
      </c>
      <c r="H1570" s="262" t="s">
        <v>87</v>
      </c>
      <c r="I1570" s="357"/>
      <c r="J1570" s="245" t="s">
        <v>561</v>
      </c>
      <c r="K1570" s="216"/>
      <c r="L1570" s="288" t="s">
        <v>1526</v>
      </c>
      <c r="M1570" s="288" t="s">
        <v>1526</v>
      </c>
      <c r="N1570" s="374"/>
      <c r="O1570" s="385" t="s">
        <v>1545</v>
      </c>
      <c r="P1570" s="374"/>
      <c r="Q1570" s="344" t="s">
        <v>87</v>
      </c>
      <c r="R1570" s="982" t="s">
        <v>1546</v>
      </c>
      <c r="S1570" s="279">
        <v>29694</v>
      </c>
      <c r="T1570" s="197"/>
      <c r="U1570" s="251" t="s">
        <v>54</v>
      </c>
      <c r="V1570" s="250" t="s">
        <v>2793</v>
      </c>
      <c r="W1570" s="197" t="s">
        <v>56</v>
      </c>
      <c r="X1570" s="197" t="s">
        <v>57</v>
      </c>
      <c r="Y1570" s="197" t="s">
        <v>2609</v>
      </c>
      <c r="Z1570" s="246">
        <v>45141</v>
      </c>
      <c r="AA1570" s="252"/>
      <c r="AB1570" s="288"/>
      <c r="AC1570" s="223"/>
      <c r="AD1570" s="288"/>
      <c r="AE1570" s="494"/>
      <c r="AF1570" s="494"/>
      <c r="AG1570" s="392"/>
      <c r="AH1570" s="283"/>
      <c r="AI1570" s="254"/>
      <c r="AJ1570" s="348" t="s">
        <v>560</v>
      </c>
      <c r="AK1570" s="241">
        <v>4</v>
      </c>
      <c r="AL1570" s="123" t="s">
        <v>514</v>
      </c>
      <c r="AM1570" s="123" t="s">
        <v>508</v>
      </c>
      <c r="AN1570" s="151" t="s">
        <v>1382</v>
      </c>
      <c r="AO1570" s="151" t="s">
        <v>1383</v>
      </c>
      <c r="AP1570" s="115">
        <v>1</v>
      </c>
      <c r="AQ1570" s="115"/>
      <c r="AR1570" s="115"/>
      <c r="AS1570" s="115"/>
      <c r="AT1570" s="115"/>
    </row>
    <row r="1571" spans="1:46" ht="39" customHeight="1" x14ac:dyDescent="0.25">
      <c r="A1571" s="1468">
        <v>1570</v>
      </c>
      <c r="B1571" s="159" t="s">
        <v>523</v>
      </c>
      <c r="C1571" s="358" t="s">
        <v>385</v>
      </c>
      <c r="D1571" s="303" t="s">
        <v>134</v>
      </c>
      <c r="E1571" s="241"/>
      <c r="F1571" s="241"/>
      <c r="G1571" s="261" t="s">
        <v>524</v>
      </c>
      <c r="H1571" s="262" t="s">
        <v>85</v>
      </c>
      <c r="I1571" s="357"/>
      <c r="J1571" s="245" t="s">
        <v>556</v>
      </c>
      <c r="K1571" s="257"/>
      <c r="L1571" s="288" t="s">
        <v>1526</v>
      </c>
      <c r="M1571" s="288" t="s">
        <v>1526</v>
      </c>
      <c r="N1571" s="374"/>
      <c r="O1571" s="385" t="s">
        <v>1570</v>
      </c>
      <c r="P1571" s="247"/>
      <c r="Q1571" s="373" t="s">
        <v>87</v>
      </c>
      <c r="R1571" s="982" t="s">
        <v>1571</v>
      </c>
      <c r="S1571" s="279">
        <v>29999</v>
      </c>
      <c r="T1571" s="197"/>
      <c r="U1571" s="251" t="s">
        <v>54</v>
      </c>
      <c r="V1571" s="250" t="s">
        <v>2793</v>
      </c>
      <c r="W1571" s="197" t="s">
        <v>56</v>
      </c>
      <c r="X1571" s="197" t="s">
        <v>57</v>
      </c>
      <c r="Y1571" s="197" t="s">
        <v>2609</v>
      </c>
      <c r="Z1571" s="246">
        <v>45141</v>
      </c>
      <c r="AA1571" s="252"/>
      <c r="AB1571" s="288"/>
      <c r="AC1571" s="223"/>
      <c r="AD1571" s="288"/>
      <c r="AE1571" s="494"/>
      <c r="AF1571" s="494"/>
      <c r="AG1571" s="392"/>
      <c r="AH1571" s="283"/>
      <c r="AI1571" s="254"/>
      <c r="AJ1571" s="348" t="s">
        <v>560</v>
      </c>
      <c r="AK1571" s="241">
        <v>4</v>
      </c>
      <c r="AL1571" s="123" t="s">
        <v>514</v>
      </c>
      <c r="AM1571" s="123" t="s">
        <v>508</v>
      </c>
      <c r="AN1571" s="151"/>
      <c r="AO1571" s="151" t="s">
        <v>1383</v>
      </c>
      <c r="AP1571" s="115">
        <v>1</v>
      </c>
      <c r="AQ1571" s="115"/>
      <c r="AR1571" s="115"/>
      <c r="AS1571" s="115"/>
      <c r="AT1571" s="116"/>
    </row>
    <row r="1572" spans="1:46" ht="39" customHeight="1" x14ac:dyDescent="0.25">
      <c r="A1572" s="1468">
        <v>1571</v>
      </c>
      <c r="B1572" s="128" t="s">
        <v>525</v>
      </c>
      <c r="C1572" s="408" t="s">
        <v>517</v>
      </c>
      <c r="D1572" s="291"/>
      <c r="E1572" s="291" t="s">
        <v>47</v>
      </c>
      <c r="F1572" s="291"/>
      <c r="G1572" s="292" t="s">
        <v>518</v>
      </c>
      <c r="H1572" s="293" t="s">
        <v>519</v>
      </c>
      <c r="I1572" s="346"/>
      <c r="J1572" s="281">
        <v>402</v>
      </c>
      <c r="K1572" s="216"/>
      <c r="L1572" s="288" t="s">
        <v>1526</v>
      </c>
      <c r="M1572" s="288" t="s">
        <v>1526</v>
      </c>
      <c r="N1572" s="374"/>
      <c r="O1572" s="385" t="s">
        <v>1555</v>
      </c>
      <c r="P1572" s="374"/>
      <c r="Q1572" s="344" t="s">
        <v>567</v>
      </c>
      <c r="R1572" s="982" t="s">
        <v>1556</v>
      </c>
      <c r="S1572" s="279">
        <v>30425</v>
      </c>
      <c r="T1572" s="197"/>
      <c r="U1572" s="251" t="s">
        <v>54</v>
      </c>
      <c r="V1572" s="250" t="s">
        <v>2793</v>
      </c>
      <c r="W1572" s="197" t="s">
        <v>56</v>
      </c>
      <c r="X1572" s="197" t="s">
        <v>57</v>
      </c>
      <c r="Y1572" s="197" t="s">
        <v>2609</v>
      </c>
      <c r="Z1572" s="246">
        <v>45139</v>
      </c>
      <c r="AA1572" s="252"/>
      <c r="AB1572" s="288"/>
      <c r="AC1572" s="223"/>
      <c r="AD1572" s="288"/>
      <c r="AE1572" s="494"/>
      <c r="AF1572" s="494"/>
      <c r="AG1572" s="392"/>
      <c r="AH1572" s="283"/>
      <c r="AI1572" s="254"/>
      <c r="AJ1572" s="348" t="s">
        <v>560</v>
      </c>
      <c r="AK1572" s="348">
        <v>3</v>
      </c>
      <c r="AL1572" s="123" t="s">
        <v>514</v>
      </c>
      <c r="AM1572" s="123" t="s">
        <v>508</v>
      </c>
      <c r="AN1572" s="138"/>
      <c r="AO1572" s="138">
        <f>SUBTOTAL(9,B1572:AL1572)</f>
        <v>75969</v>
      </c>
      <c r="AP1572" s="115">
        <v>1</v>
      </c>
      <c r="AQ1572" s="115"/>
      <c r="AR1572" s="115"/>
      <c r="AS1572" s="115"/>
      <c r="AT1572" s="115"/>
    </row>
    <row r="1573" spans="1:46" ht="39" customHeight="1" x14ac:dyDescent="0.25">
      <c r="A1573" s="1468">
        <v>1572</v>
      </c>
      <c r="B1573" s="159" t="s">
        <v>526</v>
      </c>
      <c r="C1573" s="356" t="s">
        <v>290</v>
      </c>
      <c r="D1573" s="241" t="s">
        <v>134</v>
      </c>
      <c r="E1573" s="241"/>
      <c r="F1573" s="241"/>
      <c r="G1573" s="261" t="s">
        <v>527</v>
      </c>
      <c r="H1573" s="262" t="s">
        <v>87</v>
      </c>
      <c r="I1573" s="357"/>
      <c r="J1573" s="245" t="s">
        <v>561</v>
      </c>
      <c r="K1573" s="216"/>
      <c r="L1573" s="197" t="s">
        <v>5152</v>
      </c>
      <c r="M1573" s="197" t="s">
        <v>5152</v>
      </c>
      <c r="N1573" s="245"/>
      <c r="O1573" s="216" t="s">
        <v>5154</v>
      </c>
      <c r="P1573" s="247" t="s">
        <v>1828</v>
      </c>
      <c r="Q1573" s="344" t="s">
        <v>87</v>
      </c>
      <c r="R1573" s="982" t="s">
        <v>5153</v>
      </c>
      <c r="S1573" s="279">
        <v>26352</v>
      </c>
      <c r="T1573" s="250"/>
      <c r="U1573" s="251" t="s">
        <v>54</v>
      </c>
      <c r="V1573" s="1449" t="s">
        <v>5815</v>
      </c>
      <c r="W1573" s="250" t="s">
        <v>5728</v>
      </c>
      <c r="X1573" s="197" t="s">
        <v>57</v>
      </c>
      <c r="Y1573" s="949" t="s">
        <v>4631</v>
      </c>
      <c r="Z1573" s="246">
        <v>45288</v>
      </c>
      <c r="AA1573" s="252"/>
      <c r="AB1573" s="245"/>
      <c r="AC1573" s="223"/>
      <c r="AD1573" s="299"/>
      <c r="AE1573" s="494"/>
      <c r="AF1573" s="494"/>
      <c r="AG1573" s="241"/>
      <c r="AH1573" s="245"/>
      <c r="AI1573" s="284"/>
      <c r="AJ1573" s="348" t="s">
        <v>560</v>
      </c>
      <c r="AK1573" s="241">
        <v>4</v>
      </c>
      <c r="AL1573" s="123" t="s">
        <v>514</v>
      </c>
      <c r="AM1573" s="123" t="s">
        <v>508</v>
      </c>
      <c r="AN1573" s="151" t="s">
        <v>1382</v>
      </c>
      <c r="AO1573" s="151" t="s">
        <v>1383</v>
      </c>
      <c r="AP1573" s="115">
        <v>1</v>
      </c>
      <c r="AQ1573" s="115"/>
      <c r="AR1573" s="115"/>
      <c r="AS1573" s="115"/>
      <c r="AT1573" s="115"/>
    </row>
    <row r="1574" spans="1:46" ht="39" customHeight="1" x14ac:dyDescent="0.25">
      <c r="A1574" s="1468">
        <v>1573</v>
      </c>
      <c r="B1574" s="160" t="s">
        <v>523</v>
      </c>
      <c r="C1574" s="520" t="s">
        <v>385</v>
      </c>
      <c r="D1574" s="470" t="s">
        <v>134</v>
      </c>
      <c r="E1574" s="471"/>
      <c r="F1574" s="471"/>
      <c r="G1574" s="472" t="s">
        <v>524</v>
      </c>
      <c r="H1574" s="262" t="s">
        <v>85</v>
      </c>
      <c r="I1574" s="492"/>
      <c r="J1574" s="245" t="s">
        <v>556</v>
      </c>
      <c r="K1574" s="216"/>
      <c r="L1574" s="288" t="s">
        <v>1526</v>
      </c>
      <c r="M1574" s="288" t="s">
        <v>1526</v>
      </c>
      <c r="N1574" s="374"/>
      <c r="O1574" s="385" t="s">
        <v>1565</v>
      </c>
      <c r="P1574" s="247"/>
      <c r="Q1574" s="373" t="s">
        <v>87</v>
      </c>
      <c r="R1574" s="982" t="s">
        <v>2330</v>
      </c>
      <c r="S1574" s="279">
        <v>32347</v>
      </c>
      <c r="T1574" s="197"/>
      <c r="U1574" s="251" t="s">
        <v>54</v>
      </c>
      <c r="V1574" s="250"/>
      <c r="W1574" s="197" t="s">
        <v>56</v>
      </c>
      <c r="X1574" s="197" t="s">
        <v>57</v>
      </c>
      <c r="Y1574" s="197"/>
      <c r="Z1574" s="246"/>
      <c r="AA1574" s="252"/>
      <c r="AB1574" s="288"/>
      <c r="AC1574" s="223"/>
      <c r="AD1574" s="288"/>
      <c r="AE1574" s="494"/>
      <c r="AF1574" s="494"/>
      <c r="AG1574" s="392"/>
      <c r="AH1574" s="283"/>
      <c r="AI1574" s="254"/>
      <c r="AJ1574" s="348" t="s">
        <v>560</v>
      </c>
      <c r="AK1574" s="471">
        <v>4</v>
      </c>
      <c r="AL1574" s="176" t="s">
        <v>514</v>
      </c>
      <c r="AM1574" s="176" t="s">
        <v>508</v>
      </c>
      <c r="AN1574" s="167"/>
      <c r="AO1574" s="167" t="s">
        <v>1383</v>
      </c>
      <c r="AP1574" s="115">
        <v>1</v>
      </c>
      <c r="AQ1574" s="115"/>
      <c r="AR1574" s="115"/>
      <c r="AS1574" s="115"/>
      <c r="AT1574" s="116"/>
    </row>
    <row r="1575" spans="1:46" s="827" customFormat="1" ht="39" customHeight="1" x14ac:dyDescent="0.25">
      <c r="A1575" s="1468">
        <v>1574</v>
      </c>
      <c r="B1575" s="117"/>
      <c r="C1575" s="324"/>
      <c r="D1575" s="664"/>
      <c r="E1575" s="664"/>
      <c r="F1575" s="664"/>
      <c r="G1575" s="227"/>
      <c r="H1575" s="228"/>
      <c r="I1575" s="228"/>
      <c r="J1575" s="229"/>
      <c r="K1575" s="227"/>
      <c r="L1575" s="229"/>
      <c r="M1575" s="229"/>
      <c r="N1575" s="229"/>
      <c r="O1575" s="309"/>
      <c r="P1575" s="230" t="s">
        <v>528</v>
      </c>
      <c r="Q1575" s="664"/>
      <c r="R1575" s="324"/>
      <c r="S1575" s="279"/>
      <c r="T1575" s="232"/>
      <c r="U1575" s="250"/>
      <c r="V1575" s="232"/>
      <c r="W1575" s="232"/>
      <c r="X1575" s="232"/>
      <c r="Y1575" s="232"/>
      <c r="Z1575" s="233"/>
      <c r="AA1575" s="252"/>
      <c r="AB1575" s="235"/>
      <c r="AC1575" s="236"/>
      <c r="AD1575" s="235"/>
      <c r="AE1575" s="494"/>
      <c r="AF1575" s="494"/>
      <c r="AG1575" s="664"/>
      <c r="AH1575" s="238"/>
      <c r="AI1575" s="239"/>
      <c r="AJ1575" s="576"/>
      <c r="AK1575" s="664"/>
      <c r="AL1575" s="113"/>
      <c r="AM1575" s="113"/>
      <c r="AN1575" s="113"/>
      <c r="AO1575" s="114"/>
      <c r="AP1575" s="115" t="s">
        <v>513</v>
      </c>
      <c r="AQ1575" s="115"/>
      <c r="AR1575" s="115"/>
      <c r="AS1575" s="115"/>
      <c r="AT1575" s="116"/>
    </row>
    <row r="1576" spans="1:46" ht="39" customHeight="1" x14ac:dyDescent="0.25">
      <c r="A1576" s="1468">
        <v>1575</v>
      </c>
      <c r="B1576" s="189" t="s">
        <v>529</v>
      </c>
      <c r="C1576" s="793" t="s">
        <v>305</v>
      </c>
      <c r="D1576" s="476"/>
      <c r="E1576" s="442" t="s">
        <v>47</v>
      </c>
      <c r="F1576" s="476"/>
      <c r="G1576" s="757" t="s">
        <v>506</v>
      </c>
      <c r="H1576" s="244" t="s">
        <v>83</v>
      </c>
      <c r="I1576" s="870"/>
      <c r="J1576" s="245">
        <v>302</v>
      </c>
      <c r="K1576" s="216"/>
      <c r="L1576" s="256"/>
      <c r="M1576" s="256"/>
      <c r="N1576" s="245"/>
      <c r="O1576" s="216"/>
      <c r="P1576" s="247"/>
      <c r="Q1576" s="338"/>
      <c r="R1576" s="990" t="s">
        <v>66</v>
      </c>
      <c r="S1576" s="279"/>
      <c r="T1576" s="306"/>
      <c r="U1576" s="250"/>
      <c r="V1576" s="1413"/>
      <c r="W1576" s="250"/>
      <c r="X1576" s="197"/>
      <c r="Y1576" s="949"/>
      <c r="Z1576" s="246"/>
      <c r="AA1576" s="252"/>
      <c r="AB1576" s="299"/>
      <c r="AC1576" s="223"/>
      <c r="AD1576" s="299"/>
      <c r="AE1576" s="494"/>
      <c r="AF1576" s="494"/>
      <c r="AG1576" s="241"/>
      <c r="AH1576" s="253"/>
      <c r="AI1576" s="223"/>
      <c r="AJ1576" s="755"/>
      <c r="AK1576" s="442">
        <v>1</v>
      </c>
      <c r="AL1576" s="175" t="s">
        <v>514</v>
      </c>
      <c r="AM1576" s="175" t="s">
        <v>508</v>
      </c>
      <c r="AN1576" s="800"/>
      <c r="AO1576" s="800">
        <f>SUBTOTAL(9,B1576:AL1576)</f>
        <v>303</v>
      </c>
      <c r="AP1576" s="115">
        <v>1</v>
      </c>
      <c r="AQ1576" s="115"/>
      <c r="AR1576" s="115"/>
      <c r="AS1576" s="115"/>
      <c r="AT1576" s="115"/>
    </row>
    <row r="1577" spans="1:46" ht="39" customHeight="1" x14ac:dyDescent="0.25">
      <c r="A1577" s="1468">
        <v>1576</v>
      </c>
      <c r="B1577" s="117" t="s">
        <v>522</v>
      </c>
      <c r="C1577" s="356" t="s">
        <v>382</v>
      </c>
      <c r="D1577" s="241" t="s">
        <v>134</v>
      </c>
      <c r="E1577" s="241"/>
      <c r="F1577" s="241"/>
      <c r="G1577" s="261" t="s">
        <v>520</v>
      </c>
      <c r="H1577" s="262" t="s">
        <v>85</v>
      </c>
      <c r="I1577" s="357"/>
      <c r="J1577" s="245" t="s">
        <v>556</v>
      </c>
      <c r="K1577" s="216"/>
      <c r="L1577" s="256"/>
      <c r="M1577" s="256"/>
      <c r="N1577" s="245"/>
      <c r="O1577" s="216"/>
      <c r="P1577" s="247"/>
      <c r="Q1577" s="338"/>
      <c r="R1577" s="1538" t="s">
        <v>66</v>
      </c>
      <c r="S1577" s="279"/>
      <c r="T1577" s="306"/>
      <c r="U1577" s="250"/>
      <c r="V1577" s="197"/>
      <c r="W1577" s="280"/>
      <c r="X1577" s="197"/>
      <c r="Y1577" s="288"/>
      <c r="Z1577" s="246"/>
      <c r="AA1577" s="252"/>
      <c r="AB1577" s="299"/>
      <c r="AC1577" s="223"/>
      <c r="AD1577" s="299"/>
      <c r="AE1577" s="494"/>
      <c r="AF1577" s="494"/>
      <c r="AG1577" s="241"/>
      <c r="AH1577" s="253"/>
      <c r="AI1577" s="223"/>
      <c r="AJ1577" s="755"/>
      <c r="AK1577" s="241">
        <v>4</v>
      </c>
      <c r="AL1577" s="123" t="s">
        <v>514</v>
      </c>
      <c r="AM1577" s="123" t="s">
        <v>508</v>
      </c>
      <c r="AN1577" s="151" t="s">
        <v>1382</v>
      </c>
      <c r="AO1577" s="151" t="s">
        <v>1383</v>
      </c>
      <c r="AP1577" s="115">
        <v>1</v>
      </c>
      <c r="AQ1577" s="115"/>
      <c r="AR1577" s="115"/>
      <c r="AS1577" s="115"/>
      <c r="AT1577" s="115"/>
    </row>
    <row r="1578" spans="1:46" ht="39" customHeight="1" x14ac:dyDescent="0.25">
      <c r="A1578" s="1468">
        <v>1577</v>
      </c>
      <c r="B1578" s="159" t="s">
        <v>523</v>
      </c>
      <c r="C1578" s="358" t="s">
        <v>385</v>
      </c>
      <c r="D1578" s="303" t="s">
        <v>134</v>
      </c>
      <c r="E1578" s="241"/>
      <c r="F1578" s="241"/>
      <c r="G1578" s="261" t="s">
        <v>524</v>
      </c>
      <c r="H1578" s="262" t="s">
        <v>85</v>
      </c>
      <c r="I1578" s="357"/>
      <c r="J1578" s="245" t="s">
        <v>556</v>
      </c>
      <c r="K1578" s="216"/>
      <c r="L1578" s="288" t="s">
        <v>1526</v>
      </c>
      <c r="M1578" s="288" t="s">
        <v>1526</v>
      </c>
      <c r="N1578" s="374"/>
      <c r="O1578" s="385" t="s">
        <v>1577</v>
      </c>
      <c r="P1578" s="374"/>
      <c r="Q1578" s="373" t="s">
        <v>87</v>
      </c>
      <c r="R1578" s="982" t="s">
        <v>1578</v>
      </c>
      <c r="S1578" s="279">
        <v>31522</v>
      </c>
      <c r="T1578" s="197"/>
      <c r="U1578" s="251" t="s">
        <v>54</v>
      </c>
      <c r="V1578" s="250" t="s">
        <v>2793</v>
      </c>
      <c r="W1578" s="197" t="s">
        <v>56</v>
      </c>
      <c r="X1578" s="197" t="s">
        <v>57</v>
      </c>
      <c r="Y1578" s="197" t="s">
        <v>2609</v>
      </c>
      <c r="Z1578" s="246">
        <v>45141</v>
      </c>
      <c r="AA1578" s="252"/>
      <c r="AB1578" s="288"/>
      <c r="AC1578" s="223"/>
      <c r="AD1578" s="288"/>
      <c r="AE1578" s="494"/>
      <c r="AF1578" s="494"/>
      <c r="AG1578" s="392"/>
      <c r="AH1578" s="283"/>
      <c r="AI1578" s="254"/>
      <c r="AJ1578" s="348" t="s">
        <v>560</v>
      </c>
      <c r="AK1578" s="241">
        <v>4</v>
      </c>
      <c r="AL1578" s="123" t="s">
        <v>514</v>
      </c>
      <c r="AM1578" s="123" t="s">
        <v>508</v>
      </c>
      <c r="AN1578" s="151"/>
      <c r="AO1578" s="151" t="s">
        <v>1383</v>
      </c>
      <c r="AP1578" s="115">
        <v>1</v>
      </c>
      <c r="AQ1578" s="115"/>
      <c r="AR1578" s="115"/>
      <c r="AS1578" s="115"/>
      <c r="AT1578" s="116"/>
    </row>
    <row r="1579" spans="1:46" ht="39" customHeight="1" x14ac:dyDescent="0.25">
      <c r="A1579" s="1468">
        <v>1578</v>
      </c>
      <c r="B1579" s="128" t="s">
        <v>525</v>
      </c>
      <c r="C1579" s="290" t="s">
        <v>517</v>
      </c>
      <c r="D1579" s="291"/>
      <c r="E1579" s="291" t="s">
        <v>47</v>
      </c>
      <c r="F1579" s="291"/>
      <c r="G1579" s="292" t="s">
        <v>518</v>
      </c>
      <c r="H1579" s="293" t="s">
        <v>519</v>
      </c>
      <c r="I1579" s="346"/>
      <c r="J1579" s="281">
        <v>402</v>
      </c>
      <c r="K1579" s="216"/>
      <c r="L1579" s="288" t="s">
        <v>1526</v>
      </c>
      <c r="M1579" s="288" t="s">
        <v>1526</v>
      </c>
      <c r="N1579" s="374"/>
      <c r="O1579" s="385" t="s">
        <v>1549</v>
      </c>
      <c r="P1579" s="374"/>
      <c r="Q1579" s="373" t="s">
        <v>87</v>
      </c>
      <c r="R1579" s="982" t="s">
        <v>1550</v>
      </c>
      <c r="S1579" s="279">
        <v>31707</v>
      </c>
      <c r="T1579" s="197"/>
      <c r="U1579" s="251" t="s">
        <v>54</v>
      </c>
      <c r="V1579" s="250" t="s">
        <v>2793</v>
      </c>
      <c r="W1579" s="197" t="s">
        <v>56</v>
      </c>
      <c r="X1579" s="197" t="s">
        <v>57</v>
      </c>
      <c r="Y1579" s="197" t="s">
        <v>2609</v>
      </c>
      <c r="Z1579" s="246">
        <v>45141</v>
      </c>
      <c r="AA1579" s="252"/>
      <c r="AB1579" s="281"/>
      <c r="AC1579" s="223"/>
      <c r="AD1579" s="288"/>
      <c r="AE1579" s="494"/>
      <c r="AF1579" s="494"/>
      <c r="AG1579" s="392"/>
      <c r="AH1579" s="283"/>
      <c r="AI1579" s="254"/>
      <c r="AJ1579" s="348" t="s">
        <v>560</v>
      </c>
      <c r="AK1579" s="348">
        <v>3</v>
      </c>
      <c r="AL1579" s="123" t="s">
        <v>514</v>
      </c>
      <c r="AM1579" s="123" t="s">
        <v>508</v>
      </c>
      <c r="AN1579" s="138"/>
      <c r="AO1579" s="138">
        <f>SUBTOTAL(9,B1579:AL1579)</f>
        <v>77253</v>
      </c>
      <c r="AP1579" s="115">
        <v>1</v>
      </c>
      <c r="AQ1579" s="115"/>
      <c r="AR1579" s="115"/>
      <c r="AS1579" s="115"/>
      <c r="AT1579" s="115"/>
    </row>
    <row r="1580" spans="1:46" ht="39" customHeight="1" x14ac:dyDescent="0.25">
      <c r="A1580" s="1468">
        <v>1579</v>
      </c>
      <c r="B1580" s="159" t="s">
        <v>526</v>
      </c>
      <c r="C1580" s="356" t="s">
        <v>290</v>
      </c>
      <c r="D1580" s="241" t="s">
        <v>134</v>
      </c>
      <c r="E1580" s="241"/>
      <c r="F1580" s="241"/>
      <c r="G1580" s="261" t="s">
        <v>527</v>
      </c>
      <c r="H1580" s="262" t="s">
        <v>87</v>
      </c>
      <c r="I1580" s="357"/>
      <c r="J1580" s="245" t="s">
        <v>561</v>
      </c>
      <c r="K1580" s="216"/>
      <c r="L1580" s="197"/>
      <c r="M1580" s="197"/>
      <c r="N1580" s="374"/>
      <c r="O1580" s="216" t="s">
        <v>2120</v>
      </c>
      <c r="P1580" s="247"/>
      <c r="Q1580" s="344" t="s">
        <v>293</v>
      </c>
      <c r="R1580" s="982" t="s">
        <v>2119</v>
      </c>
      <c r="S1580" s="279">
        <v>36857</v>
      </c>
      <c r="T1580" s="257"/>
      <c r="U1580" s="251" t="s">
        <v>54</v>
      </c>
      <c r="V1580" s="250" t="s">
        <v>2793</v>
      </c>
      <c r="W1580" s="197" t="s">
        <v>56</v>
      </c>
      <c r="X1580" s="197" t="s">
        <v>57</v>
      </c>
      <c r="Y1580" s="197" t="s">
        <v>2609</v>
      </c>
      <c r="Z1580" s="246">
        <v>45139</v>
      </c>
      <c r="AA1580" s="252"/>
      <c r="AB1580" s="257"/>
      <c r="AC1580" s="223"/>
      <c r="AD1580" s="288"/>
      <c r="AE1580" s="494"/>
      <c r="AF1580" s="494"/>
      <c r="AG1580" s="241"/>
      <c r="AH1580" s="299"/>
      <c r="AI1580" s="254"/>
      <c r="AJ1580" s="348" t="s">
        <v>560</v>
      </c>
      <c r="AK1580" s="241">
        <v>4</v>
      </c>
      <c r="AL1580" s="123" t="s">
        <v>514</v>
      </c>
      <c r="AM1580" s="123" t="s">
        <v>508</v>
      </c>
      <c r="AN1580" s="151" t="s">
        <v>1382</v>
      </c>
      <c r="AO1580" s="151" t="s">
        <v>1383</v>
      </c>
      <c r="AP1580" s="115">
        <v>1</v>
      </c>
      <c r="AQ1580" s="115"/>
      <c r="AR1580" s="115"/>
      <c r="AS1580" s="115"/>
      <c r="AT1580" s="115"/>
    </row>
    <row r="1581" spans="1:46" ht="39" customHeight="1" x14ac:dyDescent="0.25">
      <c r="A1581" s="1468">
        <v>1580</v>
      </c>
      <c r="B1581" s="160" t="s">
        <v>523</v>
      </c>
      <c r="C1581" s="358" t="s">
        <v>385</v>
      </c>
      <c r="D1581" s="303" t="s">
        <v>134</v>
      </c>
      <c r="E1581" s="241"/>
      <c r="F1581" s="241"/>
      <c r="G1581" s="261" t="s">
        <v>524</v>
      </c>
      <c r="H1581" s="262" t="s">
        <v>85</v>
      </c>
      <c r="I1581" s="364"/>
      <c r="J1581" s="245" t="s">
        <v>556</v>
      </c>
      <c r="K1581" s="296"/>
      <c r="L1581" s="257"/>
      <c r="M1581" s="257"/>
      <c r="N1581" s="256"/>
      <c r="O1581" s="216"/>
      <c r="P1581" s="294"/>
      <c r="Q1581" s="344"/>
      <c r="R1581" s="982" t="s">
        <v>66</v>
      </c>
      <c r="S1581" s="279"/>
      <c r="T1581" s="250"/>
      <c r="U1581" s="197"/>
      <c r="V1581" s="197"/>
      <c r="W1581" s="250"/>
      <c r="X1581" s="197"/>
      <c r="Y1581" s="197"/>
      <c r="Z1581" s="246"/>
      <c r="AA1581" s="374"/>
      <c r="AB1581" s="250"/>
      <c r="AC1581" s="223"/>
      <c r="AD1581" s="299"/>
      <c r="AE1581" s="494"/>
      <c r="AF1581" s="494"/>
      <c r="AG1581" s="241"/>
      <c r="AH1581" s="253"/>
      <c r="AI1581" s="254"/>
      <c r="AJ1581" s="348"/>
      <c r="AK1581" s="241">
        <v>4</v>
      </c>
      <c r="AL1581" s="123" t="s">
        <v>514</v>
      </c>
      <c r="AM1581" s="123" t="s">
        <v>508</v>
      </c>
      <c r="AN1581" s="151"/>
      <c r="AO1581" s="151" t="s">
        <v>1383</v>
      </c>
      <c r="AP1581" s="115">
        <v>1</v>
      </c>
      <c r="AQ1581" s="115"/>
      <c r="AR1581" s="115"/>
      <c r="AS1581" s="115"/>
      <c r="AT1581" s="116"/>
    </row>
    <row r="1582" spans="1:46" ht="39" customHeight="1" x14ac:dyDescent="0.25">
      <c r="A1582" s="1468">
        <v>1581</v>
      </c>
      <c r="B1582" s="128" t="s">
        <v>525</v>
      </c>
      <c r="C1582" s="290" t="s">
        <v>517</v>
      </c>
      <c r="D1582" s="291"/>
      <c r="E1582" s="291" t="s">
        <v>47</v>
      </c>
      <c r="F1582" s="291"/>
      <c r="G1582" s="292" t="s">
        <v>518</v>
      </c>
      <c r="H1582" s="293" t="s">
        <v>519</v>
      </c>
      <c r="I1582" s="346"/>
      <c r="J1582" s="281">
        <v>402</v>
      </c>
      <c r="K1582" s="216"/>
      <c r="L1582" s="252"/>
      <c r="M1582" s="252"/>
      <c r="N1582" s="245"/>
      <c r="O1582" s="216"/>
      <c r="P1582" s="247"/>
      <c r="Q1582" s="298"/>
      <c r="R1582" s="982" t="s">
        <v>66</v>
      </c>
      <c r="S1582" s="279"/>
      <c r="T1582" s="250"/>
      <c r="U1582" s="250"/>
      <c r="V1582" s="197"/>
      <c r="W1582" s="197"/>
      <c r="X1582" s="819"/>
      <c r="Y1582" s="949"/>
      <c r="Z1582" s="246"/>
      <c r="AA1582" s="252"/>
      <c r="AB1582" s="245"/>
      <c r="AC1582" s="223"/>
      <c r="AD1582" s="245"/>
      <c r="AE1582" s="494"/>
      <c r="AF1582" s="494"/>
      <c r="AG1582" s="241"/>
      <c r="AH1582" s="253"/>
      <c r="AI1582" s="296"/>
      <c r="AJ1582" s="379"/>
      <c r="AK1582" s="348">
        <v>3</v>
      </c>
      <c r="AL1582" s="123" t="s">
        <v>514</v>
      </c>
      <c r="AM1582" s="123" t="s">
        <v>508</v>
      </c>
      <c r="AN1582" s="138"/>
      <c r="AO1582" s="138">
        <f>SUBTOTAL(9,B1582:AL1582)</f>
        <v>405</v>
      </c>
      <c r="AP1582" s="115">
        <v>1</v>
      </c>
      <c r="AQ1582" s="115"/>
      <c r="AR1582" s="115"/>
      <c r="AS1582" s="115"/>
      <c r="AT1582" s="115"/>
    </row>
    <row r="1583" spans="1:46" ht="39" customHeight="1" x14ac:dyDescent="0.25">
      <c r="A1583" s="1468">
        <v>1582</v>
      </c>
      <c r="B1583" s="159" t="s">
        <v>526</v>
      </c>
      <c r="C1583" s="356" t="s">
        <v>290</v>
      </c>
      <c r="D1583" s="241" t="s">
        <v>134</v>
      </c>
      <c r="E1583" s="241"/>
      <c r="F1583" s="241"/>
      <c r="G1583" s="261" t="s">
        <v>527</v>
      </c>
      <c r="H1583" s="262" t="s">
        <v>87</v>
      </c>
      <c r="I1583" s="357"/>
      <c r="J1583" s="245" t="s">
        <v>561</v>
      </c>
      <c r="K1583" s="216"/>
      <c r="L1583" s="288" t="s">
        <v>3969</v>
      </c>
      <c r="M1583" s="288" t="s">
        <v>3969</v>
      </c>
      <c r="N1583" s="374"/>
      <c r="O1583" s="1488" t="s">
        <v>3203</v>
      </c>
      <c r="P1583" s="374"/>
      <c r="Q1583" s="298" t="s">
        <v>87</v>
      </c>
      <c r="R1583" s="982" t="s">
        <v>2051</v>
      </c>
      <c r="S1583" s="279">
        <v>36505</v>
      </c>
      <c r="T1583" s="257"/>
      <c r="U1583" s="251" t="s">
        <v>886</v>
      </c>
      <c r="V1583" s="250" t="s">
        <v>5720</v>
      </c>
      <c r="W1583" s="250" t="s">
        <v>886</v>
      </c>
      <c r="X1583" s="197" t="s">
        <v>886</v>
      </c>
      <c r="Y1583" s="1108"/>
      <c r="Z1583" s="252">
        <v>45273</v>
      </c>
      <c r="AA1583" s="252"/>
      <c r="AB1583" s="257"/>
      <c r="AC1583" s="223"/>
      <c r="AD1583" s="257"/>
      <c r="AE1583" s="494"/>
      <c r="AF1583" s="494"/>
      <c r="AG1583" s="385"/>
      <c r="AH1583" s="299"/>
      <c r="AI1583" s="365"/>
      <c r="AJ1583" s="348" t="s">
        <v>560</v>
      </c>
      <c r="AK1583" s="241">
        <v>4</v>
      </c>
      <c r="AL1583" s="123" t="s">
        <v>514</v>
      </c>
      <c r="AM1583" s="123" t="s">
        <v>508</v>
      </c>
      <c r="AN1583" s="151" t="s">
        <v>1382</v>
      </c>
      <c r="AO1583" s="151" t="s">
        <v>1383</v>
      </c>
      <c r="AP1583" s="115">
        <v>1</v>
      </c>
      <c r="AQ1583" s="115"/>
      <c r="AR1583" s="115"/>
      <c r="AS1583" s="115"/>
      <c r="AT1583" s="115"/>
    </row>
    <row r="1584" spans="1:46" ht="39" customHeight="1" x14ac:dyDescent="0.25">
      <c r="A1584" s="1468">
        <v>1583</v>
      </c>
      <c r="B1584" s="159" t="s">
        <v>523</v>
      </c>
      <c r="C1584" s="520" t="s">
        <v>385</v>
      </c>
      <c r="D1584" s="470"/>
      <c r="E1584" s="471"/>
      <c r="F1584" s="471"/>
      <c r="G1584" s="472" t="s">
        <v>524</v>
      </c>
      <c r="H1584" s="262" t="s">
        <v>85</v>
      </c>
      <c r="I1584" s="473"/>
      <c r="J1584" s="245" t="s">
        <v>556</v>
      </c>
      <c r="K1584" s="288"/>
      <c r="L1584" s="288" t="s">
        <v>1526</v>
      </c>
      <c r="M1584" s="288" t="s">
        <v>1526</v>
      </c>
      <c r="N1584" s="374"/>
      <c r="O1584" s="385" t="s">
        <v>1542</v>
      </c>
      <c r="P1584" s="374"/>
      <c r="Q1584" s="344" t="s">
        <v>87</v>
      </c>
      <c r="R1584" s="982" t="s">
        <v>1543</v>
      </c>
      <c r="S1584" s="279">
        <v>34331</v>
      </c>
      <c r="T1584" s="197"/>
      <c r="U1584" s="251" t="s">
        <v>54</v>
      </c>
      <c r="V1584" s="250" t="s">
        <v>2793</v>
      </c>
      <c r="W1584" s="197" t="s">
        <v>56</v>
      </c>
      <c r="X1584" s="197" t="s">
        <v>57</v>
      </c>
      <c r="Y1584" s="197" t="s">
        <v>2609</v>
      </c>
      <c r="Z1584" s="246">
        <v>45141</v>
      </c>
      <c r="AA1584" s="252"/>
      <c r="AB1584" s="288"/>
      <c r="AC1584" s="223"/>
      <c r="AD1584" s="288"/>
      <c r="AE1584" s="494"/>
      <c r="AF1584" s="494"/>
      <c r="AG1584" s="392"/>
      <c r="AH1584" s="283"/>
      <c r="AI1584" s="254"/>
      <c r="AJ1584" s="348" t="s">
        <v>560</v>
      </c>
      <c r="AK1584" s="471">
        <v>4</v>
      </c>
      <c r="AL1584" s="176" t="s">
        <v>514</v>
      </c>
      <c r="AM1584" s="176" t="s">
        <v>508</v>
      </c>
      <c r="AN1584" s="167"/>
      <c r="AO1584" s="167" t="s">
        <v>1383</v>
      </c>
      <c r="AP1584" s="115">
        <v>1</v>
      </c>
      <c r="AQ1584" s="115"/>
      <c r="AR1584" s="115"/>
      <c r="AS1584" s="115"/>
      <c r="AT1584" s="116"/>
    </row>
    <row r="1585" spans="1:46" s="827" customFormat="1" ht="39" customHeight="1" x14ac:dyDescent="0.25">
      <c r="A1585" s="1468">
        <v>1584</v>
      </c>
      <c r="B1585" s="117"/>
      <c r="C1585" s="324"/>
      <c r="D1585" s="664"/>
      <c r="E1585" s="664"/>
      <c r="F1585" s="664"/>
      <c r="G1585" s="227"/>
      <c r="H1585" s="228"/>
      <c r="I1585" s="228"/>
      <c r="J1585" s="229"/>
      <c r="K1585" s="227"/>
      <c r="L1585" s="229"/>
      <c r="M1585" s="229"/>
      <c r="N1585" s="229"/>
      <c r="O1585" s="309"/>
      <c r="P1585" s="230" t="s">
        <v>530</v>
      </c>
      <c r="Q1585" s="664"/>
      <c r="R1585" s="324"/>
      <c r="S1585" s="279"/>
      <c r="T1585" s="232"/>
      <c r="U1585" s="250"/>
      <c r="V1585" s="232"/>
      <c r="W1585" s="232"/>
      <c r="X1585" s="232"/>
      <c r="Y1585" s="232"/>
      <c r="Z1585" s="233"/>
      <c r="AA1585" s="252"/>
      <c r="AB1585" s="235"/>
      <c r="AC1585" s="236"/>
      <c r="AD1585" s="235"/>
      <c r="AE1585" s="494"/>
      <c r="AF1585" s="494"/>
      <c r="AG1585" s="664"/>
      <c r="AH1585" s="238"/>
      <c r="AI1585" s="239"/>
      <c r="AJ1585" s="576"/>
      <c r="AK1585" s="664"/>
      <c r="AL1585" s="113"/>
      <c r="AM1585" s="113"/>
      <c r="AN1585" s="113"/>
      <c r="AO1585" s="114"/>
      <c r="AP1585" s="115"/>
      <c r="AQ1585" s="115"/>
      <c r="AR1585" s="115"/>
      <c r="AS1585" s="115"/>
      <c r="AT1585" s="116"/>
    </row>
    <row r="1586" spans="1:46" ht="39" customHeight="1" x14ac:dyDescent="0.25">
      <c r="A1586" s="1468">
        <v>1585</v>
      </c>
      <c r="B1586" s="119" t="s">
        <v>529</v>
      </c>
      <c r="C1586" s="793" t="s">
        <v>305</v>
      </c>
      <c r="D1586" s="476"/>
      <c r="E1586" s="442" t="s">
        <v>47</v>
      </c>
      <c r="F1586" s="476"/>
      <c r="G1586" s="757" t="s">
        <v>506</v>
      </c>
      <c r="H1586" s="244" t="s">
        <v>83</v>
      </c>
      <c r="I1586" s="733"/>
      <c r="J1586" s="245">
        <v>302</v>
      </c>
      <c r="K1586" s="197" t="s">
        <v>50</v>
      </c>
      <c r="L1586" s="1477"/>
      <c r="M1586" s="1477"/>
      <c r="N1586" s="451"/>
      <c r="O1586" s="1476" t="s">
        <v>3354</v>
      </c>
      <c r="P1586" s="772" t="s">
        <v>551</v>
      </c>
      <c r="Q1586" s="604" t="s">
        <v>119</v>
      </c>
      <c r="R1586" s="1177" t="s">
        <v>2352</v>
      </c>
      <c r="S1586" s="279">
        <v>36008</v>
      </c>
      <c r="T1586" s="451"/>
      <c r="U1586" s="251" t="s">
        <v>54</v>
      </c>
      <c r="V1586" s="280" t="s">
        <v>55</v>
      </c>
      <c r="W1586" s="280" t="s">
        <v>56</v>
      </c>
      <c r="X1586" s="280" t="s">
        <v>57</v>
      </c>
      <c r="Y1586" s="280" t="s">
        <v>58</v>
      </c>
      <c r="Z1586" s="486">
        <v>44783</v>
      </c>
      <c r="AA1586" s="252"/>
      <c r="AB1586" s="1293"/>
      <c r="AC1586" s="451"/>
      <c r="AD1586" s="661"/>
      <c r="AE1586" s="494"/>
      <c r="AF1586" s="494"/>
      <c r="AG1586" s="451"/>
      <c r="AH1586" s="451"/>
      <c r="AI1586" s="1477"/>
      <c r="AJ1586" s="604" t="s">
        <v>62</v>
      </c>
      <c r="AK1586" s="755">
        <v>1</v>
      </c>
      <c r="AL1586" s="175" t="s">
        <v>514</v>
      </c>
      <c r="AM1586" s="175" t="s">
        <v>508</v>
      </c>
      <c r="AN1586" s="800"/>
      <c r="AO1586" s="800">
        <f>SUBTOTAL(9,B1586:AL1586)</f>
        <v>81094</v>
      </c>
      <c r="AP1586" s="115"/>
      <c r="AQ1586" s="115"/>
      <c r="AR1586" s="115"/>
      <c r="AS1586" s="115"/>
      <c r="AT1586" s="115"/>
    </row>
    <row r="1587" spans="1:46" ht="39" customHeight="1" x14ac:dyDescent="0.25">
      <c r="A1587" s="1468">
        <v>1586</v>
      </c>
      <c r="B1587" s="159" t="s">
        <v>522</v>
      </c>
      <c r="C1587" s="356" t="s">
        <v>382</v>
      </c>
      <c r="D1587" s="241" t="s">
        <v>134</v>
      </c>
      <c r="E1587" s="241"/>
      <c r="F1587" s="241"/>
      <c r="G1587" s="261" t="s">
        <v>520</v>
      </c>
      <c r="H1587" s="262" t="s">
        <v>85</v>
      </c>
      <c r="I1587" s="357"/>
      <c r="J1587" s="245" t="s">
        <v>556</v>
      </c>
      <c r="K1587" s="257"/>
      <c r="L1587" s="299"/>
      <c r="M1587" s="299"/>
      <c r="N1587" s="299"/>
      <c r="O1587" s="216"/>
      <c r="P1587" s="247"/>
      <c r="Q1587" s="344"/>
      <c r="R1587" s="982" t="s">
        <v>66</v>
      </c>
      <c r="S1587" s="279"/>
      <c r="T1587" s="289"/>
      <c r="U1587" s="250"/>
      <c r="V1587" s="250"/>
      <c r="W1587" s="197"/>
      <c r="X1587" s="197"/>
      <c r="Y1587" s="197"/>
      <c r="Z1587" s="246"/>
      <c r="AA1587" s="252"/>
      <c r="AB1587" s="299"/>
      <c r="AC1587" s="223"/>
      <c r="AD1587" s="299"/>
      <c r="AE1587" s="494"/>
      <c r="AF1587" s="494"/>
      <c r="AG1587" s="299"/>
      <c r="AH1587" s="299"/>
      <c r="AI1587" s="223"/>
      <c r="AJ1587" s="348"/>
      <c r="AK1587" s="241">
        <v>4</v>
      </c>
      <c r="AL1587" s="123" t="s">
        <v>514</v>
      </c>
      <c r="AM1587" s="123" t="s">
        <v>508</v>
      </c>
      <c r="AN1587" s="151" t="s">
        <v>1382</v>
      </c>
      <c r="AO1587" s="151" t="s">
        <v>1383</v>
      </c>
      <c r="AP1587" s="115"/>
      <c r="AQ1587" s="115"/>
      <c r="AR1587" s="115"/>
      <c r="AS1587" s="115"/>
      <c r="AT1587" s="115"/>
    </row>
    <row r="1588" spans="1:46" ht="39" customHeight="1" x14ac:dyDescent="0.25">
      <c r="A1588" s="1468">
        <v>1587</v>
      </c>
      <c r="B1588" s="117" t="s">
        <v>523</v>
      </c>
      <c r="C1588" s="358" t="s">
        <v>385</v>
      </c>
      <c r="D1588" s="303" t="s">
        <v>134</v>
      </c>
      <c r="E1588" s="241"/>
      <c r="F1588" s="241"/>
      <c r="G1588" s="261" t="s">
        <v>524</v>
      </c>
      <c r="H1588" s="262" t="s">
        <v>85</v>
      </c>
      <c r="I1588" s="357"/>
      <c r="J1588" s="245" t="s">
        <v>556</v>
      </c>
      <c r="K1588" s="216"/>
      <c r="L1588" s="197"/>
      <c r="M1588" s="197"/>
      <c r="N1588" s="374"/>
      <c r="O1588" s="216"/>
      <c r="P1588" s="402"/>
      <c r="Q1588" s="344"/>
      <c r="R1588" s="982" t="s">
        <v>66</v>
      </c>
      <c r="S1588" s="279"/>
      <c r="T1588" s="257"/>
      <c r="U1588" s="250"/>
      <c r="V1588" s="250"/>
      <c r="W1588" s="197"/>
      <c r="X1588" s="197"/>
      <c r="Y1588" s="197"/>
      <c r="Z1588" s="246"/>
      <c r="AA1588" s="252"/>
      <c r="AB1588" s="257"/>
      <c r="AC1588" s="223"/>
      <c r="AD1588" s="288"/>
      <c r="AE1588" s="494"/>
      <c r="AF1588" s="494"/>
      <c r="AG1588" s="241"/>
      <c r="AH1588" s="299"/>
      <c r="AI1588" s="254"/>
      <c r="AJ1588" s="348"/>
      <c r="AK1588" s="241">
        <v>4</v>
      </c>
      <c r="AL1588" s="123" t="s">
        <v>514</v>
      </c>
      <c r="AM1588" s="123" t="s">
        <v>508</v>
      </c>
      <c r="AN1588" s="151"/>
      <c r="AO1588" s="151" t="s">
        <v>1383</v>
      </c>
      <c r="AP1588" s="115"/>
      <c r="AQ1588" s="115"/>
      <c r="AR1588" s="115"/>
      <c r="AS1588" s="115"/>
      <c r="AT1588" s="116"/>
    </row>
    <row r="1589" spans="1:46" ht="39" customHeight="1" x14ac:dyDescent="0.25">
      <c r="A1589" s="1468">
        <v>1588</v>
      </c>
      <c r="B1589" s="128" t="s">
        <v>525</v>
      </c>
      <c r="C1589" s="290" t="s">
        <v>517</v>
      </c>
      <c r="D1589" s="291"/>
      <c r="E1589" s="291" t="s">
        <v>47</v>
      </c>
      <c r="F1589" s="291"/>
      <c r="G1589" s="292" t="s">
        <v>518</v>
      </c>
      <c r="H1589" s="293" t="s">
        <v>519</v>
      </c>
      <c r="I1589" s="346"/>
      <c r="J1589" s="281">
        <v>402</v>
      </c>
      <c r="K1589" s="216"/>
      <c r="L1589" s="301" t="s">
        <v>1824</v>
      </c>
      <c r="M1589" s="301" t="s">
        <v>1824</v>
      </c>
      <c r="N1589" s="374"/>
      <c r="O1589" s="216" t="s">
        <v>1844</v>
      </c>
      <c r="P1589" s="247"/>
      <c r="Q1589" s="344" t="s">
        <v>87</v>
      </c>
      <c r="R1589" s="982" t="s">
        <v>1843</v>
      </c>
      <c r="S1589" s="279">
        <v>33699</v>
      </c>
      <c r="T1589" s="257"/>
      <c r="U1589" s="251" t="s">
        <v>54</v>
      </c>
      <c r="V1589" s="197" t="s">
        <v>2378</v>
      </c>
      <c r="W1589" s="197" t="s">
        <v>56</v>
      </c>
      <c r="X1589" s="819" t="s">
        <v>57</v>
      </c>
      <c r="Y1589" s="949" t="s">
        <v>2379</v>
      </c>
      <c r="Z1589" s="246">
        <v>45177</v>
      </c>
      <c r="AA1589" s="252"/>
      <c r="AB1589" s="257"/>
      <c r="AC1589" s="223"/>
      <c r="AD1589" s="281" t="s">
        <v>1862</v>
      </c>
      <c r="AE1589" s="494"/>
      <c r="AF1589" s="494"/>
      <c r="AG1589" s="385"/>
      <c r="AH1589" s="299"/>
      <c r="AI1589" s="365"/>
      <c r="AJ1589" s="348" t="s">
        <v>560</v>
      </c>
      <c r="AK1589" s="348">
        <v>3</v>
      </c>
      <c r="AL1589" s="123" t="s">
        <v>514</v>
      </c>
      <c r="AM1589" s="123" t="s">
        <v>508</v>
      </c>
      <c r="AN1589" s="138"/>
      <c r="AO1589" s="138">
        <f>SUBTOTAL(9,B1589:AL1589)</f>
        <v>79281</v>
      </c>
      <c r="AP1589" s="115"/>
      <c r="AQ1589" s="115"/>
      <c r="AR1589" s="115"/>
      <c r="AS1589" s="115"/>
      <c r="AT1589" s="115"/>
    </row>
    <row r="1590" spans="1:46" ht="39" customHeight="1" x14ac:dyDescent="0.25">
      <c r="A1590" s="1468">
        <v>1589</v>
      </c>
      <c r="B1590" s="159" t="s">
        <v>526</v>
      </c>
      <c r="C1590" s="356" t="s">
        <v>290</v>
      </c>
      <c r="D1590" s="241" t="s">
        <v>134</v>
      </c>
      <c r="E1590" s="241"/>
      <c r="F1590" s="241"/>
      <c r="G1590" s="261" t="s">
        <v>527</v>
      </c>
      <c r="H1590" s="262" t="s">
        <v>87</v>
      </c>
      <c r="I1590" s="357"/>
      <c r="J1590" s="245" t="s">
        <v>561</v>
      </c>
      <c r="K1590" s="216"/>
      <c r="L1590" s="288" t="s">
        <v>1526</v>
      </c>
      <c r="M1590" s="288" t="s">
        <v>1526</v>
      </c>
      <c r="N1590" s="374"/>
      <c r="O1590" s="385" t="s">
        <v>1564</v>
      </c>
      <c r="P1590" s="374"/>
      <c r="Q1590" s="373" t="s">
        <v>87</v>
      </c>
      <c r="R1590" s="982" t="s">
        <v>3274</v>
      </c>
      <c r="S1590" s="279">
        <v>27900</v>
      </c>
      <c r="T1590" s="197"/>
      <c r="U1590" s="251" t="s">
        <v>54</v>
      </c>
      <c r="V1590" s="250" t="s">
        <v>2793</v>
      </c>
      <c r="W1590" s="197" t="s">
        <v>56</v>
      </c>
      <c r="X1590" s="197" t="s">
        <v>57</v>
      </c>
      <c r="Y1590" s="197" t="s">
        <v>2609</v>
      </c>
      <c r="Z1590" s="246">
        <v>45141</v>
      </c>
      <c r="AA1590" s="252"/>
      <c r="AB1590" s="288"/>
      <c r="AC1590" s="223"/>
      <c r="AD1590" s="288"/>
      <c r="AE1590" s="494"/>
      <c r="AF1590" s="494"/>
      <c r="AG1590" s="392"/>
      <c r="AH1590" s="283"/>
      <c r="AI1590" s="254"/>
      <c r="AJ1590" s="348" t="s">
        <v>560</v>
      </c>
      <c r="AK1590" s="241">
        <v>4</v>
      </c>
      <c r="AL1590" s="123" t="s">
        <v>514</v>
      </c>
      <c r="AM1590" s="123" t="s">
        <v>508</v>
      </c>
      <c r="AN1590" s="151" t="s">
        <v>1382</v>
      </c>
      <c r="AO1590" s="151" t="s">
        <v>1383</v>
      </c>
      <c r="AP1590" s="115"/>
      <c r="AQ1590" s="115"/>
      <c r="AR1590" s="115"/>
      <c r="AS1590" s="115"/>
      <c r="AT1590" s="115"/>
    </row>
    <row r="1591" spans="1:46" ht="39" customHeight="1" x14ac:dyDescent="0.25">
      <c r="A1591" s="1468">
        <v>1590</v>
      </c>
      <c r="B1591" s="117" t="s">
        <v>523</v>
      </c>
      <c r="C1591" s="358" t="s">
        <v>385</v>
      </c>
      <c r="D1591" s="303" t="s">
        <v>134</v>
      </c>
      <c r="E1591" s="241"/>
      <c r="F1591" s="241"/>
      <c r="G1591" s="261" t="s">
        <v>524</v>
      </c>
      <c r="H1591" s="262" t="s">
        <v>85</v>
      </c>
      <c r="I1591" s="357"/>
      <c r="J1591" s="245" t="s">
        <v>556</v>
      </c>
      <c r="K1591" s="216"/>
      <c r="L1591" s="288" t="s">
        <v>1526</v>
      </c>
      <c r="M1591" s="288" t="s">
        <v>1526</v>
      </c>
      <c r="N1591" s="374"/>
      <c r="O1591" s="385" t="s">
        <v>1594</v>
      </c>
      <c r="P1591" s="374"/>
      <c r="Q1591" s="373" t="s">
        <v>87</v>
      </c>
      <c r="R1591" s="982" t="s">
        <v>1595</v>
      </c>
      <c r="S1591" s="279">
        <v>33947</v>
      </c>
      <c r="T1591" s="197"/>
      <c r="U1591" s="251" t="s">
        <v>54</v>
      </c>
      <c r="V1591" s="250" t="s">
        <v>2793</v>
      </c>
      <c r="W1591" s="197" t="s">
        <v>56</v>
      </c>
      <c r="X1591" s="197" t="s">
        <v>57</v>
      </c>
      <c r="Y1591" s="197" t="s">
        <v>2609</v>
      </c>
      <c r="Z1591" s="246">
        <v>45141</v>
      </c>
      <c r="AA1591" s="252"/>
      <c r="AB1591" s="288"/>
      <c r="AC1591" s="223"/>
      <c r="AD1591" s="288"/>
      <c r="AE1591" s="494"/>
      <c r="AF1591" s="494"/>
      <c r="AG1591" s="392"/>
      <c r="AH1591" s="283"/>
      <c r="AI1591" s="254"/>
      <c r="AJ1591" s="348" t="s">
        <v>560</v>
      </c>
      <c r="AK1591" s="241">
        <v>4</v>
      </c>
      <c r="AL1591" s="123" t="s">
        <v>514</v>
      </c>
      <c r="AM1591" s="123" t="s">
        <v>508</v>
      </c>
      <c r="AN1591" s="151"/>
      <c r="AO1591" s="151" t="s">
        <v>1383</v>
      </c>
      <c r="AP1591" s="115"/>
      <c r="AQ1591" s="115"/>
      <c r="AR1591" s="115"/>
      <c r="AS1591" s="115"/>
      <c r="AT1591" s="116"/>
    </row>
    <row r="1592" spans="1:46" ht="39" customHeight="1" x14ac:dyDescent="0.25">
      <c r="A1592" s="1468">
        <v>1591</v>
      </c>
      <c r="B1592" s="158" t="s">
        <v>525</v>
      </c>
      <c r="C1592" s="290" t="s">
        <v>517</v>
      </c>
      <c r="D1592" s="291"/>
      <c r="E1592" s="291" t="s">
        <v>47</v>
      </c>
      <c r="F1592" s="291"/>
      <c r="G1592" s="292" t="s">
        <v>518</v>
      </c>
      <c r="H1592" s="370" t="s">
        <v>519</v>
      </c>
      <c r="I1592" s="371"/>
      <c r="J1592" s="281">
        <v>402</v>
      </c>
      <c r="K1592" s="216"/>
      <c r="L1592" s="256" t="s">
        <v>1860</v>
      </c>
      <c r="M1592" s="256" t="s">
        <v>1860</v>
      </c>
      <c r="N1592" s="245"/>
      <c r="O1592" s="216" t="s">
        <v>1920</v>
      </c>
      <c r="P1592" s="247"/>
      <c r="Q1592" s="344" t="s">
        <v>87</v>
      </c>
      <c r="R1592" s="360" t="s">
        <v>1919</v>
      </c>
      <c r="S1592" s="279">
        <v>31675</v>
      </c>
      <c r="T1592" s="197"/>
      <c r="U1592" s="251" t="s">
        <v>54</v>
      </c>
      <c r="V1592" s="250" t="s">
        <v>4628</v>
      </c>
      <c r="W1592" s="197" t="s">
        <v>1301</v>
      </c>
      <c r="X1592" s="197" t="s">
        <v>4629</v>
      </c>
      <c r="Y1592" s="197" t="s">
        <v>4630</v>
      </c>
      <c r="Z1592" s="252">
        <v>45239</v>
      </c>
      <c r="AA1592" s="252"/>
      <c r="AB1592" s="241"/>
      <c r="AC1592" s="223"/>
      <c r="AD1592" s="281" t="s">
        <v>1862</v>
      </c>
      <c r="AE1592" s="494"/>
      <c r="AF1592" s="494"/>
      <c r="AG1592" s="305"/>
      <c r="AH1592" s="253"/>
      <c r="AI1592" s="284"/>
      <c r="AJ1592" s="348" t="s">
        <v>560</v>
      </c>
      <c r="AK1592" s="348">
        <v>3</v>
      </c>
      <c r="AL1592" s="123" t="s">
        <v>514</v>
      </c>
      <c r="AM1592" s="123" t="s">
        <v>508</v>
      </c>
      <c r="AN1592" s="138"/>
      <c r="AO1592" s="138">
        <f>SUBTOTAL(9,B1592:AL1592)</f>
        <v>77319</v>
      </c>
      <c r="AP1592" s="115"/>
      <c r="AQ1592" s="115"/>
      <c r="AR1592" s="115"/>
      <c r="AS1592" s="115"/>
      <c r="AT1592" s="115"/>
    </row>
    <row r="1593" spans="1:46" ht="39" customHeight="1" x14ac:dyDescent="0.25">
      <c r="A1593" s="1468">
        <v>1592</v>
      </c>
      <c r="B1593" s="159" t="s">
        <v>526</v>
      </c>
      <c r="C1593" s="356" t="s">
        <v>290</v>
      </c>
      <c r="D1593" s="241" t="s">
        <v>134</v>
      </c>
      <c r="E1593" s="241"/>
      <c r="F1593" s="241"/>
      <c r="G1593" s="261" t="s">
        <v>527</v>
      </c>
      <c r="H1593" s="262" t="s">
        <v>87</v>
      </c>
      <c r="I1593" s="357"/>
      <c r="J1593" s="245" t="s">
        <v>561</v>
      </c>
      <c r="K1593" s="216"/>
      <c r="L1593" s="197"/>
      <c r="M1593" s="197"/>
      <c r="N1593" s="299"/>
      <c r="O1593" s="216"/>
      <c r="P1593" s="402"/>
      <c r="Q1593" s="344"/>
      <c r="R1593" s="982" t="s">
        <v>66</v>
      </c>
      <c r="S1593" s="279"/>
      <c r="T1593" s="289"/>
      <c r="U1593" s="250"/>
      <c r="V1593" s="250"/>
      <c r="W1593" s="197"/>
      <c r="X1593" s="197"/>
      <c r="Y1593" s="197"/>
      <c r="Z1593" s="246"/>
      <c r="AA1593" s="252"/>
      <c r="AB1593" s="301"/>
      <c r="AC1593" s="223"/>
      <c r="AD1593" s="288"/>
      <c r="AE1593" s="494"/>
      <c r="AF1593" s="494"/>
      <c r="AG1593" s="241"/>
      <c r="AH1593" s="301"/>
      <c r="AI1593" s="254"/>
      <c r="AJ1593" s="348"/>
      <c r="AK1593" s="241">
        <v>4</v>
      </c>
      <c r="AL1593" s="123" t="s">
        <v>514</v>
      </c>
      <c r="AM1593" s="123" t="s">
        <v>508</v>
      </c>
      <c r="AN1593" s="151" t="s">
        <v>1382</v>
      </c>
      <c r="AO1593" s="151" t="s">
        <v>1383</v>
      </c>
      <c r="AP1593" s="115"/>
      <c r="AQ1593" s="115"/>
      <c r="AR1593" s="115"/>
      <c r="AS1593" s="115"/>
      <c r="AT1593" s="115"/>
    </row>
    <row r="1594" spans="1:46" ht="39" customHeight="1" x14ac:dyDescent="0.25">
      <c r="A1594" s="1468">
        <v>1593</v>
      </c>
      <c r="B1594" s="117" t="s">
        <v>523</v>
      </c>
      <c r="C1594" s="520" t="s">
        <v>385</v>
      </c>
      <c r="D1594" s="470"/>
      <c r="E1594" s="471"/>
      <c r="F1594" s="471"/>
      <c r="G1594" s="472" t="s">
        <v>524</v>
      </c>
      <c r="H1594" s="262" t="s">
        <v>85</v>
      </c>
      <c r="I1594" s="473"/>
      <c r="J1594" s="245" t="s">
        <v>556</v>
      </c>
      <c r="K1594" s="277"/>
      <c r="L1594" s="756" t="s">
        <v>1526</v>
      </c>
      <c r="M1594" s="756" t="s">
        <v>1526</v>
      </c>
      <c r="N1594" s="454"/>
      <c r="O1594" s="906" t="s">
        <v>1576</v>
      </c>
      <c r="P1594" s="454"/>
      <c r="Q1594" s="709" t="s">
        <v>519</v>
      </c>
      <c r="R1594" s="982" t="s">
        <v>3277</v>
      </c>
      <c r="S1594" s="279">
        <v>25942</v>
      </c>
      <c r="T1594" s="280"/>
      <c r="U1594" s="251" t="s">
        <v>54</v>
      </c>
      <c r="V1594" s="250" t="s">
        <v>2793</v>
      </c>
      <c r="W1594" s="197" t="s">
        <v>56</v>
      </c>
      <c r="X1594" s="197" t="s">
        <v>57</v>
      </c>
      <c r="Y1594" s="197" t="s">
        <v>2609</v>
      </c>
      <c r="Z1594" s="246">
        <v>45141</v>
      </c>
      <c r="AA1594" s="252"/>
      <c r="AB1594" s="288"/>
      <c r="AC1594" s="223"/>
      <c r="AD1594" s="288"/>
      <c r="AE1594" s="494"/>
      <c r="AF1594" s="494"/>
      <c r="AG1594" s="392"/>
      <c r="AH1594" s="283"/>
      <c r="AI1594" s="254"/>
      <c r="AJ1594" s="348" t="s">
        <v>560</v>
      </c>
      <c r="AK1594" s="471">
        <v>4</v>
      </c>
      <c r="AL1594" s="176" t="s">
        <v>514</v>
      </c>
      <c r="AM1594" s="176" t="s">
        <v>508</v>
      </c>
      <c r="AN1594" s="167"/>
      <c r="AO1594" s="167" t="s">
        <v>1383</v>
      </c>
      <c r="AP1594" s="115"/>
      <c r="AQ1594" s="115"/>
      <c r="AR1594" s="115"/>
      <c r="AS1594" s="115"/>
      <c r="AT1594" s="116"/>
    </row>
    <row r="1595" spans="1:46" s="827" customFormat="1" ht="39" customHeight="1" x14ac:dyDescent="0.25">
      <c r="A1595" s="1468">
        <v>1594</v>
      </c>
      <c r="B1595" s="188"/>
      <c r="C1595" s="383"/>
      <c r="D1595" s="383"/>
      <c r="E1595" s="383"/>
      <c r="F1595" s="383"/>
      <c r="G1595" s="230"/>
      <c r="H1595" s="230"/>
      <c r="I1595" s="383"/>
      <c r="J1595" s="383"/>
      <c r="K1595" s="383"/>
      <c r="L1595" s="230"/>
      <c r="M1595" s="230"/>
      <c r="N1595" s="383"/>
      <c r="O1595" s="230"/>
      <c r="P1595" s="230" t="s">
        <v>531</v>
      </c>
      <c r="Q1595" s="383"/>
      <c r="R1595" s="324"/>
      <c r="S1595" s="279"/>
      <c r="T1595" s="383"/>
      <c r="U1595" s="250"/>
      <c r="V1595" s="383"/>
      <c r="W1595" s="230"/>
      <c r="X1595" s="230"/>
      <c r="Y1595" s="383"/>
      <c r="Z1595" s="383"/>
      <c r="AA1595" s="252"/>
      <c r="AB1595" s="230"/>
      <c r="AC1595" s="383"/>
      <c r="AD1595" s="656"/>
      <c r="AE1595" s="494"/>
      <c r="AF1595" s="494"/>
      <c r="AG1595" s="383"/>
      <c r="AH1595" s="383"/>
      <c r="AI1595" s="230"/>
      <c r="AJ1595" s="230"/>
      <c r="AK1595" s="230"/>
      <c r="AL1595" s="1"/>
      <c r="AM1595" s="1"/>
      <c r="AN1595" s="1"/>
      <c r="AO1595" s="148"/>
      <c r="AP1595" s="115" t="s">
        <v>513</v>
      </c>
      <c r="AQ1595" s="115"/>
      <c r="AR1595" s="115"/>
      <c r="AS1595" s="115"/>
      <c r="AT1595" s="116"/>
    </row>
    <row r="1596" spans="1:46" ht="39" customHeight="1" x14ac:dyDescent="0.25">
      <c r="A1596" s="1468">
        <v>1595</v>
      </c>
      <c r="B1596" s="189">
        <v>14</v>
      </c>
      <c r="C1596" s="793" t="s">
        <v>277</v>
      </c>
      <c r="D1596" s="476"/>
      <c r="E1596" s="442" t="s">
        <v>47</v>
      </c>
      <c r="F1596" s="476"/>
      <c r="G1596" s="757" t="s">
        <v>506</v>
      </c>
      <c r="H1596" s="868" t="s">
        <v>78</v>
      </c>
      <c r="I1596" s="870"/>
      <c r="J1596" s="245">
        <v>300</v>
      </c>
      <c r="K1596" s="197" t="s">
        <v>50</v>
      </c>
      <c r="L1596" s="441"/>
      <c r="M1596" s="441"/>
      <c r="N1596" s="441"/>
      <c r="O1596" s="216" t="s">
        <v>2620</v>
      </c>
      <c r="P1596" s="801" t="s">
        <v>1411</v>
      </c>
      <c r="Q1596" s="442" t="s">
        <v>119</v>
      </c>
      <c r="R1596" s="1163" t="s">
        <v>2619</v>
      </c>
      <c r="S1596" s="279">
        <v>30875</v>
      </c>
      <c r="T1596" s="443"/>
      <c r="U1596" s="251" t="s">
        <v>54</v>
      </c>
      <c r="V1596" s="250" t="s">
        <v>2793</v>
      </c>
      <c r="W1596" s="197" t="s">
        <v>56</v>
      </c>
      <c r="X1596" s="197" t="s">
        <v>57</v>
      </c>
      <c r="Y1596" s="197" t="s">
        <v>2609</v>
      </c>
      <c r="Z1596" s="486">
        <v>45170</v>
      </c>
      <c r="AA1596" s="252"/>
      <c r="AB1596" s="487"/>
      <c r="AC1596" s="488"/>
      <c r="AD1596" s="487"/>
      <c r="AE1596" s="494"/>
      <c r="AF1596" s="494"/>
      <c r="AG1596" s="487"/>
      <c r="AH1596" s="489"/>
      <c r="AI1596" s="760"/>
      <c r="AJ1596" s="755" t="s">
        <v>62</v>
      </c>
      <c r="AK1596" s="442">
        <v>1</v>
      </c>
      <c r="AL1596" s="175" t="s">
        <v>532</v>
      </c>
      <c r="AM1596" s="175" t="s">
        <v>508</v>
      </c>
      <c r="AN1596" s="800"/>
      <c r="AO1596" s="800">
        <f>SUBTOTAL(9,B1596:AL1596)</f>
        <v>76360</v>
      </c>
      <c r="AP1596" s="115"/>
      <c r="AQ1596" s="115"/>
      <c r="AR1596" s="115"/>
      <c r="AS1596" s="115"/>
      <c r="AT1596" s="115"/>
    </row>
    <row r="1597" spans="1:46" ht="39" customHeight="1" x14ac:dyDescent="0.25">
      <c r="A1597" s="1468">
        <v>1596</v>
      </c>
      <c r="B1597" s="119" t="s">
        <v>120</v>
      </c>
      <c r="C1597" s="240" t="s">
        <v>515</v>
      </c>
      <c r="D1597" s="241"/>
      <c r="E1597" s="242" t="s">
        <v>47</v>
      </c>
      <c r="F1597" s="241"/>
      <c r="G1597" s="243" t="s">
        <v>271</v>
      </c>
      <c r="H1597" s="244" t="s">
        <v>83</v>
      </c>
      <c r="I1597" s="340"/>
      <c r="J1597" s="245">
        <v>302</v>
      </c>
      <c r="K1597" s="216"/>
      <c r="L1597" s="216" t="s">
        <v>2789</v>
      </c>
      <c r="M1597" s="216" t="s">
        <v>2789</v>
      </c>
      <c r="N1597" s="245"/>
      <c r="O1597" s="216" t="s">
        <v>2790</v>
      </c>
      <c r="P1597" s="300"/>
      <c r="Q1597" s="338" t="s">
        <v>2053</v>
      </c>
      <c r="R1597" s="990" t="s">
        <v>2788</v>
      </c>
      <c r="S1597" s="279">
        <v>31520</v>
      </c>
      <c r="T1597" s="289"/>
      <c r="U1597" s="251" t="s">
        <v>54</v>
      </c>
      <c r="V1597" s="250" t="s">
        <v>4848</v>
      </c>
      <c r="W1597" s="197" t="s">
        <v>70</v>
      </c>
      <c r="X1597" s="289" t="s">
        <v>71</v>
      </c>
      <c r="Y1597" s="288" t="s">
        <v>4351</v>
      </c>
      <c r="Z1597" s="252">
        <v>45246</v>
      </c>
      <c r="AA1597" s="252"/>
      <c r="AB1597" s="299"/>
      <c r="AC1597" s="223"/>
      <c r="AD1597" s="299"/>
      <c r="AE1597" s="494"/>
      <c r="AF1597" s="494"/>
      <c r="AG1597" s="241"/>
      <c r="AH1597" s="245"/>
      <c r="AI1597" s="296"/>
      <c r="AJ1597" s="755" t="s">
        <v>62</v>
      </c>
      <c r="AK1597" s="242">
        <v>1</v>
      </c>
      <c r="AL1597" s="123" t="s">
        <v>532</v>
      </c>
      <c r="AM1597" s="123" t="s">
        <v>508</v>
      </c>
      <c r="AN1597" s="137"/>
      <c r="AO1597" s="137">
        <f>SUBTOTAL(9,B1597:AL1597)</f>
        <v>77069</v>
      </c>
      <c r="AP1597" s="115"/>
      <c r="AQ1597" s="115"/>
      <c r="AR1597" s="115"/>
      <c r="AS1597" s="115"/>
      <c r="AT1597" s="115"/>
    </row>
    <row r="1598" spans="1:46" ht="39" customHeight="1" x14ac:dyDescent="0.25">
      <c r="A1598" s="1468">
        <v>1597</v>
      </c>
      <c r="B1598" s="131" t="s">
        <v>516</v>
      </c>
      <c r="C1598" s="311" t="s">
        <v>284</v>
      </c>
      <c r="D1598" s="241"/>
      <c r="E1598" s="312" t="s">
        <v>47</v>
      </c>
      <c r="F1598" s="241"/>
      <c r="G1598" s="313" t="s">
        <v>285</v>
      </c>
      <c r="H1598" s="314" t="s">
        <v>283</v>
      </c>
      <c r="I1598" s="350"/>
      <c r="J1598" s="281">
        <v>410</v>
      </c>
      <c r="K1598" s="216"/>
      <c r="L1598" s="281" t="s">
        <v>4575</v>
      </c>
      <c r="M1598" s="281" t="s">
        <v>4575</v>
      </c>
      <c r="N1598" s="197"/>
      <c r="O1598" s="392" t="s">
        <v>2057</v>
      </c>
      <c r="P1598" s="402" t="s">
        <v>1828</v>
      </c>
      <c r="Q1598" s="353" t="s">
        <v>153</v>
      </c>
      <c r="R1598" s="1140" t="s">
        <v>2056</v>
      </c>
      <c r="S1598" s="279">
        <v>25176</v>
      </c>
      <c r="T1598" s="250"/>
      <c r="U1598" s="251" t="s">
        <v>54</v>
      </c>
      <c r="V1598" s="280" t="s">
        <v>3959</v>
      </c>
      <c r="W1598" s="280" t="s">
        <v>70</v>
      </c>
      <c r="X1598" s="399" t="s">
        <v>71</v>
      </c>
      <c r="Y1598" s="280" t="s">
        <v>4351</v>
      </c>
      <c r="Z1598" s="486">
        <v>45226</v>
      </c>
      <c r="AA1598" s="252"/>
      <c r="AB1598" s="281"/>
      <c r="AC1598" s="223"/>
      <c r="AD1598" s="281"/>
      <c r="AE1598" s="494"/>
      <c r="AF1598" s="494"/>
      <c r="AG1598" s="241"/>
      <c r="AH1598" s="283"/>
      <c r="AI1598" s="296"/>
      <c r="AJ1598" s="317" t="s">
        <v>47</v>
      </c>
      <c r="AK1598" s="312">
        <v>2</v>
      </c>
      <c r="AL1598" s="123" t="s">
        <v>532</v>
      </c>
      <c r="AM1598" s="123" t="s">
        <v>508</v>
      </c>
      <c r="AN1598" s="157"/>
      <c r="AO1598" s="157">
        <f>SUBTOTAL(9,B1598:AL1598)</f>
        <v>70814</v>
      </c>
      <c r="AP1598" s="115"/>
      <c r="AQ1598" s="115"/>
      <c r="AR1598" s="115"/>
      <c r="AS1598" s="115"/>
      <c r="AT1598" s="115"/>
    </row>
    <row r="1599" spans="1:46" ht="39" customHeight="1" x14ac:dyDescent="0.25">
      <c r="A1599" s="1468">
        <v>1598</v>
      </c>
      <c r="B1599" s="128">
        <v>7</v>
      </c>
      <c r="C1599" s="290" t="s">
        <v>517</v>
      </c>
      <c r="D1599" s="291"/>
      <c r="E1599" s="291" t="s">
        <v>47</v>
      </c>
      <c r="F1599" s="291"/>
      <c r="G1599" s="292" t="s">
        <v>518</v>
      </c>
      <c r="H1599" s="293" t="s">
        <v>519</v>
      </c>
      <c r="I1599" s="346"/>
      <c r="J1599" s="281">
        <v>402</v>
      </c>
      <c r="K1599" s="684"/>
      <c r="L1599" s="281" t="s">
        <v>2797</v>
      </c>
      <c r="M1599" s="281" t="s">
        <v>2797</v>
      </c>
      <c r="N1599" s="684"/>
      <c r="O1599" s="950" t="s">
        <v>2809</v>
      </c>
      <c r="P1599" s="402" t="s">
        <v>1828</v>
      </c>
      <c r="Q1599" s="344" t="s">
        <v>567</v>
      </c>
      <c r="R1599" s="982" t="s">
        <v>3254</v>
      </c>
      <c r="S1599" s="279">
        <v>28507</v>
      </c>
      <c r="T1599" s="684"/>
      <c r="U1599" s="251" t="s">
        <v>54</v>
      </c>
      <c r="V1599" s="250" t="s">
        <v>4047</v>
      </c>
      <c r="W1599" s="197" t="s">
        <v>70</v>
      </c>
      <c r="X1599" s="289" t="s">
        <v>71</v>
      </c>
      <c r="Y1599" s="288" t="s">
        <v>4218</v>
      </c>
      <c r="Z1599" s="252">
        <v>45232</v>
      </c>
      <c r="AA1599" s="252"/>
      <c r="AB1599" s="1290"/>
      <c r="AC1599" s="684"/>
      <c r="AD1599" s="686"/>
      <c r="AE1599" s="494"/>
      <c r="AF1599" s="494"/>
      <c r="AG1599" s="684"/>
      <c r="AH1599" s="684"/>
      <c r="AI1599" s="685"/>
      <c r="AJ1599" s="348" t="s">
        <v>560</v>
      </c>
      <c r="AK1599" s="348">
        <v>3</v>
      </c>
      <c r="AL1599" s="123" t="s">
        <v>532</v>
      </c>
      <c r="AM1599" s="123" t="s">
        <v>508</v>
      </c>
      <c r="AN1599" s="138"/>
      <c r="AO1599" s="138">
        <f>SUBTOTAL(9,B1599:AL1599)</f>
        <v>74151</v>
      </c>
      <c r="AP1599" s="115"/>
      <c r="AQ1599" s="115"/>
      <c r="AR1599" s="115"/>
      <c r="AS1599" s="115"/>
      <c r="AT1599" s="115"/>
    </row>
    <row r="1600" spans="1:46" ht="39" customHeight="1" x14ac:dyDescent="0.25">
      <c r="A1600" s="1468">
        <v>1599</v>
      </c>
      <c r="B1600" s="117">
        <v>5</v>
      </c>
      <c r="C1600" s="378" t="s">
        <v>426</v>
      </c>
      <c r="D1600" s="303"/>
      <c r="E1600" s="241"/>
      <c r="F1600" s="241"/>
      <c r="G1600" s="261" t="s">
        <v>427</v>
      </c>
      <c r="H1600" s="262" t="s">
        <v>85</v>
      </c>
      <c r="I1600" s="357"/>
      <c r="J1600" s="245" t="s">
        <v>556</v>
      </c>
      <c r="K1600" s="216"/>
      <c r="L1600" s="250"/>
      <c r="M1600" s="250"/>
      <c r="N1600" s="366"/>
      <c r="O1600" s="216" t="s">
        <v>2144</v>
      </c>
      <c r="P1600" s="402" t="s">
        <v>1828</v>
      </c>
      <c r="Q1600" s="709" t="s">
        <v>132</v>
      </c>
      <c r="R1600" s="998" t="s">
        <v>2143</v>
      </c>
      <c r="S1600" s="279">
        <v>32278</v>
      </c>
      <c r="T1600" s="398"/>
      <c r="U1600" s="251" t="s">
        <v>54</v>
      </c>
      <c r="V1600" s="280" t="s">
        <v>3959</v>
      </c>
      <c r="W1600" s="197" t="s">
        <v>70</v>
      </c>
      <c r="X1600" s="289" t="s">
        <v>71</v>
      </c>
      <c r="Y1600" s="280" t="s">
        <v>4351</v>
      </c>
      <c r="Z1600" s="486">
        <v>45226</v>
      </c>
      <c r="AA1600" s="252"/>
      <c r="AB1600" s="487"/>
      <c r="AC1600" s="488"/>
      <c r="AD1600" s="487"/>
      <c r="AE1600" s="494"/>
      <c r="AF1600" s="494"/>
      <c r="AG1600" s="487"/>
      <c r="AH1600" s="489"/>
      <c r="AI1600" s="712"/>
      <c r="AJ1600" s="491" t="s">
        <v>560</v>
      </c>
      <c r="AK1600" s="241">
        <v>4</v>
      </c>
      <c r="AL1600" s="123" t="s">
        <v>532</v>
      </c>
      <c r="AM1600" s="123" t="s">
        <v>508</v>
      </c>
      <c r="AN1600" s="151"/>
      <c r="AO1600" s="151">
        <f>SUBTOTAL(9,B1600:AL1600)</f>
        <v>77513</v>
      </c>
      <c r="AP1600" s="115"/>
      <c r="AQ1600" s="115"/>
      <c r="AR1600" s="115"/>
      <c r="AS1600" s="115"/>
      <c r="AT1600" s="115"/>
    </row>
    <row r="1601" spans="1:46" ht="39" customHeight="1" x14ac:dyDescent="0.25">
      <c r="A1601" s="1468">
        <v>1600</v>
      </c>
      <c r="B1601" s="161">
        <v>4</v>
      </c>
      <c r="C1601" s="549" t="s">
        <v>382</v>
      </c>
      <c r="D1601" s="471" t="s">
        <v>134</v>
      </c>
      <c r="E1601" s="471"/>
      <c r="F1601" s="471"/>
      <c r="G1601" s="472" t="s">
        <v>520</v>
      </c>
      <c r="H1601" s="262" t="s">
        <v>85</v>
      </c>
      <c r="I1601" s="492"/>
      <c r="J1601" s="245" t="s">
        <v>556</v>
      </c>
      <c r="K1601" s="265"/>
      <c r="L1601" s="265"/>
      <c r="M1601" s="438"/>
      <c r="N1601" s="438"/>
      <c r="O1601" s="277" t="s">
        <v>2811</v>
      </c>
      <c r="P1601" s="402" t="s">
        <v>1828</v>
      </c>
      <c r="Q1601" s="344" t="s">
        <v>570</v>
      </c>
      <c r="R1601" s="998" t="s">
        <v>2810</v>
      </c>
      <c r="S1601" s="279">
        <v>35690</v>
      </c>
      <c r="T1601" s="414"/>
      <c r="U1601" s="251" t="s">
        <v>54</v>
      </c>
      <c r="V1601" s="250" t="s">
        <v>5909</v>
      </c>
      <c r="W1601" s="197" t="s">
        <v>56</v>
      </c>
      <c r="X1601" s="289" t="s">
        <v>71</v>
      </c>
      <c r="Y1601" s="1461" t="s">
        <v>4631</v>
      </c>
      <c r="Z1601" s="252">
        <v>45304</v>
      </c>
      <c r="AA1601" s="252"/>
      <c r="AB1601" s="438"/>
      <c r="AC1601" s="474"/>
      <c r="AD1601" s="264"/>
      <c r="AE1601" s="494"/>
      <c r="AF1601" s="494"/>
      <c r="AG1601" s="481"/>
      <c r="AH1601" s="585"/>
      <c r="AI1601" s="719"/>
      <c r="AJ1601" s="491" t="s">
        <v>560</v>
      </c>
      <c r="AK1601" s="471">
        <v>4</v>
      </c>
      <c r="AL1601" s="176" t="s">
        <v>532</v>
      </c>
      <c r="AM1601" s="176" t="s">
        <v>508</v>
      </c>
      <c r="AN1601" s="167" t="s">
        <v>1382</v>
      </c>
      <c r="AO1601" s="167" t="s">
        <v>1383</v>
      </c>
      <c r="AP1601" s="115"/>
      <c r="AQ1601" s="115"/>
      <c r="AR1601" s="115"/>
      <c r="AS1601" s="115"/>
      <c r="AT1601" s="115"/>
    </row>
    <row r="1602" spans="1:46" s="827" customFormat="1" ht="39" customHeight="1" x14ac:dyDescent="0.25">
      <c r="A1602" s="1468">
        <v>1601</v>
      </c>
      <c r="B1602" s="117"/>
      <c r="C1602" s="324"/>
      <c r="D1602" s="664"/>
      <c r="E1602" s="664"/>
      <c r="F1602" s="664"/>
      <c r="G1602" s="227"/>
      <c r="H1602" s="228"/>
      <c r="I1602" s="228"/>
      <c r="J1602" s="229"/>
      <c r="K1602" s="227"/>
      <c r="L1602" s="229"/>
      <c r="M1602" s="229"/>
      <c r="N1602" s="229"/>
      <c r="O1602" s="309"/>
      <c r="P1602" s="230" t="s">
        <v>521</v>
      </c>
      <c r="Q1602" s="664"/>
      <c r="R1602" s="324"/>
      <c r="S1602" s="279"/>
      <c r="T1602" s="232"/>
      <c r="U1602" s="250"/>
      <c r="V1602" s="232"/>
      <c r="W1602" s="232"/>
      <c r="X1602" s="232"/>
      <c r="Y1602" s="232"/>
      <c r="Z1602" s="233"/>
      <c r="AA1602" s="252"/>
      <c r="AB1602" s="235"/>
      <c r="AC1602" s="236"/>
      <c r="AD1602" s="235"/>
      <c r="AE1602" s="494"/>
      <c r="AF1602" s="494"/>
      <c r="AG1602" s="664"/>
      <c r="AH1602" s="238"/>
      <c r="AI1602" s="239"/>
      <c r="AJ1602" s="576"/>
      <c r="AK1602" s="664"/>
      <c r="AL1602" s="113"/>
      <c r="AM1602" s="113"/>
      <c r="AN1602" s="113"/>
      <c r="AO1602" s="114"/>
      <c r="AP1602" s="115" t="s">
        <v>513</v>
      </c>
      <c r="AQ1602" s="115"/>
      <c r="AR1602" s="115"/>
      <c r="AS1602" s="115"/>
      <c r="AT1602" s="116"/>
    </row>
    <row r="1603" spans="1:46" ht="39" customHeight="1" x14ac:dyDescent="0.25">
      <c r="A1603" s="1468">
        <v>1602</v>
      </c>
      <c r="B1603" s="119">
        <v>10</v>
      </c>
      <c r="C1603" s="793" t="s">
        <v>305</v>
      </c>
      <c r="D1603" s="476"/>
      <c r="E1603" s="442" t="s">
        <v>47</v>
      </c>
      <c r="F1603" s="476"/>
      <c r="G1603" s="757" t="s">
        <v>506</v>
      </c>
      <c r="H1603" s="244" t="s">
        <v>83</v>
      </c>
      <c r="I1603" s="733"/>
      <c r="J1603" s="245">
        <v>302</v>
      </c>
      <c r="K1603" s="277"/>
      <c r="L1603" s="276"/>
      <c r="M1603" s="276"/>
      <c r="N1603" s="276"/>
      <c r="O1603" s="277" t="s">
        <v>3256</v>
      </c>
      <c r="P1603" s="402" t="s">
        <v>1828</v>
      </c>
      <c r="Q1603" s="728" t="s">
        <v>2053</v>
      </c>
      <c r="R1603" s="995" t="s">
        <v>3255</v>
      </c>
      <c r="S1603" s="279">
        <v>37680</v>
      </c>
      <c r="T1603" s="280"/>
      <c r="U1603" s="251" t="s">
        <v>54</v>
      </c>
      <c r="V1603" s="250" t="s">
        <v>4047</v>
      </c>
      <c r="W1603" s="197" t="s">
        <v>70</v>
      </c>
      <c r="X1603" s="289" t="s">
        <v>71</v>
      </c>
      <c r="Y1603" s="288" t="s">
        <v>4218</v>
      </c>
      <c r="Z1603" s="252">
        <v>45232</v>
      </c>
      <c r="AA1603" s="252"/>
      <c r="AB1603" s="276"/>
      <c r="AC1603" s="488"/>
      <c r="AD1603" s="276"/>
      <c r="AE1603" s="494"/>
      <c r="AF1603" s="494"/>
      <c r="AG1603" s="476"/>
      <c r="AH1603" s="871"/>
      <c r="AI1603" s="721"/>
      <c r="AJ1603" s="755" t="s">
        <v>62</v>
      </c>
      <c r="AK1603" s="442">
        <v>1</v>
      </c>
      <c r="AL1603" s="175" t="s">
        <v>532</v>
      </c>
      <c r="AM1603" s="175" t="s">
        <v>508</v>
      </c>
      <c r="AN1603" s="800"/>
      <c r="AO1603" s="800">
        <f>SUBTOTAL(9,B1603:AL1603)</f>
        <v>83225</v>
      </c>
      <c r="AP1603" s="115">
        <v>1</v>
      </c>
      <c r="AQ1603" s="115"/>
      <c r="AR1603" s="115"/>
      <c r="AS1603" s="115"/>
      <c r="AT1603" s="115"/>
    </row>
    <row r="1604" spans="1:46" ht="39" customHeight="1" x14ac:dyDescent="0.25">
      <c r="A1604" s="1468">
        <v>1603</v>
      </c>
      <c r="B1604" s="159" t="s">
        <v>522</v>
      </c>
      <c r="C1604" s="356" t="s">
        <v>382</v>
      </c>
      <c r="D1604" s="241" t="s">
        <v>134</v>
      </c>
      <c r="E1604" s="241"/>
      <c r="F1604" s="241"/>
      <c r="G1604" s="261" t="s">
        <v>520</v>
      </c>
      <c r="H1604" s="262" t="s">
        <v>85</v>
      </c>
      <c r="I1604" s="357"/>
      <c r="J1604" s="245" t="s">
        <v>556</v>
      </c>
      <c r="K1604" s="216"/>
      <c r="L1604" s="257"/>
      <c r="M1604" s="257"/>
      <c r="N1604" s="374"/>
      <c r="O1604" s="950" t="s">
        <v>2138</v>
      </c>
      <c r="P1604" s="402" t="s">
        <v>1828</v>
      </c>
      <c r="Q1604" s="344" t="s">
        <v>570</v>
      </c>
      <c r="R1604" s="982" t="s">
        <v>2137</v>
      </c>
      <c r="S1604" s="279">
        <v>29241</v>
      </c>
      <c r="T1604" s="257"/>
      <c r="U1604" s="251" t="s">
        <v>54</v>
      </c>
      <c r="V1604" s="250" t="s">
        <v>4047</v>
      </c>
      <c r="W1604" s="197" t="s">
        <v>70</v>
      </c>
      <c r="X1604" s="289" t="s">
        <v>71</v>
      </c>
      <c r="Y1604" s="288" t="s">
        <v>4218</v>
      </c>
      <c r="Z1604" s="252">
        <v>45232</v>
      </c>
      <c r="AA1604" s="252"/>
      <c r="AB1604" s="257"/>
      <c r="AC1604" s="223"/>
      <c r="AD1604" s="288"/>
      <c r="AE1604" s="494"/>
      <c r="AF1604" s="494"/>
      <c r="AG1604" s="385"/>
      <c r="AH1604" s="299"/>
      <c r="AI1604" s="254"/>
      <c r="AJ1604" s="348" t="s">
        <v>560</v>
      </c>
      <c r="AK1604" s="241">
        <v>4</v>
      </c>
      <c r="AL1604" s="123" t="s">
        <v>532</v>
      </c>
      <c r="AM1604" s="123" t="s">
        <v>508</v>
      </c>
      <c r="AN1604" s="151" t="s">
        <v>1382</v>
      </c>
      <c r="AO1604" s="151" t="s">
        <v>1383</v>
      </c>
      <c r="AP1604" s="115">
        <v>1</v>
      </c>
      <c r="AQ1604" s="115"/>
      <c r="AR1604" s="115"/>
      <c r="AS1604" s="115"/>
      <c r="AT1604" s="115"/>
    </row>
    <row r="1605" spans="1:46" ht="39" customHeight="1" x14ac:dyDescent="0.25">
      <c r="A1605" s="1468">
        <v>1604</v>
      </c>
      <c r="B1605" s="159" t="s">
        <v>523</v>
      </c>
      <c r="C1605" s="358" t="s">
        <v>385</v>
      </c>
      <c r="D1605" s="303" t="s">
        <v>134</v>
      </c>
      <c r="E1605" s="241"/>
      <c r="F1605" s="241"/>
      <c r="G1605" s="261" t="s">
        <v>524</v>
      </c>
      <c r="H1605" s="262" t="s">
        <v>85</v>
      </c>
      <c r="I1605" s="357"/>
      <c r="J1605" s="245" t="s">
        <v>556</v>
      </c>
      <c r="K1605" s="685" t="s">
        <v>158</v>
      </c>
      <c r="L1605" s="685"/>
      <c r="M1605" s="685"/>
      <c r="N1605" s="684"/>
      <c r="O1605" s="216" t="s">
        <v>2419</v>
      </c>
      <c r="P1605" s="402" t="s">
        <v>1828</v>
      </c>
      <c r="Q1605" s="344" t="s">
        <v>570</v>
      </c>
      <c r="R1605" s="1174" t="s">
        <v>2420</v>
      </c>
      <c r="S1605" s="279">
        <v>28417</v>
      </c>
      <c r="T1605" s="684"/>
      <c r="U1605" s="251" t="s">
        <v>54</v>
      </c>
      <c r="V1605" s="250" t="s">
        <v>4047</v>
      </c>
      <c r="W1605" s="197" t="s">
        <v>70</v>
      </c>
      <c r="X1605" s="289" t="s">
        <v>71</v>
      </c>
      <c r="Y1605" s="288" t="s">
        <v>4218</v>
      </c>
      <c r="Z1605" s="252">
        <v>45232</v>
      </c>
      <c r="AA1605" s="252"/>
      <c r="AB1605" s="1290"/>
      <c r="AC1605" s="684"/>
      <c r="AD1605" s="686"/>
      <c r="AE1605" s="494"/>
      <c r="AF1605" s="494"/>
      <c r="AG1605" s="684"/>
      <c r="AH1605" s="684"/>
      <c r="AI1605" s="685"/>
      <c r="AJ1605" s="348" t="s">
        <v>560</v>
      </c>
      <c r="AK1605" s="241">
        <v>4</v>
      </c>
      <c r="AL1605" s="123" t="s">
        <v>532</v>
      </c>
      <c r="AM1605" s="123" t="s">
        <v>508</v>
      </c>
      <c r="AN1605" s="151"/>
      <c r="AO1605" s="151" t="s">
        <v>1383</v>
      </c>
      <c r="AP1605" s="115">
        <v>1</v>
      </c>
      <c r="AQ1605" s="115"/>
      <c r="AR1605" s="115"/>
      <c r="AS1605" s="115"/>
      <c r="AT1605" s="116"/>
    </row>
    <row r="1606" spans="1:46" ht="39" customHeight="1" x14ac:dyDescent="0.25">
      <c r="A1606" s="1468">
        <v>1605</v>
      </c>
      <c r="B1606" s="158" t="s">
        <v>525</v>
      </c>
      <c r="C1606" s="290" t="s">
        <v>517</v>
      </c>
      <c r="D1606" s="291"/>
      <c r="E1606" s="291" t="s">
        <v>47</v>
      </c>
      <c r="F1606" s="291"/>
      <c r="G1606" s="292" t="s">
        <v>518</v>
      </c>
      <c r="H1606" s="370" t="s">
        <v>519</v>
      </c>
      <c r="I1606" s="371"/>
      <c r="J1606" s="281">
        <v>402</v>
      </c>
      <c r="K1606" s="684"/>
      <c r="L1606" s="685"/>
      <c r="M1606" s="685"/>
      <c r="N1606" s="684"/>
      <c r="O1606" s="216"/>
      <c r="P1606" s="402"/>
      <c r="Q1606" s="373"/>
      <c r="R1606" s="982" t="s">
        <v>66</v>
      </c>
      <c r="S1606" s="279"/>
      <c r="T1606" s="684"/>
      <c r="U1606" s="250"/>
      <c r="V1606" s="250"/>
      <c r="W1606" s="197"/>
      <c r="X1606" s="289"/>
      <c r="Y1606" s="288"/>
      <c r="Z1606" s="252"/>
      <c r="AA1606" s="252"/>
      <c r="AB1606" s="1290"/>
      <c r="AC1606" s="684"/>
      <c r="AD1606" s="686"/>
      <c r="AE1606" s="494"/>
      <c r="AF1606" s="494"/>
      <c r="AG1606" s="684"/>
      <c r="AH1606" s="684"/>
      <c r="AI1606" s="685"/>
      <c r="AJ1606" s="348"/>
      <c r="AK1606" s="348">
        <v>3</v>
      </c>
      <c r="AL1606" s="123" t="s">
        <v>532</v>
      </c>
      <c r="AM1606" s="123" t="s">
        <v>508</v>
      </c>
      <c r="AN1606" s="138"/>
      <c r="AO1606" s="138">
        <f>SUBTOTAL(9,B1606:AL1606)</f>
        <v>405</v>
      </c>
      <c r="AP1606" s="115">
        <v>1</v>
      </c>
      <c r="AQ1606" s="115"/>
      <c r="AR1606" s="115"/>
      <c r="AS1606" s="115"/>
      <c r="AT1606" s="115"/>
    </row>
    <row r="1607" spans="1:46" ht="39" customHeight="1" x14ac:dyDescent="0.25">
      <c r="A1607" s="1468">
        <v>1606</v>
      </c>
      <c r="B1607" s="159" t="s">
        <v>526</v>
      </c>
      <c r="C1607" s="356" t="s">
        <v>290</v>
      </c>
      <c r="D1607" s="241" t="s">
        <v>134</v>
      </c>
      <c r="E1607" s="241"/>
      <c r="F1607" s="241"/>
      <c r="G1607" s="261" t="s">
        <v>527</v>
      </c>
      <c r="H1607" s="262" t="s">
        <v>87</v>
      </c>
      <c r="I1607" s="357"/>
      <c r="J1607" s="245" t="s">
        <v>561</v>
      </c>
      <c r="K1607" s="216"/>
      <c r="L1607" s="257"/>
      <c r="M1607" s="257"/>
      <c r="N1607" s="374"/>
      <c r="O1607" s="950" t="s">
        <v>2169</v>
      </c>
      <c r="P1607" s="402" t="s">
        <v>1828</v>
      </c>
      <c r="Q1607" s="298" t="s">
        <v>87</v>
      </c>
      <c r="R1607" s="982" t="s">
        <v>2168</v>
      </c>
      <c r="S1607" s="279">
        <v>28250</v>
      </c>
      <c r="T1607" s="250"/>
      <c r="U1607" s="251" t="s">
        <v>54</v>
      </c>
      <c r="V1607" s="250" t="s">
        <v>4047</v>
      </c>
      <c r="W1607" s="197" t="s">
        <v>70</v>
      </c>
      <c r="X1607" s="289" t="s">
        <v>71</v>
      </c>
      <c r="Y1607" s="288" t="s">
        <v>4218</v>
      </c>
      <c r="Z1607" s="252">
        <v>45232</v>
      </c>
      <c r="AA1607" s="252"/>
      <c r="AB1607" s="299"/>
      <c r="AC1607" s="223"/>
      <c r="AD1607" s="288"/>
      <c r="AE1607" s="494"/>
      <c r="AF1607" s="494"/>
      <c r="AG1607" s="385"/>
      <c r="AH1607" s="299"/>
      <c r="AI1607" s="254"/>
      <c r="AJ1607" s="348" t="s">
        <v>560</v>
      </c>
      <c r="AK1607" s="241">
        <v>4</v>
      </c>
      <c r="AL1607" s="123" t="s">
        <v>532</v>
      </c>
      <c r="AM1607" s="123" t="s">
        <v>508</v>
      </c>
      <c r="AN1607" s="151" t="s">
        <v>1382</v>
      </c>
      <c r="AO1607" s="151" t="s">
        <v>1383</v>
      </c>
      <c r="AP1607" s="115">
        <v>1</v>
      </c>
      <c r="AQ1607" s="115"/>
      <c r="AR1607" s="115"/>
      <c r="AS1607" s="115"/>
      <c r="AT1607" s="115"/>
    </row>
    <row r="1608" spans="1:46" ht="39" customHeight="1" x14ac:dyDescent="0.25">
      <c r="A1608" s="1468">
        <v>1607</v>
      </c>
      <c r="B1608" s="159" t="s">
        <v>523</v>
      </c>
      <c r="C1608" s="358" t="s">
        <v>385</v>
      </c>
      <c r="D1608" s="303" t="s">
        <v>134</v>
      </c>
      <c r="E1608" s="241"/>
      <c r="F1608" s="241"/>
      <c r="G1608" s="261" t="s">
        <v>524</v>
      </c>
      <c r="H1608" s="262" t="s">
        <v>85</v>
      </c>
      <c r="I1608" s="357"/>
      <c r="J1608" s="245" t="s">
        <v>556</v>
      </c>
      <c r="K1608" s="216"/>
      <c r="L1608" s="288" t="s">
        <v>2374</v>
      </c>
      <c r="M1608" s="288" t="s">
        <v>2374</v>
      </c>
      <c r="N1608" s="366"/>
      <c r="O1608" s="385" t="s">
        <v>2389</v>
      </c>
      <c r="P1608" s="402" t="s">
        <v>1828</v>
      </c>
      <c r="Q1608" s="373" t="s">
        <v>570</v>
      </c>
      <c r="R1608" s="982" t="s">
        <v>2388</v>
      </c>
      <c r="S1608" s="279">
        <v>32407</v>
      </c>
      <c r="T1608" s="250"/>
      <c r="U1608" s="251" t="s">
        <v>54</v>
      </c>
      <c r="V1608" s="250" t="s">
        <v>4047</v>
      </c>
      <c r="W1608" s="197" t="s">
        <v>70</v>
      </c>
      <c r="X1608" s="289" t="s">
        <v>71</v>
      </c>
      <c r="Y1608" s="288" t="s">
        <v>4218</v>
      </c>
      <c r="Z1608" s="252">
        <v>45232</v>
      </c>
      <c r="AA1608" s="252"/>
      <c r="AB1608" s="299"/>
      <c r="AC1608" s="223"/>
      <c r="AD1608" s="299"/>
      <c r="AE1608" s="494"/>
      <c r="AF1608" s="494"/>
      <c r="AG1608" s="299"/>
      <c r="AH1608" s="299"/>
      <c r="AI1608" s="296"/>
      <c r="AJ1608" s="348" t="s">
        <v>560</v>
      </c>
      <c r="AK1608" s="241">
        <v>4</v>
      </c>
      <c r="AL1608" s="123" t="s">
        <v>532</v>
      </c>
      <c r="AM1608" s="123" t="s">
        <v>508</v>
      </c>
      <c r="AN1608" s="151"/>
      <c r="AO1608" s="151" t="s">
        <v>1383</v>
      </c>
      <c r="AP1608" s="115">
        <v>1</v>
      </c>
      <c r="AQ1608" s="115"/>
      <c r="AR1608" s="115"/>
      <c r="AS1608" s="115"/>
      <c r="AT1608" s="116"/>
    </row>
    <row r="1609" spans="1:46" ht="39" customHeight="1" x14ac:dyDescent="0.25">
      <c r="A1609" s="1468">
        <v>1608</v>
      </c>
      <c r="B1609" s="128" t="s">
        <v>525</v>
      </c>
      <c r="C1609" s="408" t="s">
        <v>517</v>
      </c>
      <c r="D1609" s="291"/>
      <c r="E1609" s="291" t="s">
        <v>47</v>
      </c>
      <c r="F1609" s="291"/>
      <c r="G1609" s="292" t="s">
        <v>518</v>
      </c>
      <c r="H1609" s="293" t="s">
        <v>519</v>
      </c>
      <c r="I1609" s="346"/>
      <c r="J1609" s="281">
        <v>402</v>
      </c>
      <c r="K1609" s="216"/>
      <c r="L1609" s="245"/>
      <c r="M1609" s="245"/>
      <c r="N1609" s="256"/>
      <c r="O1609" s="216" t="s">
        <v>2193</v>
      </c>
      <c r="P1609" s="402" t="s">
        <v>1828</v>
      </c>
      <c r="Q1609" s="344" t="s">
        <v>519</v>
      </c>
      <c r="R1609" s="982" t="s">
        <v>2192</v>
      </c>
      <c r="S1609" s="279">
        <v>28081</v>
      </c>
      <c r="T1609" s="250"/>
      <c r="U1609" s="251" t="s">
        <v>54</v>
      </c>
      <c r="V1609" s="250" t="s">
        <v>4047</v>
      </c>
      <c r="W1609" s="197" t="s">
        <v>70</v>
      </c>
      <c r="X1609" s="289" t="s">
        <v>71</v>
      </c>
      <c r="Y1609" s="288" t="s">
        <v>4218</v>
      </c>
      <c r="Z1609" s="252">
        <v>45232</v>
      </c>
      <c r="AA1609" s="252"/>
      <c r="AB1609" s="245"/>
      <c r="AC1609" s="223"/>
      <c r="AD1609" s="245"/>
      <c r="AE1609" s="494"/>
      <c r="AF1609" s="494"/>
      <c r="AG1609" s="241"/>
      <c r="AH1609" s="253"/>
      <c r="AI1609" s="386"/>
      <c r="AJ1609" s="379" t="s">
        <v>560</v>
      </c>
      <c r="AK1609" s="348">
        <v>3</v>
      </c>
      <c r="AL1609" s="123" t="s">
        <v>532</v>
      </c>
      <c r="AM1609" s="123" t="s">
        <v>508</v>
      </c>
      <c r="AN1609" s="138"/>
      <c r="AO1609" s="138">
        <f>SUBTOTAL(9,B1609:AL1609)</f>
        <v>73718</v>
      </c>
      <c r="AP1609" s="115">
        <v>1</v>
      </c>
      <c r="AQ1609" s="115"/>
      <c r="AR1609" s="115"/>
      <c r="AS1609" s="115"/>
      <c r="AT1609" s="115"/>
    </row>
    <row r="1610" spans="1:46" ht="39" customHeight="1" x14ac:dyDescent="0.25">
      <c r="A1610" s="1468">
        <v>1609</v>
      </c>
      <c r="B1610" s="159" t="s">
        <v>526</v>
      </c>
      <c r="C1610" s="356" t="s">
        <v>290</v>
      </c>
      <c r="D1610" s="241" t="s">
        <v>134</v>
      </c>
      <c r="E1610" s="241"/>
      <c r="F1610" s="241"/>
      <c r="G1610" s="261" t="s">
        <v>527</v>
      </c>
      <c r="H1610" s="262" t="s">
        <v>87</v>
      </c>
      <c r="I1610" s="357"/>
      <c r="J1610" s="245" t="s">
        <v>561</v>
      </c>
      <c r="K1610" s="257"/>
      <c r="L1610" s="301"/>
      <c r="M1610" s="301"/>
      <c r="N1610" s="299"/>
      <c r="O1610" s="216" t="s">
        <v>2195</v>
      </c>
      <c r="P1610" s="402" t="s">
        <v>1828</v>
      </c>
      <c r="Q1610" s="298" t="s">
        <v>87</v>
      </c>
      <c r="R1610" s="982" t="s">
        <v>2194</v>
      </c>
      <c r="S1610" s="279">
        <v>31394</v>
      </c>
      <c r="T1610" s="289"/>
      <c r="U1610" s="251" t="s">
        <v>54</v>
      </c>
      <c r="V1610" s="250" t="s">
        <v>4047</v>
      </c>
      <c r="W1610" s="197" t="s">
        <v>70</v>
      </c>
      <c r="X1610" s="289" t="s">
        <v>71</v>
      </c>
      <c r="Y1610" s="288" t="s">
        <v>4218</v>
      </c>
      <c r="Z1610" s="252">
        <v>45232</v>
      </c>
      <c r="AA1610" s="252"/>
      <c r="AB1610" s="299"/>
      <c r="AC1610" s="223"/>
      <c r="AD1610" s="299"/>
      <c r="AE1610" s="494"/>
      <c r="AF1610" s="494"/>
      <c r="AG1610" s="299"/>
      <c r="AH1610" s="299"/>
      <c r="AI1610" s="296"/>
      <c r="AJ1610" s="348" t="s">
        <v>560</v>
      </c>
      <c r="AK1610" s="241">
        <v>4</v>
      </c>
      <c r="AL1610" s="123" t="s">
        <v>532</v>
      </c>
      <c r="AM1610" s="123" t="s">
        <v>508</v>
      </c>
      <c r="AN1610" s="151" t="s">
        <v>1382</v>
      </c>
      <c r="AO1610" s="151" t="s">
        <v>1383</v>
      </c>
      <c r="AP1610" s="115">
        <v>1</v>
      </c>
      <c r="AQ1610" s="115"/>
      <c r="AR1610" s="115"/>
      <c r="AS1610" s="115"/>
      <c r="AT1610" s="115"/>
    </row>
    <row r="1611" spans="1:46" ht="39" customHeight="1" x14ac:dyDescent="0.25">
      <c r="A1611" s="1468">
        <v>1610</v>
      </c>
      <c r="B1611" s="160" t="s">
        <v>523</v>
      </c>
      <c r="C1611" s="520" t="s">
        <v>385</v>
      </c>
      <c r="D1611" s="470" t="s">
        <v>134</v>
      </c>
      <c r="E1611" s="471"/>
      <c r="F1611" s="471"/>
      <c r="G1611" s="472" t="s">
        <v>524</v>
      </c>
      <c r="H1611" s="262" t="s">
        <v>85</v>
      </c>
      <c r="I1611" s="492"/>
      <c r="J1611" s="245" t="s">
        <v>556</v>
      </c>
      <c r="K1611" s="216"/>
      <c r="L1611" s="301"/>
      <c r="M1611" s="301"/>
      <c r="N1611" s="301"/>
      <c r="O1611" s="216" t="s">
        <v>2416</v>
      </c>
      <c r="P1611" s="402" t="s">
        <v>1828</v>
      </c>
      <c r="Q1611" s="373" t="s">
        <v>85</v>
      </c>
      <c r="R1611" s="982" t="s">
        <v>2415</v>
      </c>
      <c r="S1611" s="279">
        <v>24727</v>
      </c>
      <c r="T1611" s="197"/>
      <c r="U1611" s="251" t="s">
        <v>54</v>
      </c>
      <c r="V1611" s="250" t="s">
        <v>4047</v>
      </c>
      <c r="W1611" s="197" t="s">
        <v>70</v>
      </c>
      <c r="X1611" s="289" t="s">
        <v>71</v>
      </c>
      <c r="Y1611" s="288" t="s">
        <v>4218</v>
      </c>
      <c r="Z1611" s="252">
        <v>45232</v>
      </c>
      <c r="AA1611" s="252"/>
      <c r="AB1611" s="301"/>
      <c r="AC1611" s="223"/>
      <c r="AD1611" s="301"/>
      <c r="AE1611" s="494"/>
      <c r="AF1611" s="494"/>
      <c r="AG1611" s="301"/>
      <c r="AH1611" s="301"/>
      <c r="AI1611" s="401"/>
      <c r="AJ1611" s="348" t="s">
        <v>560</v>
      </c>
      <c r="AK1611" s="471">
        <v>4</v>
      </c>
      <c r="AL1611" s="176" t="s">
        <v>532</v>
      </c>
      <c r="AM1611" s="176" t="s">
        <v>508</v>
      </c>
      <c r="AN1611" s="167"/>
      <c r="AO1611" s="167" t="s">
        <v>1383</v>
      </c>
      <c r="AP1611" s="115">
        <v>1</v>
      </c>
      <c r="AQ1611" s="115"/>
      <c r="AR1611" s="115"/>
      <c r="AS1611" s="115"/>
      <c r="AT1611" s="116"/>
    </row>
    <row r="1612" spans="1:46" s="827" customFormat="1" ht="39" customHeight="1" x14ac:dyDescent="0.25">
      <c r="A1612" s="1468">
        <v>1611</v>
      </c>
      <c r="B1612" s="117"/>
      <c r="C1612" s="324"/>
      <c r="D1612" s="664"/>
      <c r="E1612" s="664"/>
      <c r="F1612" s="664"/>
      <c r="G1612" s="227"/>
      <c r="H1612" s="228"/>
      <c r="I1612" s="228"/>
      <c r="J1612" s="229"/>
      <c r="K1612" s="227"/>
      <c r="L1612" s="229"/>
      <c r="M1612" s="229"/>
      <c r="N1612" s="229"/>
      <c r="O1612" s="309"/>
      <c r="P1612" s="230" t="s">
        <v>528</v>
      </c>
      <c r="Q1612" s="664"/>
      <c r="R1612" s="324"/>
      <c r="S1612" s="279"/>
      <c r="T1612" s="232"/>
      <c r="U1612" s="250"/>
      <c r="V1612" s="232"/>
      <c r="W1612" s="232"/>
      <c r="X1612" s="232"/>
      <c r="Y1612" s="232"/>
      <c r="Z1612" s="233"/>
      <c r="AA1612" s="252"/>
      <c r="AB1612" s="235"/>
      <c r="AC1612" s="236"/>
      <c r="AD1612" s="235"/>
      <c r="AE1612" s="494"/>
      <c r="AF1612" s="494"/>
      <c r="AG1612" s="664"/>
      <c r="AH1612" s="238"/>
      <c r="AI1612" s="239"/>
      <c r="AJ1612" s="576"/>
      <c r="AK1612" s="664"/>
      <c r="AL1612" s="113"/>
      <c r="AM1612" s="113"/>
      <c r="AN1612" s="113"/>
      <c r="AO1612" s="114"/>
      <c r="AP1612" s="115" t="s">
        <v>513</v>
      </c>
      <c r="AQ1612" s="115"/>
      <c r="AR1612" s="115"/>
      <c r="AS1612" s="115"/>
      <c r="AT1612" s="116"/>
    </row>
    <row r="1613" spans="1:46" ht="39" customHeight="1" x14ac:dyDescent="0.25">
      <c r="A1613" s="1468">
        <v>1612</v>
      </c>
      <c r="B1613" s="189" t="s">
        <v>529</v>
      </c>
      <c r="C1613" s="793" t="s">
        <v>305</v>
      </c>
      <c r="D1613" s="476"/>
      <c r="E1613" s="442" t="s">
        <v>47</v>
      </c>
      <c r="F1613" s="476"/>
      <c r="G1613" s="757" t="s">
        <v>506</v>
      </c>
      <c r="H1613" s="244" t="s">
        <v>83</v>
      </c>
      <c r="I1613" s="870"/>
      <c r="J1613" s="245">
        <v>302</v>
      </c>
      <c r="K1613" s="216" t="s">
        <v>158</v>
      </c>
      <c r="L1613" s="256" t="s">
        <v>1201</v>
      </c>
      <c r="M1613" s="256" t="s">
        <v>1201</v>
      </c>
      <c r="N1613" s="245"/>
      <c r="O1613" s="216" t="s">
        <v>1202</v>
      </c>
      <c r="P1613" s="247"/>
      <c r="Q1613" s="338" t="s">
        <v>2053</v>
      </c>
      <c r="R1613" s="990" t="s">
        <v>1203</v>
      </c>
      <c r="S1613" s="279">
        <v>34821</v>
      </c>
      <c r="T1613" s="306"/>
      <c r="U1613" s="251" t="s">
        <v>54</v>
      </c>
      <c r="V1613" s="1476" t="s">
        <v>5815</v>
      </c>
      <c r="W1613" s="250" t="s">
        <v>5728</v>
      </c>
      <c r="X1613" s="197" t="s">
        <v>57</v>
      </c>
      <c r="Y1613" s="949" t="s">
        <v>4631</v>
      </c>
      <c r="Z1613" s="246">
        <v>45288</v>
      </c>
      <c r="AA1613" s="252"/>
      <c r="AB1613" s="299"/>
      <c r="AC1613" s="223" t="s">
        <v>946</v>
      </c>
      <c r="AD1613" s="299" t="s">
        <v>295</v>
      </c>
      <c r="AE1613" s="494"/>
      <c r="AF1613" s="494">
        <v>44732</v>
      </c>
      <c r="AG1613" s="241" t="s">
        <v>61</v>
      </c>
      <c r="AH1613" s="253"/>
      <c r="AI1613" s="223"/>
      <c r="AJ1613" s="755" t="s">
        <v>62</v>
      </c>
      <c r="AK1613" s="442">
        <v>1</v>
      </c>
      <c r="AL1613" s="175" t="s">
        <v>532</v>
      </c>
      <c r="AM1613" s="175" t="s">
        <v>508</v>
      </c>
      <c r="AN1613" s="800"/>
      <c r="AO1613" s="800">
        <f>SUBTOTAL(9,B1613:AL1613)</f>
        <v>125144</v>
      </c>
      <c r="AP1613" s="115">
        <v>1</v>
      </c>
      <c r="AQ1613" s="115"/>
      <c r="AR1613" s="115"/>
      <c r="AS1613" s="115"/>
      <c r="AT1613" s="115"/>
    </row>
    <row r="1614" spans="1:46" ht="39" customHeight="1" x14ac:dyDescent="0.25">
      <c r="A1614" s="1468">
        <v>1613</v>
      </c>
      <c r="B1614" s="117" t="s">
        <v>522</v>
      </c>
      <c r="C1614" s="356" t="s">
        <v>382</v>
      </c>
      <c r="D1614" s="241" t="s">
        <v>134</v>
      </c>
      <c r="E1614" s="241"/>
      <c r="F1614" s="241"/>
      <c r="G1614" s="261" t="s">
        <v>520</v>
      </c>
      <c r="H1614" s="262" t="s">
        <v>85</v>
      </c>
      <c r="I1614" s="357"/>
      <c r="J1614" s="245" t="s">
        <v>556</v>
      </c>
      <c r="K1614" s="216"/>
      <c r="L1614" s="257"/>
      <c r="M1614" s="257"/>
      <c r="N1614" s="374"/>
      <c r="O1614" s="216" t="s">
        <v>2859</v>
      </c>
      <c r="P1614" s="402" t="s">
        <v>1828</v>
      </c>
      <c r="Q1614" s="344" t="s">
        <v>570</v>
      </c>
      <c r="R1614" s="982" t="s">
        <v>2858</v>
      </c>
      <c r="S1614" s="279">
        <v>28777</v>
      </c>
      <c r="T1614" s="257"/>
      <c r="U1614" s="251" t="s">
        <v>54</v>
      </c>
      <c r="V1614" s="250" t="s">
        <v>4047</v>
      </c>
      <c r="W1614" s="197" t="s">
        <v>70</v>
      </c>
      <c r="X1614" s="289" t="s">
        <v>71</v>
      </c>
      <c r="Y1614" s="288" t="s">
        <v>4218</v>
      </c>
      <c r="Z1614" s="252">
        <v>45232</v>
      </c>
      <c r="AA1614" s="252"/>
      <c r="AB1614" s="257"/>
      <c r="AC1614" s="223"/>
      <c r="AD1614" s="288"/>
      <c r="AE1614" s="494"/>
      <c r="AF1614" s="494"/>
      <c r="AG1614" s="385"/>
      <c r="AH1614" s="299"/>
      <c r="AI1614" s="254"/>
      <c r="AJ1614" s="348" t="s">
        <v>560</v>
      </c>
      <c r="AK1614" s="241">
        <v>4</v>
      </c>
      <c r="AL1614" s="123" t="s">
        <v>532</v>
      </c>
      <c r="AM1614" s="123" t="s">
        <v>508</v>
      </c>
      <c r="AN1614" s="151" t="s">
        <v>1382</v>
      </c>
      <c r="AO1614" s="151" t="s">
        <v>1383</v>
      </c>
      <c r="AP1614" s="115">
        <v>1</v>
      </c>
      <c r="AQ1614" s="115"/>
      <c r="AR1614" s="115"/>
      <c r="AS1614" s="115"/>
      <c r="AT1614" s="115"/>
    </row>
    <row r="1615" spans="1:46" ht="39" customHeight="1" x14ac:dyDescent="0.25">
      <c r="A1615" s="1468">
        <v>1614</v>
      </c>
      <c r="B1615" s="159" t="s">
        <v>523</v>
      </c>
      <c r="C1615" s="358" t="s">
        <v>385</v>
      </c>
      <c r="D1615" s="303" t="s">
        <v>134</v>
      </c>
      <c r="E1615" s="241"/>
      <c r="F1615" s="241"/>
      <c r="G1615" s="261" t="s">
        <v>524</v>
      </c>
      <c r="H1615" s="262" t="s">
        <v>85</v>
      </c>
      <c r="I1615" s="357"/>
      <c r="J1615" s="245" t="s">
        <v>556</v>
      </c>
      <c r="K1615" s="216"/>
      <c r="L1615" s="289"/>
      <c r="M1615" s="289"/>
      <c r="N1615" s="366"/>
      <c r="O1615" s="216" t="s">
        <v>2431</v>
      </c>
      <c r="P1615" s="402" t="s">
        <v>1828</v>
      </c>
      <c r="Q1615" s="344" t="s">
        <v>570</v>
      </c>
      <c r="R1615" s="982" t="s">
        <v>2430</v>
      </c>
      <c r="S1615" s="279">
        <v>29863</v>
      </c>
      <c r="T1615" s="257"/>
      <c r="U1615" s="251" t="s">
        <v>54</v>
      </c>
      <c r="V1615" s="250" t="s">
        <v>4047</v>
      </c>
      <c r="W1615" s="197" t="s">
        <v>70</v>
      </c>
      <c r="X1615" s="289" t="s">
        <v>71</v>
      </c>
      <c r="Y1615" s="288" t="s">
        <v>4218</v>
      </c>
      <c r="Z1615" s="252">
        <v>45232</v>
      </c>
      <c r="AA1615" s="252"/>
      <c r="AB1615" s="257"/>
      <c r="AC1615" s="223"/>
      <c r="AD1615" s="299"/>
      <c r="AE1615" s="494"/>
      <c r="AF1615" s="494"/>
      <c r="AG1615" s="241"/>
      <c r="AH1615" s="283"/>
      <c r="AI1615" s="322"/>
      <c r="AJ1615" s="348" t="s">
        <v>560</v>
      </c>
      <c r="AK1615" s="241">
        <v>4</v>
      </c>
      <c r="AL1615" s="123" t="s">
        <v>532</v>
      </c>
      <c r="AM1615" s="123" t="s">
        <v>508</v>
      </c>
      <c r="AN1615" s="151"/>
      <c r="AO1615" s="151" t="s">
        <v>1383</v>
      </c>
      <c r="AP1615" s="115">
        <v>1</v>
      </c>
      <c r="AQ1615" s="115"/>
      <c r="AR1615" s="115"/>
      <c r="AS1615" s="115"/>
      <c r="AT1615" s="116"/>
    </row>
    <row r="1616" spans="1:46" ht="39" customHeight="1" x14ac:dyDescent="0.25">
      <c r="A1616" s="1468">
        <v>1615</v>
      </c>
      <c r="B1616" s="128" t="s">
        <v>525</v>
      </c>
      <c r="C1616" s="290" t="s">
        <v>517</v>
      </c>
      <c r="D1616" s="291"/>
      <c r="E1616" s="291" t="s">
        <v>47</v>
      </c>
      <c r="F1616" s="291"/>
      <c r="G1616" s="292" t="s">
        <v>518</v>
      </c>
      <c r="H1616" s="293" t="s">
        <v>519</v>
      </c>
      <c r="I1616" s="346"/>
      <c r="J1616" s="281">
        <v>402</v>
      </c>
      <c r="K1616" s="216"/>
      <c r="L1616" s="197"/>
      <c r="M1616" s="197"/>
      <c r="N1616" s="256"/>
      <c r="O1616" s="216" t="s">
        <v>2189</v>
      </c>
      <c r="P1616" s="402" t="s">
        <v>1828</v>
      </c>
      <c r="Q1616" s="344" t="s">
        <v>567</v>
      </c>
      <c r="R1616" s="982" t="s">
        <v>2188</v>
      </c>
      <c r="S1616" s="279">
        <v>29665</v>
      </c>
      <c r="T1616" s="250"/>
      <c r="U1616" s="251" t="s">
        <v>54</v>
      </c>
      <c r="V1616" s="250" t="s">
        <v>4047</v>
      </c>
      <c r="W1616" s="197" t="s">
        <v>70</v>
      </c>
      <c r="X1616" s="289" t="s">
        <v>71</v>
      </c>
      <c r="Y1616" s="288" t="s">
        <v>4218</v>
      </c>
      <c r="Z1616" s="252">
        <v>45232</v>
      </c>
      <c r="AA1616" s="252"/>
      <c r="AB1616" s="250"/>
      <c r="AC1616" s="223"/>
      <c r="AD1616" s="299"/>
      <c r="AE1616" s="494"/>
      <c r="AF1616" s="494"/>
      <c r="AG1616" s="241"/>
      <c r="AH1616" s="253"/>
      <c r="AI1616" s="254"/>
      <c r="AJ1616" s="348" t="s">
        <v>560</v>
      </c>
      <c r="AK1616" s="348">
        <v>3</v>
      </c>
      <c r="AL1616" s="123" t="s">
        <v>532</v>
      </c>
      <c r="AM1616" s="123" t="s">
        <v>508</v>
      </c>
      <c r="AN1616" s="138"/>
      <c r="AO1616" s="138">
        <f>SUBTOTAL(9,B1616:AL1616)</f>
        <v>75302</v>
      </c>
      <c r="AP1616" s="115">
        <v>1</v>
      </c>
      <c r="AQ1616" s="115"/>
      <c r="AR1616" s="115"/>
      <c r="AS1616" s="115"/>
      <c r="AT1616" s="115"/>
    </row>
    <row r="1617" spans="1:46" ht="39" customHeight="1" x14ac:dyDescent="0.25">
      <c r="A1617" s="1468">
        <v>1616</v>
      </c>
      <c r="B1617" s="159" t="s">
        <v>526</v>
      </c>
      <c r="C1617" s="356" t="s">
        <v>290</v>
      </c>
      <c r="D1617" s="241" t="s">
        <v>134</v>
      </c>
      <c r="E1617" s="241"/>
      <c r="F1617" s="241"/>
      <c r="G1617" s="261" t="s">
        <v>527</v>
      </c>
      <c r="H1617" s="262" t="s">
        <v>87</v>
      </c>
      <c r="I1617" s="357"/>
      <c r="J1617" s="245" t="s">
        <v>561</v>
      </c>
      <c r="K1617" s="684"/>
      <c r="L1617" s="685"/>
      <c r="M1617" s="685"/>
      <c r="N1617" s="684"/>
      <c r="O1617" s="950" t="s">
        <v>2441</v>
      </c>
      <c r="P1617" s="402" t="s">
        <v>1828</v>
      </c>
      <c r="Q1617" s="344" t="s">
        <v>293</v>
      </c>
      <c r="R1617" s="982" t="s">
        <v>2440</v>
      </c>
      <c r="S1617" s="279">
        <v>29712</v>
      </c>
      <c r="T1617" s="684"/>
      <c r="U1617" s="251" t="s">
        <v>54</v>
      </c>
      <c r="V1617" s="250" t="s">
        <v>4047</v>
      </c>
      <c r="W1617" s="197" t="s">
        <v>70</v>
      </c>
      <c r="X1617" s="289" t="s">
        <v>71</v>
      </c>
      <c r="Y1617" s="288" t="s">
        <v>4218</v>
      </c>
      <c r="Z1617" s="252">
        <v>45232</v>
      </c>
      <c r="AA1617" s="252"/>
      <c r="AB1617" s="1290"/>
      <c r="AC1617" s="684"/>
      <c r="AD1617" s="686"/>
      <c r="AE1617" s="494"/>
      <c r="AF1617" s="494"/>
      <c r="AG1617" s="684"/>
      <c r="AH1617" s="684"/>
      <c r="AI1617" s="685"/>
      <c r="AJ1617" s="348" t="s">
        <v>560</v>
      </c>
      <c r="AK1617" s="241">
        <v>4</v>
      </c>
      <c r="AL1617" s="123" t="s">
        <v>532</v>
      </c>
      <c r="AM1617" s="123" t="s">
        <v>508</v>
      </c>
      <c r="AN1617" s="151" t="s">
        <v>1382</v>
      </c>
      <c r="AO1617" s="151" t="s">
        <v>1383</v>
      </c>
      <c r="AP1617" s="115">
        <v>1</v>
      </c>
      <c r="AQ1617" s="115"/>
      <c r="AR1617" s="115"/>
      <c r="AS1617" s="115"/>
      <c r="AT1617" s="115"/>
    </row>
    <row r="1618" spans="1:46" ht="39" customHeight="1" x14ac:dyDescent="0.25">
      <c r="A1618" s="1468">
        <v>1617</v>
      </c>
      <c r="B1618" s="160" t="s">
        <v>523</v>
      </c>
      <c r="C1618" s="358" t="s">
        <v>385</v>
      </c>
      <c r="D1618" s="303" t="s">
        <v>134</v>
      </c>
      <c r="E1618" s="241"/>
      <c r="F1618" s="241"/>
      <c r="G1618" s="261" t="s">
        <v>524</v>
      </c>
      <c r="H1618" s="262" t="s">
        <v>85</v>
      </c>
      <c r="I1618" s="364"/>
      <c r="J1618" s="245" t="s">
        <v>556</v>
      </c>
      <c r="K1618" s="296"/>
      <c r="L1618" s="197"/>
      <c r="M1618" s="197"/>
      <c r="N1618" s="245"/>
      <c r="O1618" s="216" t="s">
        <v>2183</v>
      </c>
      <c r="P1618" s="402" t="s">
        <v>1828</v>
      </c>
      <c r="Q1618" s="344" t="s">
        <v>293</v>
      </c>
      <c r="R1618" s="982" t="s">
        <v>2182</v>
      </c>
      <c r="S1618" s="279">
        <v>28424</v>
      </c>
      <c r="T1618" s="307"/>
      <c r="U1618" s="251" t="s">
        <v>54</v>
      </c>
      <c r="V1618" s="250" t="s">
        <v>4047</v>
      </c>
      <c r="W1618" s="197" t="s">
        <v>70</v>
      </c>
      <c r="X1618" s="289" t="s">
        <v>71</v>
      </c>
      <c r="Y1618" s="288" t="s">
        <v>4218</v>
      </c>
      <c r="Z1618" s="252">
        <v>45232</v>
      </c>
      <c r="AA1618" s="252"/>
      <c r="AB1618" s="250"/>
      <c r="AC1618" s="223"/>
      <c r="AD1618" s="299"/>
      <c r="AE1618" s="494"/>
      <c r="AF1618" s="494"/>
      <c r="AG1618" s="241"/>
      <c r="AH1618" s="253"/>
      <c r="AI1618" s="254"/>
      <c r="AJ1618" s="348" t="s">
        <v>560</v>
      </c>
      <c r="AK1618" s="241">
        <v>4</v>
      </c>
      <c r="AL1618" s="123" t="s">
        <v>532</v>
      </c>
      <c r="AM1618" s="123" t="s">
        <v>508</v>
      </c>
      <c r="AN1618" s="151"/>
      <c r="AO1618" s="151" t="s">
        <v>1383</v>
      </c>
      <c r="AP1618" s="115">
        <v>1</v>
      </c>
      <c r="AQ1618" s="115"/>
      <c r="AR1618" s="115"/>
      <c r="AS1618" s="115"/>
      <c r="AT1618" s="116"/>
    </row>
    <row r="1619" spans="1:46" ht="39" customHeight="1" x14ac:dyDescent="0.25">
      <c r="A1619" s="1468">
        <v>1618</v>
      </c>
      <c r="B1619" s="128" t="s">
        <v>525</v>
      </c>
      <c r="C1619" s="290" t="s">
        <v>517</v>
      </c>
      <c r="D1619" s="291"/>
      <c r="E1619" s="291" t="s">
        <v>47</v>
      </c>
      <c r="F1619" s="291"/>
      <c r="G1619" s="292" t="s">
        <v>518</v>
      </c>
      <c r="H1619" s="293" t="s">
        <v>519</v>
      </c>
      <c r="I1619" s="346"/>
      <c r="J1619" s="281">
        <v>402</v>
      </c>
      <c r="K1619" s="216"/>
      <c r="L1619" s="252"/>
      <c r="M1619" s="252"/>
      <c r="N1619" s="245"/>
      <c r="O1619" s="216" t="s">
        <v>2861</v>
      </c>
      <c r="P1619" s="402" t="s">
        <v>1828</v>
      </c>
      <c r="Q1619" s="344" t="s">
        <v>132</v>
      </c>
      <c r="R1619" s="982" t="s">
        <v>2860</v>
      </c>
      <c r="S1619" s="279">
        <v>25082</v>
      </c>
      <c r="T1619" s="250"/>
      <c r="U1619" s="251" t="s">
        <v>54</v>
      </c>
      <c r="V1619" s="250" t="s">
        <v>4047</v>
      </c>
      <c r="W1619" s="197" t="s">
        <v>70</v>
      </c>
      <c r="X1619" s="289" t="s">
        <v>71</v>
      </c>
      <c r="Y1619" s="288" t="s">
        <v>4218</v>
      </c>
      <c r="Z1619" s="252">
        <v>45232</v>
      </c>
      <c r="AA1619" s="252"/>
      <c r="AB1619" s="245"/>
      <c r="AC1619" s="223"/>
      <c r="AD1619" s="245"/>
      <c r="AE1619" s="494"/>
      <c r="AF1619" s="494"/>
      <c r="AG1619" s="241"/>
      <c r="AH1619" s="253"/>
      <c r="AI1619" s="296"/>
      <c r="AJ1619" s="348" t="s">
        <v>560</v>
      </c>
      <c r="AK1619" s="348">
        <v>3</v>
      </c>
      <c r="AL1619" s="123" t="s">
        <v>532</v>
      </c>
      <c r="AM1619" s="123" t="s">
        <v>508</v>
      </c>
      <c r="AN1619" s="138"/>
      <c r="AO1619" s="138">
        <f>SUBTOTAL(9,B1619:AL1619)</f>
        <v>70719</v>
      </c>
      <c r="AP1619" s="115">
        <v>1</v>
      </c>
      <c r="AQ1619" s="115"/>
      <c r="AR1619" s="115"/>
      <c r="AS1619" s="115"/>
      <c r="AT1619" s="115"/>
    </row>
    <row r="1620" spans="1:46" ht="39" customHeight="1" x14ac:dyDescent="0.25">
      <c r="A1620" s="1468">
        <v>1619</v>
      </c>
      <c r="B1620" s="159" t="s">
        <v>526</v>
      </c>
      <c r="C1620" s="356" t="s">
        <v>290</v>
      </c>
      <c r="D1620" s="241" t="s">
        <v>134</v>
      </c>
      <c r="E1620" s="241"/>
      <c r="F1620" s="241"/>
      <c r="G1620" s="261" t="s">
        <v>527</v>
      </c>
      <c r="H1620" s="262" t="s">
        <v>87</v>
      </c>
      <c r="I1620" s="357"/>
      <c r="J1620" s="245" t="s">
        <v>561</v>
      </c>
      <c r="K1620" s="216"/>
      <c r="L1620" s="257"/>
      <c r="M1620" s="257"/>
      <c r="N1620" s="374"/>
      <c r="O1620" s="950" t="s">
        <v>2175</v>
      </c>
      <c r="P1620" s="402" t="s">
        <v>1828</v>
      </c>
      <c r="Q1620" s="298" t="s">
        <v>87</v>
      </c>
      <c r="R1620" s="982" t="s">
        <v>2174</v>
      </c>
      <c r="S1620" s="279">
        <v>26857</v>
      </c>
      <c r="T1620" s="257"/>
      <c r="U1620" s="251" t="s">
        <v>54</v>
      </c>
      <c r="V1620" s="250" t="s">
        <v>4047</v>
      </c>
      <c r="W1620" s="197" t="s">
        <v>70</v>
      </c>
      <c r="X1620" s="289" t="s">
        <v>71</v>
      </c>
      <c r="Y1620" s="288" t="s">
        <v>4218</v>
      </c>
      <c r="Z1620" s="252">
        <v>45232</v>
      </c>
      <c r="AA1620" s="252"/>
      <c r="AB1620" s="257"/>
      <c r="AC1620" s="223"/>
      <c r="AD1620" s="288"/>
      <c r="AE1620" s="494"/>
      <c r="AF1620" s="494"/>
      <c r="AG1620" s="385"/>
      <c r="AH1620" s="299"/>
      <c r="AI1620" s="254"/>
      <c r="AJ1620" s="348" t="s">
        <v>560</v>
      </c>
      <c r="AK1620" s="241">
        <v>4</v>
      </c>
      <c r="AL1620" s="123" t="s">
        <v>532</v>
      </c>
      <c r="AM1620" s="123" t="s">
        <v>508</v>
      </c>
      <c r="AN1620" s="151" t="s">
        <v>1382</v>
      </c>
      <c r="AO1620" s="151" t="s">
        <v>1383</v>
      </c>
      <c r="AP1620" s="115">
        <v>1</v>
      </c>
      <c r="AQ1620" s="115"/>
      <c r="AR1620" s="115"/>
      <c r="AS1620" s="115"/>
      <c r="AT1620" s="115"/>
    </row>
    <row r="1621" spans="1:46" ht="39" customHeight="1" x14ac:dyDescent="0.25">
      <c r="A1621" s="1468">
        <v>1620</v>
      </c>
      <c r="B1621" s="159" t="s">
        <v>523</v>
      </c>
      <c r="C1621" s="520" t="s">
        <v>385</v>
      </c>
      <c r="D1621" s="470"/>
      <c r="E1621" s="471"/>
      <c r="F1621" s="471"/>
      <c r="G1621" s="472" t="s">
        <v>524</v>
      </c>
      <c r="H1621" s="262" t="s">
        <v>85</v>
      </c>
      <c r="I1621" s="473"/>
      <c r="J1621" s="245" t="s">
        <v>556</v>
      </c>
      <c r="K1621" s="265"/>
      <c r="L1621" s="268"/>
      <c r="M1621" s="268"/>
      <c r="N1621" s="428"/>
      <c r="O1621" s="216" t="s">
        <v>2185</v>
      </c>
      <c r="P1621" s="402" t="s">
        <v>1828</v>
      </c>
      <c r="Q1621" s="344" t="s">
        <v>293</v>
      </c>
      <c r="R1621" s="982" t="s">
        <v>2184</v>
      </c>
      <c r="S1621" s="279">
        <v>35252</v>
      </c>
      <c r="T1621" s="496"/>
      <c r="U1621" s="251" t="s">
        <v>54</v>
      </c>
      <c r="V1621" s="250" t="s">
        <v>4047</v>
      </c>
      <c r="W1621" s="197" t="s">
        <v>70</v>
      </c>
      <c r="X1621" s="289" t="s">
        <v>71</v>
      </c>
      <c r="Y1621" s="288" t="s">
        <v>4218</v>
      </c>
      <c r="Z1621" s="252">
        <v>45232</v>
      </c>
      <c r="AA1621" s="252"/>
      <c r="AB1621" s="434"/>
      <c r="AC1621" s="474"/>
      <c r="AD1621" s="434"/>
      <c r="AE1621" s="494"/>
      <c r="AF1621" s="494"/>
      <c r="AG1621" s="736"/>
      <c r="AH1621" s="264"/>
      <c r="AI1621" s="719"/>
      <c r="AJ1621" s="348" t="s">
        <v>560</v>
      </c>
      <c r="AK1621" s="471">
        <v>4</v>
      </c>
      <c r="AL1621" s="176" t="s">
        <v>532</v>
      </c>
      <c r="AM1621" s="176" t="s">
        <v>508</v>
      </c>
      <c r="AN1621" s="167"/>
      <c r="AO1621" s="167" t="s">
        <v>1383</v>
      </c>
      <c r="AP1621" s="115">
        <v>1</v>
      </c>
      <c r="AQ1621" s="115"/>
      <c r="AR1621" s="115"/>
      <c r="AS1621" s="115"/>
      <c r="AT1621" s="116"/>
    </row>
    <row r="1622" spans="1:46" s="827" customFormat="1" ht="39" customHeight="1" x14ac:dyDescent="0.25">
      <c r="A1622" s="1468">
        <v>1621</v>
      </c>
      <c r="B1622" s="117"/>
      <c r="C1622" s="324"/>
      <c r="D1622" s="664"/>
      <c r="E1622" s="664"/>
      <c r="F1622" s="664"/>
      <c r="G1622" s="227"/>
      <c r="H1622" s="228"/>
      <c r="I1622" s="228"/>
      <c r="J1622" s="229"/>
      <c r="K1622" s="227"/>
      <c r="L1622" s="229"/>
      <c r="M1622" s="229"/>
      <c r="N1622" s="229"/>
      <c r="O1622" s="309"/>
      <c r="P1622" s="230" t="s">
        <v>530</v>
      </c>
      <c r="Q1622" s="664"/>
      <c r="R1622" s="324"/>
      <c r="S1622" s="279"/>
      <c r="T1622" s="232"/>
      <c r="U1622" s="250"/>
      <c r="V1622" s="232"/>
      <c r="W1622" s="232"/>
      <c r="X1622" s="232"/>
      <c r="Y1622" s="232"/>
      <c r="Z1622" s="233"/>
      <c r="AA1622" s="252"/>
      <c r="AB1622" s="235"/>
      <c r="AC1622" s="236"/>
      <c r="AD1622" s="235"/>
      <c r="AE1622" s="494"/>
      <c r="AF1622" s="494"/>
      <c r="AG1622" s="664"/>
      <c r="AH1622" s="238"/>
      <c r="AI1622" s="239"/>
      <c r="AJ1622" s="576"/>
      <c r="AK1622" s="664"/>
      <c r="AL1622" s="113"/>
      <c r="AM1622" s="113"/>
      <c r="AN1622" s="113"/>
      <c r="AO1622" s="114"/>
      <c r="AP1622" s="115"/>
      <c r="AQ1622" s="115"/>
      <c r="AR1622" s="115"/>
      <c r="AS1622" s="115"/>
      <c r="AT1622" s="116"/>
    </row>
    <row r="1623" spans="1:46" ht="39" customHeight="1" x14ac:dyDescent="0.25">
      <c r="A1623" s="1468">
        <v>1622</v>
      </c>
      <c r="B1623" s="119" t="s">
        <v>529</v>
      </c>
      <c r="C1623" s="793" t="s">
        <v>305</v>
      </c>
      <c r="D1623" s="476"/>
      <c r="E1623" s="442" t="s">
        <v>47</v>
      </c>
      <c r="F1623" s="476"/>
      <c r="G1623" s="757" t="s">
        <v>506</v>
      </c>
      <c r="H1623" s="244" t="s">
        <v>83</v>
      </c>
      <c r="I1623" s="733"/>
      <c r="J1623" s="245">
        <v>302</v>
      </c>
      <c r="K1623" s="197" t="s">
        <v>50</v>
      </c>
      <c r="L1623" s="1477"/>
      <c r="M1623" s="1477"/>
      <c r="N1623" s="451"/>
      <c r="O1623" s="1476" t="s">
        <v>3210</v>
      </c>
      <c r="P1623" s="772" t="s">
        <v>551</v>
      </c>
      <c r="Q1623" s="604" t="s">
        <v>119</v>
      </c>
      <c r="R1623" s="1176" t="s">
        <v>1388</v>
      </c>
      <c r="S1623" s="279">
        <v>28904</v>
      </c>
      <c r="T1623" s="451"/>
      <c r="U1623" s="251" t="s">
        <v>54</v>
      </c>
      <c r="V1623" s="280" t="s">
        <v>55</v>
      </c>
      <c r="W1623" s="280" t="s">
        <v>56</v>
      </c>
      <c r="X1623" s="280" t="s">
        <v>57</v>
      </c>
      <c r="Y1623" s="280" t="s">
        <v>58</v>
      </c>
      <c r="Z1623" s="486">
        <v>44783</v>
      </c>
      <c r="AA1623" s="252"/>
      <c r="AB1623" s="1293"/>
      <c r="AC1623" s="451"/>
      <c r="AD1623" s="661"/>
      <c r="AE1623" s="494"/>
      <c r="AF1623" s="494"/>
      <c r="AG1623" s="451"/>
      <c r="AH1623" s="451"/>
      <c r="AI1623" s="1477"/>
      <c r="AJ1623" s="604" t="s">
        <v>62</v>
      </c>
      <c r="AK1623" s="442">
        <v>1</v>
      </c>
      <c r="AL1623" s="175" t="s">
        <v>532</v>
      </c>
      <c r="AM1623" s="175" t="s">
        <v>508</v>
      </c>
      <c r="AN1623" s="800"/>
      <c r="AO1623" s="800">
        <f>SUBTOTAL(9,B1623:AL1623)</f>
        <v>73990</v>
      </c>
      <c r="AP1623" s="115"/>
      <c r="AQ1623" s="115"/>
      <c r="AR1623" s="115"/>
      <c r="AS1623" s="115"/>
      <c r="AT1623" s="115"/>
    </row>
    <row r="1624" spans="1:46" ht="39" customHeight="1" x14ac:dyDescent="0.25">
      <c r="A1624" s="1468">
        <v>1623</v>
      </c>
      <c r="B1624" s="159" t="s">
        <v>522</v>
      </c>
      <c r="C1624" s="356" t="s">
        <v>382</v>
      </c>
      <c r="D1624" s="241" t="s">
        <v>134</v>
      </c>
      <c r="E1624" s="241"/>
      <c r="F1624" s="241"/>
      <c r="G1624" s="261" t="s">
        <v>520</v>
      </c>
      <c r="H1624" s="262" t="s">
        <v>85</v>
      </c>
      <c r="I1624" s="357"/>
      <c r="J1624" s="245" t="s">
        <v>556</v>
      </c>
      <c r="K1624" s="684"/>
      <c r="L1624" s="685"/>
      <c r="M1624" s="685"/>
      <c r="N1624" s="684"/>
      <c r="O1624" s="216" t="s">
        <v>2395</v>
      </c>
      <c r="P1624" s="402" t="s">
        <v>1828</v>
      </c>
      <c r="Q1624" s="373" t="s">
        <v>293</v>
      </c>
      <c r="R1624" s="982" t="s">
        <v>2394</v>
      </c>
      <c r="S1624" s="279">
        <v>32961</v>
      </c>
      <c r="T1624" s="684"/>
      <c r="U1624" s="251" t="s">
        <v>54</v>
      </c>
      <c r="V1624" s="250" t="s">
        <v>4047</v>
      </c>
      <c r="W1624" s="197" t="s">
        <v>70</v>
      </c>
      <c r="X1624" s="289" t="s">
        <v>71</v>
      </c>
      <c r="Y1624" s="288" t="s">
        <v>4218</v>
      </c>
      <c r="Z1624" s="252">
        <v>45232</v>
      </c>
      <c r="AA1624" s="252"/>
      <c r="AB1624" s="1290"/>
      <c r="AC1624" s="684"/>
      <c r="AD1624" s="686"/>
      <c r="AE1624" s="494"/>
      <c r="AF1624" s="494"/>
      <c r="AG1624" s="684"/>
      <c r="AH1624" s="684"/>
      <c r="AI1624" s="685"/>
      <c r="AJ1624" s="348" t="s">
        <v>560</v>
      </c>
      <c r="AK1624" s="241">
        <v>4</v>
      </c>
      <c r="AL1624" s="123" t="s">
        <v>532</v>
      </c>
      <c r="AM1624" s="123" t="s">
        <v>508</v>
      </c>
      <c r="AN1624" s="151" t="s">
        <v>1382</v>
      </c>
      <c r="AO1624" s="151" t="s">
        <v>1383</v>
      </c>
      <c r="AP1624" s="115"/>
      <c r="AQ1624" s="115"/>
      <c r="AR1624" s="115"/>
      <c r="AS1624" s="115"/>
      <c r="AT1624" s="115"/>
    </row>
    <row r="1625" spans="1:46" ht="39" customHeight="1" x14ac:dyDescent="0.25">
      <c r="A1625" s="1468">
        <v>1624</v>
      </c>
      <c r="B1625" s="117" t="s">
        <v>523</v>
      </c>
      <c r="C1625" s="358" t="s">
        <v>385</v>
      </c>
      <c r="D1625" s="303" t="s">
        <v>134</v>
      </c>
      <c r="E1625" s="241"/>
      <c r="F1625" s="241"/>
      <c r="G1625" s="261" t="s">
        <v>524</v>
      </c>
      <c r="H1625" s="262" t="s">
        <v>85</v>
      </c>
      <c r="I1625" s="357"/>
      <c r="J1625" s="245" t="s">
        <v>556</v>
      </c>
      <c r="K1625" s="684"/>
      <c r="L1625" s="685"/>
      <c r="M1625" s="685"/>
      <c r="N1625" s="684"/>
      <c r="O1625" s="385" t="s">
        <v>2414</v>
      </c>
      <c r="P1625" s="402" t="s">
        <v>1828</v>
      </c>
      <c r="Q1625" s="344" t="s">
        <v>293</v>
      </c>
      <c r="R1625" s="982" t="s">
        <v>2413</v>
      </c>
      <c r="S1625" s="279">
        <v>31727</v>
      </c>
      <c r="T1625" s="684"/>
      <c r="U1625" s="250"/>
      <c r="V1625" s="250"/>
      <c r="W1625" s="197"/>
      <c r="X1625" s="289"/>
      <c r="Y1625" s="288"/>
      <c r="Z1625" s="252"/>
      <c r="AA1625" s="252"/>
      <c r="AB1625" s="1290"/>
      <c r="AC1625" s="684"/>
      <c r="AD1625" s="686"/>
      <c r="AE1625" s="494"/>
      <c r="AF1625" s="494"/>
      <c r="AG1625" s="684"/>
      <c r="AH1625" s="684"/>
      <c r="AI1625" s="685"/>
      <c r="AJ1625" s="348" t="s">
        <v>560</v>
      </c>
      <c r="AK1625" s="241">
        <v>4</v>
      </c>
      <c r="AL1625" s="123" t="s">
        <v>532</v>
      </c>
      <c r="AM1625" s="123" t="s">
        <v>508</v>
      </c>
      <c r="AN1625" s="151"/>
      <c r="AO1625" s="151" t="s">
        <v>1383</v>
      </c>
      <c r="AP1625" s="115"/>
      <c r="AQ1625" s="115"/>
      <c r="AR1625" s="115"/>
      <c r="AS1625" s="115"/>
      <c r="AT1625" s="116"/>
    </row>
    <row r="1626" spans="1:46" ht="39" customHeight="1" x14ac:dyDescent="0.25">
      <c r="A1626" s="1468">
        <v>1625</v>
      </c>
      <c r="B1626" s="128" t="s">
        <v>525</v>
      </c>
      <c r="C1626" s="290" t="s">
        <v>517</v>
      </c>
      <c r="D1626" s="291"/>
      <c r="E1626" s="291" t="s">
        <v>47</v>
      </c>
      <c r="F1626" s="291"/>
      <c r="G1626" s="292" t="s">
        <v>518</v>
      </c>
      <c r="H1626" s="293" t="s">
        <v>519</v>
      </c>
      <c r="I1626" s="346"/>
      <c r="J1626" s="281">
        <v>402</v>
      </c>
      <c r="K1626" s="684"/>
      <c r="L1626" s="685"/>
      <c r="M1626" s="685"/>
      <c r="N1626" s="684"/>
      <c r="O1626" s="216" t="s">
        <v>2422</v>
      </c>
      <c r="P1626" s="402" t="s">
        <v>1828</v>
      </c>
      <c r="Q1626" s="344" t="s">
        <v>567</v>
      </c>
      <c r="R1626" s="1174" t="s">
        <v>2421</v>
      </c>
      <c r="S1626" s="279">
        <v>31129</v>
      </c>
      <c r="T1626" s="684"/>
      <c r="U1626" s="251" t="s">
        <v>54</v>
      </c>
      <c r="V1626" s="250" t="s">
        <v>4047</v>
      </c>
      <c r="W1626" s="197" t="s">
        <v>70</v>
      </c>
      <c r="X1626" s="289" t="s">
        <v>71</v>
      </c>
      <c r="Y1626" s="288" t="s">
        <v>4218</v>
      </c>
      <c r="Z1626" s="252">
        <v>45232</v>
      </c>
      <c r="AA1626" s="252"/>
      <c r="AB1626" s="1290"/>
      <c r="AC1626" s="684"/>
      <c r="AD1626" s="686"/>
      <c r="AE1626" s="494"/>
      <c r="AF1626" s="494"/>
      <c r="AG1626" s="684"/>
      <c r="AH1626" s="684"/>
      <c r="AI1626" s="685"/>
      <c r="AJ1626" s="348" t="s">
        <v>560</v>
      </c>
      <c r="AK1626" s="348">
        <v>3</v>
      </c>
      <c r="AL1626" s="123" t="s">
        <v>532</v>
      </c>
      <c r="AM1626" s="123" t="s">
        <v>508</v>
      </c>
      <c r="AN1626" s="138"/>
      <c r="AO1626" s="138">
        <f>SUBTOTAL(9,B1626:AL1626)</f>
        <v>76766</v>
      </c>
      <c r="AP1626" s="115"/>
      <c r="AQ1626" s="115"/>
      <c r="AR1626" s="115"/>
      <c r="AS1626" s="115"/>
      <c r="AT1626" s="115"/>
    </row>
    <row r="1627" spans="1:46" ht="39" customHeight="1" x14ac:dyDescent="0.25">
      <c r="A1627" s="1468">
        <v>1626</v>
      </c>
      <c r="B1627" s="159" t="s">
        <v>526</v>
      </c>
      <c r="C1627" s="356" t="s">
        <v>290</v>
      </c>
      <c r="D1627" s="241" t="s">
        <v>134</v>
      </c>
      <c r="E1627" s="241"/>
      <c r="F1627" s="241"/>
      <c r="G1627" s="261" t="s">
        <v>527</v>
      </c>
      <c r="H1627" s="262" t="s">
        <v>87</v>
      </c>
      <c r="I1627" s="357"/>
      <c r="J1627" s="245" t="s">
        <v>561</v>
      </c>
      <c r="K1627" s="216"/>
      <c r="L1627" s="257"/>
      <c r="M1627" s="257"/>
      <c r="N1627" s="374"/>
      <c r="O1627" s="216" t="s">
        <v>2863</v>
      </c>
      <c r="P1627" s="402" t="s">
        <v>1828</v>
      </c>
      <c r="Q1627" s="373" t="s">
        <v>293</v>
      </c>
      <c r="R1627" s="982" t="s">
        <v>2862</v>
      </c>
      <c r="S1627" s="279">
        <v>25904</v>
      </c>
      <c r="T1627" s="257"/>
      <c r="U1627" s="251" t="s">
        <v>54</v>
      </c>
      <c r="V1627" s="250" t="s">
        <v>4047</v>
      </c>
      <c r="W1627" s="197" t="s">
        <v>70</v>
      </c>
      <c r="X1627" s="289" t="s">
        <v>71</v>
      </c>
      <c r="Y1627" s="288" t="s">
        <v>4218</v>
      </c>
      <c r="Z1627" s="252">
        <v>45232</v>
      </c>
      <c r="AA1627" s="252"/>
      <c r="AB1627" s="257"/>
      <c r="AC1627" s="223"/>
      <c r="AD1627" s="288"/>
      <c r="AE1627" s="494"/>
      <c r="AF1627" s="494"/>
      <c r="AG1627" s="385"/>
      <c r="AH1627" s="299"/>
      <c r="AI1627" s="254"/>
      <c r="AJ1627" s="348" t="s">
        <v>560</v>
      </c>
      <c r="AK1627" s="241">
        <v>4</v>
      </c>
      <c r="AL1627" s="123" t="s">
        <v>532</v>
      </c>
      <c r="AM1627" s="123" t="s">
        <v>508</v>
      </c>
      <c r="AN1627" s="151" t="s">
        <v>1382</v>
      </c>
      <c r="AO1627" s="151" t="s">
        <v>1383</v>
      </c>
      <c r="AP1627" s="115"/>
      <c r="AQ1627" s="115"/>
      <c r="AR1627" s="115"/>
      <c r="AS1627" s="115"/>
      <c r="AT1627" s="115"/>
    </row>
    <row r="1628" spans="1:46" ht="39" customHeight="1" x14ac:dyDescent="0.25">
      <c r="A1628" s="1468">
        <v>1627</v>
      </c>
      <c r="B1628" s="117" t="s">
        <v>523</v>
      </c>
      <c r="C1628" s="358" t="s">
        <v>385</v>
      </c>
      <c r="D1628" s="303" t="s">
        <v>134</v>
      </c>
      <c r="E1628" s="241"/>
      <c r="F1628" s="241"/>
      <c r="G1628" s="261" t="s">
        <v>524</v>
      </c>
      <c r="H1628" s="262" t="s">
        <v>85</v>
      </c>
      <c r="I1628" s="357"/>
      <c r="J1628" s="245" t="s">
        <v>556</v>
      </c>
      <c r="K1628" s="684"/>
      <c r="L1628" s="245"/>
      <c r="M1628" s="245"/>
      <c r="N1628" s="684"/>
      <c r="O1628" s="216" t="s">
        <v>2865</v>
      </c>
      <c r="P1628" s="402" t="s">
        <v>1828</v>
      </c>
      <c r="Q1628" s="344" t="s">
        <v>570</v>
      </c>
      <c r="R1628" s="982" t="s">
        <v>2864</v>
      </c>
      <c r="S1628" s="279">
        <v>31542</v>
      </c>
      <c r="T1628" s="684"/>
      <c r="U1628" s="251" t="s">
        <v>54</v>
      </c>
      <c r="V1628" s="250" t="s">
        <v>4047</v>
      </c>
      <c r="W1628" s="197" t="s">
        <v>70</v>
      </c>
      <c r="X1628" s="289" t="s">
        <v>71</v>
      </c>
      <c r="Y1628" s="288" t="s">
        <v>4218</v>
      </c>
      <c r="Z1628" s="252">
        <v>45232</v>
      </c>
      <c r="AA1628" s="252"/>
      <c r="AB1628" s="1290"/>
      <c r="AC1628" s="684"/>
      <c r="AD1628" s="686"/>
      <c r="AE1628" s="494"/>
      <c r="AF1628" s="494"/>
      <c r="AG1628" s="684"/>
      <c r="AH1628" s="684"/>
      <c r="AI1628" s="685"/>
      <c r="AJ1628" s="348" t="s">
        <v>560</v>
      </c>
      <c r="AK1628" s="241">
        <v>4</v>
      </c>
      <c r="AL1628" s="123" t="s">
        <v>532</v>
      </c>
      <c r="AM1628" s="123" t="s">
        <v>508</v>
      </c>
      <c r="AN1628" s="151"/>
      <c r="AO1628" s="151" t="s">
        <v>1383</v>
      </c>
      <c r="AP1628" s="115"/>
      <c r="AQ1628" s="115"/>
      <c r="AR1628" s="115"/>
      <c r="AS1628" s="115"/>
      <c r="AT1628" s="116"/>
    </row>
    <row r="1629" spans="1:46" ht="39" customHeight="1" x14ac:dyDescent="0.25">
      <c r="A1629" s="1468">
        <v>1628</v>
      </c>
      <c r="B1629" s="158" t="s">
        <v>525</v>
      </c>
      <c r="C1629" s="290" t="s">
        <v>517</v>
      </c>
      <c r="D1629" s="291"/>
      <c r="E1629" s="291" t="s">
        <v>47</v>
      </c>
      <c r="F1629" s="291"/>
      <c r="G1629" s="292" t="s">
        <v>518</v>
      </c>
      <c r="H1629" s="370" t="s">
        <v>519</v>
      </c>
      <c r="I1629" s="371"/>
      <c r="J1629" s="281">
        <v>402</v>
      </c>
      <c r="K1629" s="684"/>
      <c r="L1629" s="685"/>
      <c r="M1629" s="685"/>
      <c r="N1629" s="684"/>
      <c r="O1629" s="216"/>
      <c r="P1629" s="402"/>
      <c r="Q1629" s="344"/>
      <c r="R1629" s="982" t="s">
        <v>66</v>
      </c>
      <c r="S1629" s="279"/>
      <c r="T1629" s="684"/>
      <c r="U1629" s="250"/>
      <c r="V1629" s="250"/>
      <c r="W1629" s="197"/>
      <c r="X1629" s="289"/>
      <c r="Y1629" s="288"/>
      <c r="Z1629" s="252"/>
      <c r="AA1629" s="252"/>
      <c r="AB1629" s="1290"/>
      <c r="AC1629" s="684"/>
      <c r="AD1629" s="686"/>
      <c r="AE1629" s="494"/>
      <c r="AF1629" s="494"/>
      <c r="AG1629" s="684"/>
      <c r="AH1629" s="684"/>
      <c r="AI1629" s="685"/>
      <c r="AJ1629" s="348"/>
      <c r="AK1629" s="348">
        <v>3</v>
      </c>
      <c r="AL1629" s="123" t="s">
        <v>532</v>
      </c>
      <c r="AM1629" s="123" t="s">
        <v>508</v>
      </c>
      <c r="AN1629" s="138"/>
      <c r="AO1629" s="138">
        <f>SUBTOTAL(9,B1629:AL1629)</f>
        <v>405</v>
      </c>
      <c r="AP1629" s="115"/>
      <c r="AQ1629" s="115"/>
      <c r="AR1629" s="115"/>
      <c r="AS1629" s="115"/>
      <c r="AT1629" s="115"/>
    </row>
    <row r="1630" spans="1:46" ht="39" customHeight="1" x14ac:dyDescent="0.25">
      <c r="A1630" s="1468">
        <v>1629</v>
      </c>
      <c r="B1630" s="159" t="s">
        <v>526</v>
      </c>
      <c r="C1630" s="356" t="s">
        <v>290</v>
      </c>
      <c r="D1630" s="241" t="s">
        <v>134</v>
      </c>
      <c r="E1630" s="241"/>
      <c r="F1630" s="241"/>
      <c r="G1630" s="261" t="s">
        <v>527</v>
      </c>
      <c r="H1630" s="262" t="s">
        <v>87</v>
      </c>
      <c r="I1630" s="357"/>
      <c r="J1630" s="245" t="s">
        <v>561</v>
      </c>
      <c r="K1630" s="216"/>
      <c r="L1630" s="216"/>
      <c r="M1630" s="216"/>
      <c r="N1630" s="366"/>
      <c r="O1630" s="216" t="s">
        <v>2399</v>
      </c>
      <c r="P1630" s="402" t="s">
        <v>1828</v>
      </c>
      <c r="Q1630" s="344" t="s">
        <v>293</v>
      </c>
      <c r="R1630" s="982" t="s">
        <v>2398</v>
      </c>
      <c r="S1630" s="279">
        <v>31476</v>
      </c>
      <c r="T1630" s="289"/>
      <c r="U1630" s="251" t="s">
        <v>54</v>
      </c>
      <c r="V1630" s="250" t="s">
        <v>4047</v>
      </c>
      <c r="W1630" s="197" t="s">
        <v>70</v>
      </c>
      <c r="X1630" s="289" t="s">
        <v>71</v>
      </c>
      <c r="Y1630" s="288" t="s">
        <v>4218</v>
      </c>
      <c r="Z1630" s="252">
        <v>45232</v>
      </c>
      <c r="AA1630" s="252"/>
      <c r="AB1630" s="281"/>
      <c r="AC1630" s="223"/>
      <c r="AD1630" s="301"/>
      <c r="AE1630" s="494"/>
      <c r="AF1630" s="494"/>
      <c r="AG1630" s="241"/>
      <c r="AH1630" s="283"/>
      <c r="AI1630" s="254"/>
      <c r="AJ1630" s="348" t="s">
        <v>560</v>
      </c>
      <c r="AK1630" s="241">
        <v>4</v>
      </c>
      <c r="AL1630" s="123" t="s">
        <v>532</v>
      </c>
      <c r="AM1630" s="123" t="s">
        <v>508</v>
      </c>
      <c r="AN1630" s="151" t="s">
        <v>1382</v>
      </c>
      <c r="AO1630" s="151" t="s">
        <v>1383</v>
      </c>
      <c r="AP1630" s="115"/>
      <c r="AQ1630" s="115"/>
      <c r="AR1630" s="115"/>
      <c r="AS1630" s="115"/>
      <c r="AT1630" s="115"/>
    </row>
    <row r="1631" spans="1:46" ht="39" customHeight="1" x14ac:dyDescent="0.25">
      <c r="A1631" s="1468">
        <v>1630</v>
      </c>
      <c r="B1631" s="117" t="s">
        <v>523</v>
      </c>
      <c r="C1631" s="520" t="s">
        <v>385</v>
      </c>
      <c r="D1631" s="470"/>
      <c r="E1631" s="471"/>
      <c r="F1631" s="471"/>
      <c r="G1631" s="472" t="s">
        <v>524</v>
      </c>
      <c r="H1631" s="262" t="s">
        <v>85</v>
      </c>
      <c r="I1631" s="473"/>
      <c r="J1631" s="245" t="s">
        <v>556</v>
      </c>
      <c r="K1631" s="842"/>
      <c r="L1631" s="842"/>
      <c r="M1631" s="842"/>
      <c r="N1631" s="1098"/>
      <c r="O1631" s="816" t="s">
        <v>2408</v>
      </c>
      <c r="P1631" s="402" t="s">
        <v>1828</v>
      </c>
      <c r="Q1631" s="977" t="s">
        <v>87</v>
      </c>
      <c r="R1631" s="1178" t="s">
        <v>2407</v>
      </c>
      <c r="S1631" s="279">
        <v>29236</v>
      </c>
      <c r="T1631" s="819"/>
      <c r="U1631" s="251" t="s">
        <v>54</v>
      </c>
      <c r="V1631" s="250" t="s">
        <v>4047</v>
      </c>
      <c r="W1631" s="197" t="s">
        <v>70</v>
      </c>
      <c r="X1631" s="289" t="s">
        <v>71</v>
      </c>
      <c r="Y1631" s="288" t="s">
        <v>4218</v>
      </c>
      <c r="Z1631" s="252">
        <v>45232</v>
      </c>
      <c r="AA1631" s="252"/>
      <c r="AB1631" s="842"/>
      <c r="AC1631" s="822"/>
      <c r="AD1631" s="843"/>
      <c r="AE1631" s="494"/>
      <c r="AF1631" s="494"/>
      <c r="AG1631" s="1098"/>
      <c r="AH1631" s="823"/>
      <c r="AI1631" s="857"/>
      <c r="AJ1631" s="1099" t="s">
        <v>560</v>
      </c>
      <c r="AK1631" s="471">
        <v>4</v>
      </c>
      <c r="AL1631" s="176" t="s">
        <v>532</v>
      </c>
      <c r="AM1631" s="176" t="s">
        <v>508</v>
      </c>
      <c r="AN1631" s="167"/>
      <c r="AO1631" s="167" t="s">
        <v>1383</v>
      </c>
      <c r="AP1631" s="115"/>
      <c r="AQ1631" s="115"/>
      <c r="AR1631" s="115"/>
      <c r="AS1631" s="115"/>
      <c r="AT1631" s="116"/>
    </row>
    <row r="1632" spans="1:46" s="827" customFormat="1" ht="39" customHeight="1" x14ac:dyDescent="0.25">
      <c r="A1632" s="1468">
        <v>1631</v>
      </c>
      <c r="B1632" s="188"/>
      <c r="C1632" s="383"/>
      <c r="D1632" s="383"/>
      <c r="E1632" s="383"/>
      <c r="F1632" s="383"/>
      <c r="G1632" s="230"/>
      <c r="H1632" s="230"/>
      <c r="I1632" s="383"/>
      <c r="J1632" s="383"/>
      <c r="K1632" s="383"/>
      <c r="L1632" s="230"/>
      <c r="M1632" s="230"/>
      <c r="N1632" s="383"/>
      <c r="O1632" s="230"/>
      <c r="P1632" s="230" t="s">
        <v>533</v>
      </c>
      <c r="Q1632" s="383"/>
      <c r="R1632" s="324"/>
      <c r="S1632" s="279"/>
      <c r="T1632" s="383"/>
      <c r="U1632" s="250"/>
      <c r="V1632" s="383"/>
      <c r="W1632" s="230"/>
      <c r="X1632" s="230"/>
      <c r="Y1632" s="383"/>
      <c r="Z1632" s="383"/>
      <c r="AA1632" s="252"/>
      <c r="AB1632" s="230"/>
      <c r="AC1632" s="383"/>
      <c r="AD1632" s="656"/>
      <c r="AE1632" s="494"/>
      <c r="AF1632" s="494"/>
      <c r="AG1632" s="383"/>
      <c r="AH1632" s="383"/>
      <c r="AI1632" s="230"/>
      <c r="AJ1632" s="230"/>
      <c r="AK1632" s="230"/>
      <c r="AL1632" s="1"/>
      <c r="AM1632" s="1"/>
      <c r="AN1632" s="1"/>
      <c r="AO1632" s="148"/>
      <c r="AP1632" s="115" t="s">
        <v>513</v>
      </c>
      <c r="AQ1632" s="115"/>
      <c r="AR1632" s="115"/>
      <c r="AS1632" s="115"/>
      <c r="AT1632" s="116"/>
    </row>
    <row r="1633" spans="1:46" ht="39" customHeight="1" x14ac:dyDescent="0.25">
      <c r="A1633" s="1468">
        <v>1632</v>
      </c>
      <c r="B1633" s="189">
        <v>14</v>
      </c>
      <c r="C1633" s="793" t="s">
        <v>277</v>
      </c>
      <c r="D1633" s="476"/>
      <c r="E1633" s="442" t="s">
        <v>47</v>
      </c>
      <c r="F1633" s="476"/>
      <c r="G1633" s="757" t="s">
        <v>506</v>
      </c>
      <c r="H1633" s="868" t="s">
        <v>78</v>
      </c>
      <c r="I1633" s="870"/>
      <c r="J1633" s="245">
        <v>300</v>
      </c>
      <c r="K1633" s="197" t="s">
        <v>50</v>
      </c>
      <c r="L1633" s="734"/>
      <c r="M1633" s="734"/>
      <c r="N1633" s="276"/>
      <c r="O1633" s="1476" t="s">
        <v>3211</v>
      </c>
      <c r="P1633" s="708"/>
      <c r="Q1633" s="728" t="s">
        <v>119</v>
      </c>
      <c r="R1633" s="995" t="s">
        <v>1204</v>
      </c>
      <c r="S1633" s="279">
        <v>37145</v>
      </c>
      <c r="T1633" s="443"/>
      <c r="U1633" s="251" t="s">
        <v>54</v>
      </c>
      <c r="V1633" s="197" t="s">
        <v>5909</v>
      </c>
      <c r="W1633" s="197" t="s">
        <v>56</v>
      </c>
      <c r="X1633" s="289" t="s">
        <v>3957</v>
      </c>
      <c r="Y1633" s="1474" t="s">
        <v>5910</v>
      </c>
      <c r="Z1633" s="246">
        <v>45304</v>
      </c>
      <c r="AA1633" s="252">
        <v>45313</v>
      </c>
      <c r="AB1633" s="476"/>
      <c r="AC1633" s="488"/>
      <c r="AD1633" s="476"/>
      <c r="AE1633" s="494"/>
      <c r="AF1633" s="494"/>
      <c r="AG1633" s="476"/>
      <c r="AH1633" s="871"/>
      <c r="AI1633" s="760"/>
      <c r="AJ1633" s="755" t="s">
        <v>62</v>
      </c>
      <c r="AK1633" s="442">
        <v>1</v>
      </c>
      <c r="AL1633" s="175" t="s">
        <v>534</v>
      </c>
      <c r="AM1633" s="175" t="s">
        <v>508</v>
      </c>
      <c r="AN1633" s="800"/>
      <c r="AO1633" s="800">
        <f>SUBTOTAL(9,B1633:AL1633)</f>
        <v>128077</v>
      </c>
      <c r="AP1633" s="115"/>
      <c r="AQ1633" s="115"/>
      <c r="AR1633" s="115"/>
      <c r="AS1633" s="115"/>
      <c r="AT1633" s="115"/>
    </row>
    <row r="1634" spans="1:46" ht="39" customHeight="1" x14ac:dyDescent="0.25">
      <c r="A1634" s="1468">
        <v>1633</v>
      </c>
      <c r="B1634" s="119" t="s">
        <v>120</v>
      </c>
      <c r="C1634" s="240" t="s">
        <v>515</v>
      </c>
      <c r="D1634" s="241"/>
      <c r="E1634" s="242" t="s">
        <v>47</v>
      </c>
      <c r="F1634" s="241"/>
      <c r="G1634" s="243" t="s">
        <v>271</v>
      </c>
      <c r="H1634" s="244" t="s">
        <v>83</v>
      </c>
      <c r="I1634" s="340"/>
      <c r="J1634" s="245">
        <v>302</v>
      </c>
      <c r="K1634" s="197" t="s">
        <v>50</v>
      </c>
      <c r="L1634" s="256"/>
      <c r="M1634" s="256"/>
      <c r="N1634" s="245"/>
      <c r="O1634" s="1476" t="s">
        <v>3550</v>
      </c>
      <c r="P1634" s="708"/>
      <c r="Q1634" s="728" t="s">
        <v>83</v>
      </c>
      <c r="R1634" s="995" t="s">
        <v>3549</v>
      </c>
      <c r="S1634" s="279">
        <v>35054</v>
      </c>
      <c r="T1634" s="306"/>
      <c r="U1634" s="250"/>
      <c r="V1634" s="250"/>
      <c r="W1634" s="197" t="s">
        <v>5794</v>
      </c>
      <c r="X1634" s="197"/>
      <c r="Y1634" s="197"/>
      <c r="Z1634" s="246"/>
      <c r="AA1634" s="252"/>
      <c r="AB1634" s="299"/>
      <c r="AC1634" s="223"/>
      <c r="AD1634" s="299"/>
      <c r="AE1634" s="494"/>
      <c r="AF1634" s="494"/>
      <c r="AG1634" s="241"/>
      <c r="AH1634" s="253"/>
      <c r="AI1634" s="223"/>
      <c r="AJ1634" s="755" t="s">
        <v>62</v>
      </c>
      <c r="AK1634" s="242">
        <v>1</v>
      </c>
      <c r="AL1634" s="123" t="s">
        <v>534</v>
      </c>
      <c r="AM1634" s="123" t="s">
        <v>508</v>
      </c>
      <c r="AN1634" s="137"/>
      <c r="AO1634" s="137">
        <f>SUBTOTAL(9,B1634:AL1634)</f>
        <v>35357</v>
      </c>
      <c r="AP1634" s="115"/>
      <c r="AQ1634" s="115"/>
      <c r="AR1634" s="115"/>
      <c r="AS1634" s="115"/>
      <c r="AT1634" s="115"/>
    </row>
    <row r="1635" spans="1:46" ht="39" customHeight="1" x14ac:dyDescent="0.25">
      <c r="A1635" s="1468">
        <v>1634</v>
      </c>
      <c r="B1635" s="131" t="s">
        <v>516</v>
      </c>
      <c r="C1635" s="311" t="s">
        <v>284</v>
      </c>
      <c r="D1635" s="241"/>
      <c r="E1635" s="312" t="s">
        <v>47</v>
      </c>
      <c r="F1635" s="241"/>
      <c r="G1635" s="313" t="s">
        <v>285</v>
      </c>
      <c r="H1635" s="314" t="s">
        <v>283</v>
      </c>
      <c r="I1635" s="350"/>
      <c r="J1635" s="281">
        <v>410</v>
      </c>
      <c r="K1635" s="643"/>
      <c r="L1635" s="644"/>
      <c r="M1635" s="644"/>
      <c r="N1635" s="643"/>
      <c r="O1635" s="392" t="s">
        <v>3491</v>
      </c>
      <c r="P1635" s="1257" t="s">
        <v>1828</v>
      </c>
      <c r="Q1635" s="353" t="s">
        <v>153</v>
      </c>
      <c r="R1635" s="1140" t="s">
        <v>3490</v>
      </c>
      <c r="S1635" s="279">
        <v>23123</v>
      </c>
      <c r="T1635" s="643"/>
      <c r="U1635" s="250"/>
      <c r="V1635" s="197"/>
      <c r="W1635" s="197"/>
      <c r="X1635" s="197"/>
      <c r="Y1635" s="288"/>
      <c r="Z1635" s="246"/>
      <c r="AA1635" s="252"/>
      <c r="AB1635" s="1294"/>
      <c r="AC1635" s="643"/>
      <c r="AD1635" s="902"/>
      <c r="AE1635" s="494"/>
      <c r="AF1635" s="494"/>
      <c r="AG1635" s="643"/>
      <c r="AH1635" s="643"/>
      <c r="AI1635" s="644"/>
      <c r="AJ1635" s="392" t="s">
        <v>47</v>
      </c>
      <c r="AK1635" s="312">
        <v>2</v>
      </c>
      <c r="AL1635" s="123" t="s">
        <v>534</v>
      </c>
      <c r="AM1635" s="123" t="s">
        <v>508</v>
      </c>
      <c r="AN1635" s="157"/>
      <c r="AO1635" s="157">
        <f>SUBTOTAL(9,B1635:AL1635)</f>
        <v>23535</v>
      </c>
      <c r="AP1635" s="115"/>
      <c r="AQ1635" s="115"/>
      <c r="AR1635" s="115"/>
      <c r="AS1635" s="115"/>
      <c r="AT1635" s="115"/>
    </row>
    <row r="1636" spans="1:46" ht="39" customHeight="1" x14ac:dyDescent="0.25">
      <c r="A1636" s="1468">
        <v>1635</v>
      </c>
      <c r="B1636" s="128">
        <v>7</v>
      </c>
      <c r="C1636" s="290" t="s">
        <v>517</v>
      </c>
      <c r="D1636" s="291"/>
      <c r="E1636" s="291" t="s">
        <v>47</v>
      </c>
      <c r="F1636" s="291"/>
      <c r="G1636" s="292" t="s">
        <v>518</v>
      </c>
      <c r="H1636" s="293" t="s">
        <v>519</v>
      </c>
      <c r="I1636" s="346"/>
      <c r="J1636" s="281">
        <v>402</v>
      </c>
      <c r="K1636" s="216"/>
      <c r="L1636" s="245"/>
      <c r="M1636" s="245"/>
      <c r="N1636" s="245"/>
      <c r="O1636" s="216" t="s">
        <v>2173</v>
      </c>
      <c r="P1636" s="402" t="s">
        <v>1828</v>
      </c>
      <c r="Q1636" s="344" t="s">
        <v>567</v>
      </c>
      <c r="R1636" s="982" t="s">
        <v>2172</v>
      </c>
      <c r="S1636" s="279">
        <v>28719</v>
      </c>
      <c r="T1636" s="250"/>
      <c r="U1636" s="251" t="s">
        <v>54</v>
      </c>
      <c r="V1636" s="250" t="s">
        <v>4047</v>
      </c>
      <c r="W1636" s="197" t="s">
        <v>70</v>
      </c>
      <c r="X1636" s="289" t="s">
        <v>71</v>
      </c>
      <c r="Y1636" s="288" t="s">
        <v>4218</v>
      </c>
      <c r="Z1636" s="252">
        <v>45232</v>
      </c>
      <c r="AA1636" s="252"/>
      <c r="AB1636" s="245"/>
      <c r="AC1636" s="223"/>
      <c r="AD1636" s="245"/>
      <c r="AE1636" s="494"/>
      <c r="AF1636" s="494"/>
      <c r="AG1636" s="241"/>
      <c r="AH1636" s="253"/>
      <c r="AI1636" s="296"/>
      <c r="AJ1636" s="348" t="s">
        <v>560</v>
      </c>
      <c r="AK1636" s="344">
        <v>3</v>
      </c>
      <c r="AL1636" s="123" t="s">
        <v>534</v>
      </c>
      <c r="AM1636" s="123" t="s">
        <v>508</v>
      </c>
      <c r="AN1636" s="138"/>
      <c r="AO1636" s="138">
        <f>SUBTOTAL(9,B1636:AL1636)</f>
        <v>74363</v>
      </c>
      <c r="AP1636" s="115"/>
      <c r="AQ1636" s="115"/>
      <c r="AR1636" s="115"/>
      <c r="AS1636" s="115"/>
      <c r="AT1636" s="115"/>
    </row>
    <row r="1637" spans="1:46" ht="39" customHeight="1" x14ac:dyDescent="0.25">
      <c r="A1637" s="1468">
        <v>1636</v>
      </c>
      <c r="B1637" s="117">
        <v>5</v>
      </c>
      <c r="C1637" s="378" t="s">
        <v>426</v>
      </c>
      <c r="D1637" s="303"/>
      <c r="E1637" s="241"/>
      <c r="F1637" s="241"/>
      <c r="G1637" s="261" t="s">
        <v>427</v>
      </c>
      <c r="H1637" s="262" t="s">
        <v>85</v>
      </c>
      <c r="I1637" s="357"/>
      <c r="J1637" s="245" t="s">
        <v>556</v>
      </c>
      <c r="K1637" s="216"/>
      <c r="L1637" s="216"/>
      <c r="M1637" s="216"/>
      <c r="N1637" s="301"/>
      <c r="O1637" s="265" t="s">
        <v>2187</v>
      </c>
      <c r="P1637" s="402" t="s">
        <v>1828</v>
      </c>
      <c r="Q1637" s="831" t="s">
        <v>87</v>
      </c>
      <c r="R1637" s="834" t="s">
        <v>2186</v>
      </c>
      <c r="S1637" s="279">
        <v>27894</v>
      </c>
      <c r="T1637" s="289"/>
      <c r="U1637" s="251" t="s">
        <v>54</v>
      </c>
      <c r="V1637" s="280" t="s">
        <v>3959</v>
      </c>
      <c r="W1637" s="197" t="s">
        <v>70</v>
      </c>
      <c r="X1637" s="289" t="s">
        <v>71</v>
      </c>
      <c r="Y1637" s="280" t="s">
        <v>4351</v>
      </c>
      <c r="Z1637" s="486">
        <v>45226</v>
      </c>
      <c r="AA1637" s="252"/>
      <c r="AB1637" s="197"/>
      <c r="AC1637" s="223"/>
      <c r="AD1637" s="197"/>
      <c r="AE1637" s="494"/>
      <c r="AF1637" s="494"/>
      <c r="AG1637" s="385"/>
      <c r="AH1637" s="301"/>
      <c r="AI1637" s="223"/>
      <c r="AJ1637" s="743" t="s">
        <v>560</v>
      </c>
      <c r="AK1637" s="241">
        <v>4</v>
      </c>
      <c r="AL1637" s="123" t="s">
        <v>534</v>
      </c>
      <c r="AM1637" s="123" t="s">
        <v>508</v>
      </c>
      <c r="AN1637" s="151"/>
      <c r="AO1637" s="151">
        <f>SUBTOTAL(9,B1637:AL1637)</f>
        <v>73129</v>
      </c>
      <c r="AP1637" s="115"/>
      <c r="AQ1637" s="115"/>
      <c r="AR1637" s="115"/>
      <c r="AS1637" s="115"/>
      <c r="AT1637" s="115"/>
    </row>
    <row r="1638" spans="1:46" ht="39" customHeight="1" x14ac:dyDescent="0.25">
      <c r="A1638" s="1468">
        <v>1637</v>
      </c>
      <c r="B1638" s="161">
        <v>4</v>
      </c>
      <c r="C1638" s="549" t="s">
        <v>382</v>
      </c>
      <c r="D1638" s="471" t="s">
        <v>134</v>
      </c>
      <c r="E1638" s="471"/>
      <c r="F1638" s="471"/>
      <c r="G1638" s="472" t="s">
        <v>520</v>
      </c>
      <c r="H1638" s="262" t="s">
        <v>85</v>
      </c>
      <c r="I1638" s="492"/>
      <c r="J1638" s="245" t="s">
        <v>556</v>
      </c>
      <c r="K1638" s="216"/>
      <c r="L1638" s="197"/>
      <c r="M1638" s="197"/>
      <c r="N1638" s="374"/>
      <c r="O1638" s="216" t="s">
        <v>2105</v>
      </c>
      <c r="P1638" s="402" t="s">
        <v>1828</v>
      </c>
      <c r="Q1638" s="344" t="s">
        <v>567</v>
      </c>
      <c r="R1638" s="982" t="s">
        <v>2104</v>
      </c>
      <c r="S1638" s="279">
        <v>33575</v>
      </c>
      <c r="T1638" s="250"/>
      <c r="U1638" s="251" t="s">
        <v>54</v>
      </c>
      <c r="V1638" s="250" t="s">
        <v>4047</v>
      </c>
      <c r="W1638" s="197" t="s">
        <v>70</v>
      </c>
      <c r="X1638" s="289" t="s">
        <v>71</v>
      </c>
      <c r="Y1638" s="288" t="s">
        <v>4218</v>
      </c>
      <c r="Z1638" s="252">
        <v>45232</v>
      </c>
      <c r="AA1638" s="252"/>
      <c r="AB1638" s="257"/>
      <c r="AC1638" s="223"/>
      <c r="AD1638" s="257"/>
      <c r="AE1638" s="494"/>
      <c r="AF1638" s="494"/>
      <c r="AG1638" s="241"/>
      <c r="AH1638" s="299"/>
      <c r="AI1638" s="254"/>
      <c r="AJ1638" s="348" t="s">
        <v>560</v>
      </c>
      <c r="AK1638" s="471">
        <v>4</v>
      </c>
      <c r="AL1638" s="176" t="s">
        <v>534</v>
      </c>
      <c r="AM1638" s="176" t="s">
        <v>508</v>
      </c>
      <c r="AN1638" s="167" t="s">
        <v>1382</v>
      </c>
      <c r="AO1638" s="167" t="s">
        <v>1383</v>
      </c>
      <c r="AP1638" s="115"/>
      <c r="AQ1638" s="115"/>
      <c r="AR1638" s="115"/>
      <c r="AS1638" s="115"/>
      <c r="AT1638" s="115"/>
    </row>
    <row r="1639" spans="1:46" s="827" customFormat="1" ht="39" customHeight="1" x14ac:dyDescent="0.25">
      <c r="A1639" s="1468">
        <v>1638</v>
      </c>
      <c r="B1639" s="117"/>
      <c r="C1639" s="324"/>
      <c r="D1639" s="664"/>
      <c r="E1639" s="664"/>
      <c r="F1639" s="664"/>
      <c r="G1639" s="227"/>
      <c r="H1639" s="228"/>
      <c r="I1639" s="228"/>
      <c r="J1639" s="229"/>
      <c r="K1639" s="227"/>
      <c r="L1639" s="229"/>
      <c r="M1639" s="229"/>
      <c r="N1639" s="229"/>
      <c r="O1639" s="309"/>
      <c r="P1639" s="230" t="s">
        <v>521</v>
      </c>
      <c r="Q1639" s="664"/>
      <c r="R1639" s="324"/>
      <c r="S1639" s="279"/>
      <c r="T1639" s="232"/>
      <c r="U1639" s="250"/>
      <c r="V1639" s="232"/>
      <c r="W1639" s="232"/>
      <c r="X1639" s="232"/>
      <c r="Y1639" s="232"/>
      <c r="Z1639" s="233"/>
      <c r="AA1639" s="252"/>
      <c r="AB1639" s="235"/>
      <c r="AC1639" s="236"/>
      <c r="AD1639" s="235"/>
      <c r="AE1639" s="494"/>
      <c r="AF1639" s="494"/>
      <c r="AG1639" s="664"/>
      <c r="AH1639" s="238"/>
      <c r="AI1639" s="239"/>
      <c r="AJ1639" s="576"/>
      <c r="AK1639" s="664"/>
      <c r="AL1639" s="113"/>
      <c r="AM1639" s="113"/>
      <c r="AN1639" s="113"/>
      <c r="AO1639" s="114"/>
      <c r="AP1639" s="115" t="s">
        <v>513</v>
      </c>
      <c r="AQ1639" s="115"/>
      <c r="AR1639" s="115"/>
      <c r="AS1639" s="115"/>
      <c r="AT1639" s="116"/>
    </row>
    <row r="1640" spans="1:46" ht="39" customHeight="1" x14ac:dyDescent="0.25">
      <c r="A1640" s="1468">
        <v>1639</v>
      </c>
      <c r="B1640" s="119">
        <v>10</v>
      </c>
      <c r="C1640" s="793" t="s">
        <v>305</v>
      </c>
      <c r="D1640" s="476"/>
      <c r="E1640" s="442" t="s">
        <v>47</v>
      </c>
      <c r="F1640" s="476"/>
      <c r="G1640" s="757" t="s">
        <v>506</v>
      </c>
      <c r="H1640" s="244" t="s">
        <v>83</v>
      </c>
      <c r="I1640" s="733"/>
      <c r="J1640" s="245">
        <v>302</v>
      </c>
      <c r="K1640" s="197"/>
      <c r="L1640" s="276" t="s">
        <v>5166</v>
      </c>
      <c r="M1640" s="276" t="s">
        <v>5166</v>
      </c>
      <c r="N1640" s="276"/>
      <c r="O1640" s="216" t="s">
        <v>5165</v>
      </c>
      <c r="P1640" s="300"/>
      <c r="Q1640" s="338" t="s">
        <v>119</v>
      </c>
      <c r="R1640" s="995" t="s">
        <v>5164</v>
      </c>
      <c r="S1640" s="279">
        <v>33921</v>
      </c>
      <c r="T1640" s="280"/>
      <c r="U1640" s="251" t="s">
        <v>54</v>
      </c>
      <c r="V1640" s="1476" t="s">
        <v>5447</v>
      </c>
      <c r="W1640" s="197" t="s">
        <v>70</v>
      </c>
      <c r="X1640" s="289" t="s">
        <v>71</v>
      </c>
      <c r="Y1640" s="949" t="s">
        <v>4351</v>
      </c>
      <c r="Z1640" s="246">
        <v>45270</v>
      </c>
      <c r="AA1640" s="252"/>
      <c r="AB1640" s="276"/>
      <c r="AC1640" s="488"/>
      <c r="AD1640" s="276"/>
      <c r="AE1640" s="494"/>
      <c r="AF1640" s="494"/>
      <c r="AG1640" s="476"/>
      <c r="AH1640" s="871"/>
      <c r="AI1640" s="721"/>
      <c r="AJ1640" s="755" t="s">
        <v>62</v>
      </c>
      <c r="AK1640" s="442">
        <v>1</v>
      </c>
      <c r="AL1640" s="175" t="s">
        <v>534</v>
      </c>
      <c r="AM1640" s="175" t="s">
        <v>508</v>
      </c>
      <c r="AN1640" s="800"/>
      <c r="AO1640" s="800">
        <f>SUBTOTAL(9,B1640:AL1640)</f>
        <v>79504</v>
      </c>
      <c r="AP1640" s="115">
        <v>1</v>
      </c>
      <c r="AQ1640" s="115"/>
      <c r="AR1640" s="115"/>
      <c r="AS1640" s="115"/>
      <c r="AT1640" s="115"/>
    </row>
    <row r="1641" spans="1:46" ht="39" customHeight="1" x14ac:dyDescent="0.25">
      <c r="A1641" s="1468">
        <v>1640</v>
      </c>
      <c r="B1641" s="159" t="s">
        <v>522</v>
      </c>
      <c r="C1641" s="356" t="s">
        <v>382</v>
      </c>
      <c r="D1641" s="241" t="s">
        <v>134</v>
      </c>
      <c r="E1641" s="241"/>
      <c r="F1641" s="241"/>
      <c r="G1641" s="261" t="s">
        <v>520</v>
      </c>
      <c r="H1641" s="262" t="s">
        <v>85</v>
      </c>
      <c r="I1641" s="357"/>
      <c r="J1641" s="245" t="s">
        <v>556</v>
      </c>
      <c r="K1641" s="216"/>
      <c r="L1641" s="257"/>
      <c r="M1641" s="257"/>
      <c r="N1641" s="301"/>
      <c r="O1641" s="950" t="s">
        <v>2163</v>
      </c>
      <c r="P1641" s="402" t="s">
        <v>1828</v>
      </c>
      <c r="Q1641" s="298" t="s">
        <v>87</v>
      </c>
      <c r="R1641" s="982" t="s">
        <v>2162</v>
      </c>
      <c r="S1641" s="279">
        <v>29880</v>
      </c>
      <c r="T1641" s="250"/>
      <c r="U1641" s="251" t="s">
        <v>54</v>
      </c>
      <c r="V1641" s="250" t="s">
        <v>4047</v>
      </c>
      <c r="W1641" s="197" t="s">
        <v>70</v>
      </c>
      <c r="X1641" s="289" t="s">
        <v>71</v>
      </c>
      <c r="Y1641" s="288" t="s">
        <v>4218</v>
      </c>
      <c r="Z1641" s="252">
        <v>45232</v>
      </c>
      <c r="AA1641" s="252"/>
      <c r="AB1641" s="301"/>
      <c r="AC1641" s="223"/>
      <c r="AD1641" s="288" t="s">
        <v>464</v>
      </c>
      <c r="AE1641" s="494"/>
      <c r="AF1641" s="494"/>
      <c r="AG1641" s="301" t="s">
        <v>61</v>
      </c>
      <c r="AH1641" s="301"/>
      <c r="AI1641" s="254"/>
      <c r="AJ1641" s="348" t="s">
        <v>560</v>
      </c>
      <c r="AK1641" s="241">
        <v>4</v>
      </c>
      <c r="AL1641" s="123" t="s">
        <v>534</v>
      </c>
      <c r="AM1641" s="123" t="s">
        <v>508</v>
      </c>
      <c r="AN1641" s="151" t="s">
        <v>1382</v>
      </c>
      <c r="AO1641" s="151" t="s">
        <v>1383</v>
      </c>
      <c r="AP1641" s="115">
        <v>1</v>
      </c>
      <c r="AQ1641" s="115"/>
      <c r="AR1641" s="115"/>
      <c r="AS1641" s="115"/>
      <c r="AT1641" s="115"/>
    </row>
    <row r="1642" spans="1:46" ht="39" customHeight="1" x14ac:dyDescent="0.25">
      <c r="A1642" s="1468">
        <v>1641</v>
      </c>
      <c r="B1642" s="159" t="s">
        <v>523</v>
      </c>
      <c r="C1642" s="358" t="s">
        <v>385</v>
      </c>
      <c r="D1642" s="303" t="s">
        <v>134</v>
      </c>
      <c r="E1642" s="241"/>
      <c r="F1642" s="241"/>
      <c r="G1642" s="261" t="s">
        <v>524</v>
      </c>
      <c r="H1642" s="262" t="s">
        <v>85</v>
      </c>
      <c r="I1642" s="357"/>
      <c r="J1642" s="245" t="s">
        <v>556</v>
      </c>
      <c r="K1642" s="296"/>
      <c r="L1642" s="257"/>
      <c r="M1642" s="257"/>
      <c r="N1642" s="256"/>
      <c r="O1642" s="216" t="s">
        <v>2857</v>
      </c>
      <c r="P1642" s="402" t="s">
        <v>1828</v>
      </c>
      <c r="Q1642" s="298" t="s">
        <v>570</v>
      </c>
      <c r="R1642" s="982" t="s">
        <v>2856</v>
      </c>
      <c r="S1642" s="279">
        <v>31104</v>
      </c>
      <c r="T1642" s="250"/>
      <c r="U1642" s="251" t="s">
        <v>54</v>
      </c>
      <c r="V1642" s="250" t="s">
        <v>4047</v>
      </c>
      <c r="W1642" s="197" t="s">
        <v>70</v>
      </c>
      <c r="X1642" s="289" t="s">
        <v>71</v>
      </c>
      <c r="Y1642" s="288" t="s">
        <v>4218</v>
      </c>
      <c r="Z1642" s="252">
        <v>45232</v>
      </c>
      <c r="AA1642" s="252"/>
      <c r="AB1642" s="250"/>
      <c r="AC1642" s="223"/>
      <c r="AD1642" s="299"/>
      <c r="AE1642" s="494"/>
      <c r="AF1642" s="494"/>
      <c r="AG1642" s="241"/>
      <c r="AH1642" s="253"/>
      <c r="AI1642" s="254"/>
      <c r="AJ1642" s="348" t="s">
        <v>560</v>
      </c>
      <c r="AK1642" s="241">
        <v>4</v>
      </c>
      <c r="AL1642" s="123" t="s">
        <v>534</v>
      </c>
      <c r="AM1642" s="123" t="s">
        <v>508</v>
      </c>
      <c r="AN1642" s="151"/>
      <c r="AO1642" s="151" t="s">
        <v>1383</v>
      </c>
      <c r="AP1642" s="115">
        <v>1</v>
      </c>
      <c r="AQ1642" s="115"/>
      <c r="AR1642" s="115"/>
      <c r="AS1642" s="115"/>
      <c r="AT1642" s="116"/>
    </row>
    <row r="1643" spans="1:46" ht="39" customHeight="1" x14ac:dyDescent="0.25">
      <c r="A1643" s="1468">
        <v>1642</v>
      </c>
      <c r="B1643" s="158" t="s">
        <v>525</v>
      </c>
      <c r="C1643" s="290" t="s">
        <v>517</v>
      </c>
      <c r="D1643" s="291"/>
      <c r="E1643" s="291" t="s">
        <v>47</v>
      </c>
      <c r="F1643" s="291"/>
      <c r="G1643" s="292" t="s">
        <v>518</v>
      </c>
      <c r="H1643" s="370" t="s">
        <v>519</v>
      </c>
      <c r="I1643" s="371"/>
      <c r="J1643" s="281">
        <v>402</v>
      </c>
      <c r="K1643" s="216"/>
      <c r="L1643" s="256"/>
      <c r="M1643" s="256"/>
      <c r="N1643" s="245"/>
      <c r="O1643" s="216" t="s">
        <v>2136</v>
      </c>
      <c r="P1643" s="402" t="s">
        <v>1828</v>
      </c>
      <c r="Q1643" s="344" t="s">
        <v>567</v>
      </c>
      <c r="R1643" s="982" t="s">
        <v>2135</v>
      </c>
      <c r="S1643" s="279">
        <v>31862</v>
      </c>
      <c r="T1643" s="306"/>
      <c r="U1643" s="251" t="s">
        <v>54</v>
      </c>
      <c r="V1643" s="250" t="s">
        <v>4047</v>
      </c>
      <c r="W1643" s="197" t="s">
        <v>70</v>
      </c>
      <c r="X1643" s="289" t="s">
        <v>71</v>
      </c>
      <c r="Y1643" s="288" t="s">
        <v>4218</v>
      </c>
      <c r="Z1643" s="252">
        <v>45232</v>
      </c>
      <c r="AA1643" s="252"/>
      <c r="AB1643" s="299"/>
      <c r="AC1643" s="223"/>
      <c r="AD1643" s="299"/>
      <c r="AE1643" s="494"/>
      <c r="AF1643" s="494"/>
      <c r="AG1643" s="241"/>
      <c r="AH1643" s="253"/>
      <c r="AI1643" s="223"/>
      <c r="AJ1643" s="348" t="s">
        <v>560</v>
      </c>
      <c r="AK1643" s="348">
        <v>3</v>
      </c>
      <c r="AL1643" s="123" t="s">
        <v>534</v>
      </c>
      <c r="AM1643" s="123" t="s">
        <v>508</v>
      </c>
      <c r="AN1643" s="138"/>
      <c r="AO1643" s="138">
        <f>SUBTOTAL(9,B1643:AL1643)</f>
        <v>77499</v>
      </c>
      <c r="AP1643" s="115">
        <v>1</v>
      </c>
      <c r="AQ1643" s="115"/>
      <c r="AR1643" s="115"/>
      <c r="AS1643" s="115"/>
      <c r="AT1643" s="115"/>
    </row>
    <row r="1644" spans="1:46" ht="39" customHeight="1" x14ac:dyDescent="0.25">
      <c r="A1644" s="1468">
        <v>1643</v>
      </c>
      <c r="B1644" s="159" t="s">
        <v>526</v>
      </c>
      <c r="C1644" s="356" t="s">
        <v>290</v>
      </c>
      <c r="D1644" s="241" t="s">
        <v>134</v>
      </c>
      <c r="E1644" s="241"/>
      <c r="F1644" s="241"/>
      <c r="G1644" s="261" t="s">
        <v>527</v>
      </c>
      <c r="H1644" s="262" t="s">
        <v>87</v>
      </c>
      <c r="I1644" s="357"/>
      <c r="J1644" s="245" t="s">
        <v>561</v>
      </c>
      <c r="K1644" s="216"/>
      <c r="L1644" s="197"/>
      <c r="M1644" s="197"/>
      <c r="N1644" s="374"/>
      <c r="O1644" s="216" t="s">
        <v>2153</v>
      </c>
      <c r="P1644" s="402" t="s">
        <v>1828</v>
      </c>
      <c r="Q1644" s="344" t="s">
        <v>293</v>
      </c>
      <c r="R1644" s="982" t="s">
        <v>2152</v>
      </c>
      <c r="S1644" s="279">
        <v>27774</v>
      </c>
      <c r="T1644" s="257"/>
      <c r="U1644" s="251" t="s">
        <v>54</v>
      </c>
      <c r="V1644" s="250" t="s">
        <v>4047</v>
      </c>
      <c r="W1644" s="197" t="s">
        <v>70</v>
      </c>
      <c r="X1644" s="289" t="s">
        <v>71</v>
      </c>
      <c r="Y1644" s="288" t="s">
        <v>4218</v>
      </c>
      <c r="Z1644" s="252">
        <v>45232</v>
      </c>
      <c r="AA1644" s="252"/>
      <c r="AB1644" s="257"/>
      <c r="AC1644" s="223"/>
      <c r="AD1644" s="288"/>
      <c r="AE1644" s="494"/>
      <c r="AF1644" s="494"/>
      <c r="AG1644" s="241"/>
      <c r="AH1644" s="299"/>
      <c r="AI1644" s="254"/>
      <c r="AJ1644" s="348" t="s">
        <v>560</v>
      </c>
      <c r="AK1644" s="241">
        <v>4</v>
      </c>
      <c r="AL1644" s="123" t="s">
        <v>534</v>
      </c>
      <c r="AM1644" s="123" t="s">
        <v>508</v>
      </c>
      <c r="AN1644" s="151" t="s">
        <v>1382</v>
      </c>
      <c r="AO1644" s="151" t="s">
        <v>1383</v>
      </c>
      <c r="AP1644" s="115">
        <v>1</v>
      </c>
      <c r="AQ1644" s="115"/>
      <c r="AR1644" s="115"/>
      <c r="AS1644" s="115"/>
      <c r="AT1644" s="115"/>
    </row>
    <row r="1645" spans="1:46" ht="39" customHeight="1" x14ac:dyDescent="0.25">
      <c r="A1645" s="1468">
        <v>1644</v>
      </c>
      <c r="B1645" s="159" t="s">
        <v>523</v>
      </c>
      <c r="C1645" s="358" t="s">
        <v>385</v>
      </c>
      <c r="D1645" s="303" t="s">
        <v>134</v>
      </c>
      <c r="E1645" s="241"/>
      <c r="F1645" s="241"/>
      <c r="G1645" s="261" t="s">
        <v>524</v>
      </c>
      <c r="H1645" s="262" t="s">
        <v>85</v>
      </c>
      <c r="I1645" s="357"/>
      <c r="J1645" s="245" t="s">
        <v>556</v>
      </c>
      <c r="K1645" s="216"/>
      <c r="L1645" s="257"/>
      <c r="M1645" s="257"/>
      <c r="N1645" s="374"/>
      <c r="O1645" s="216" t="s">
        <v>2855</v>
      </c>
      <c r="P1645" s="402" t="s">
        <v>1828</v>
      </c>
      <c r="Q1645" s="298" t="s">
        <v>132</v>
      </c>
      <c r="R1645" s="982" t="s">
        <v>2854</v>
      </c>
      <c r="S1645" s="279">
        <v>25274</v>
      </c>
      <c r="T1645" s="299"/>
      <c r="U1645" s="251" t="s">
        <v>54</v>
      </c>
      <c r="V1645" s="250" t="s">
        <v>4047</v>
      </c>
      <c r="W1645" s="197" t="s">
        <v>70</v>
      </c>
      <c r="X1645" s="289" t="s">
        <v>71</v>
      </c>
      <c r="Y1645" s="288" t="s">
        <v>4218</v>
      </c>
      <c r="Z1645" s="252">
        <v>45232</v>
      </c>
      <c r="AA1645" s="252"/>
      <c r="AB1645" s="299"/>
      <c r="AC1645" s="223"/>
      <c r="AD1645" s="288"/>
      <c r="AE1645" s="494"/>
      <c r="AF1645" s="494"/>
      <c r="AG1645" s="392"/>
      <c r="AH1645" s="253"/>
      <c r="AI1645" s="254"/>
      <c r="AJ1645" s="348" t="s">
        <v>560</v>
      </c>
      <c r="AK1645" s="241">
        <v>4</v>
      </c>
      <c r="AL1645" s="123" t="s">
        <v>534</v>
      </c>
      <c r="AM1645" s="123" t="s">
        <v>508</v>
      </c>
      <c r="AN1645" s="151"/>
      <c r="AO1645" s="151" t="s">
        <v>1383</v>
      </c>
      <c r="AP1645" s="115">
        <v>1</v>
      </c>
      <c r="AQ1645" s="115"/>
      <c r="AR1645" s="115"/>
      <c r="AS1645" s="115"/>
      <c r="AT1645" s="116"/>
    </row>
    <row r="1646" spans="1:46" ht="39" customHeight="1" x14ac:dyDescent="0.25">
      <c r="A1646" s="1468">
        <v>1645</v>
      </c>
      <c r="B1646" s="128" t="s">
        <v>525</v>
      </c>
      <c r="C1646" s="408" t="s">
        <v>517</v>
      </c>
      <c r="D1646" s="291"/>
      <c r="E1646" s="291" t="s">
        <v>47</v>
      </c>
      <c r="F1646" s="291"/>
      <c r="G1646" s="292" t="s">
        <v>518</v>
      </c>
      <c r="H1646" s="293" t="s">
        <v>519</v>
      </c>
      <c r="I1646" s="346"/>
      <c r="J1646" s="281">
        <v>402</v>
      </c>
      <c r="K1646" s="216"/>
      <c r="L1646" s="256"/>
      <c r="M1646" s="256"/>
      <c r="N1646" s="245"/>
      <c r="O1646" s="216" t="s">
        <v>2165</v>
      </c>
      <c r="P1646" s="402" t="s">
        <v>1828</v>
      </c>
      <c r="Q1646" s="298" t="s">
        <v>87</v>
      </c>
      <c r="R1646" s="982" t="s">
        <v>2164</v>
      </c>
      <c r="S1646" s="279">
        <v>31597</v>
      </c>
      <c r="T1646" s="250"/>
      <c r="U1646" s="251" t="s">
        <v>54</v>
      </c>
      <c r="V1646" s="250" t="s">
        <v>4047</v>
      </c>
      <c r="W1646" s="197" t="s">
        <v>70</v>
      </c>
      <c r="X1646" s="289" t="s">
        <v>71</v>
      </c>
      <c r="Y1646" s="288" t="s">
        <v>4218</v>
      </c>
      <c r="Z1646" s="252">
        <v>45232</v>
      </c>
      <c r="AA1646" s="252"/>
      <c r="AB1646" s="590"/>
      <c r="AC1646" s="223"/>
      <c r="AD1646" s="593"/>
      <c r="AE1646" s="494"/>
      <c r="AF1646" s="494"/>
      <c r="AG1646" s="241"/>
      <c r="AH1646" s="253"/>
      <c r="AI1646" s="297"/>
      <c r="AJ1646" s="348" t="s">
        <v>560</v>
      </c>
      <c r="AK1646" s="348">
        <v>3</v>
      </c>
      <c r="AL1646" s="123" t="s">
        <v>534</v>
      </c>
      <c r="AM1646" s="123" t="s">
        <v>508</v>
      </c>
      <c r="AN1646" s="138"/>
      <c r="AO1646" s="138">
        <f>SUBTOTAL(9,B1646:AL1646)</f>
        <v>77234</v>
      </c>
      <c r="AP1646" s="115">
        <v>1</v>
      </c>
      <c r="AQ1646" s="115"/>
      <c r="AR1646" s="115"/>
      <c r="AS1646" s="115"/>
      <c r="AT1646" s="115"/>
    </row>
    <row r="1647" spans="1:46" ht="39" customHeight="1" x14ac:dyDescent="0.25">
      <c r="A1647" s="1468">
        <v>1646</v>
      </c>
      <c r="B1647" s="159" t="s">
        <v>526</v>
      </c>
      <c r="C1647" s="356" t="s">
        <v>290</v>
      </c>
      <c r="D1647" s="241" t="s">
        <v>134</v>
      </c>
      <c r="E1647" s="241"/>
      <c r="F1647" s="241"/>
      <c r="G1647" s="261" t="s">
        <v>527</v>
      </c>
      <c r="H1647" s="262" t="s">
        <v>87</v>
      </c>
      <c r="I1647" s="357"/>
      <c r="J1647" s="245" t="s">
        <v>561</v>
      </c>
      <c r="K1647" s="216"/>
      <c r="L1647" s="197"/>
      <c r="M1647" s="197"/>
      <c r="N1647" s="299"/>
      <c r="O1647" s="216" t="s">
        <v>2124</v>
      </c>
      <c r="P1647" s="402" t="s">
        <v>1828</v>
      </c>
      <c r="Q1647" s="344" t="s">
        <v>293</v>
      </c>
      <c r="R1647" s="982" t="s">
        <v>2123</v>
      </c>
      <c r="S1647" s="279">
        <v>32156</v>
      </c>
      <c r="T1647" s="289"/>
      <c r="U1647" s="251" t="s">
        <v>54</v>
      </c>
      <c r="V1647" s="250" t="s">
        <v>4047</v>
      </c>
      <c r="W1647" s="197" t="s">
        <v>70</v>
      </c>
      <c r="X1647" s="289" t="s">
        <v>71</v>
      </c>
      <c r="Y1647" s="288" t="s">
        <v>4218</v>
      </c>
      <c r="Z1647" s="252">
        <v>45232</v>
      </c>
      <c r="AA1647" s="252"/>
      <c r="AB1647" s="301"/>
      <c r="AC1647" s="223"/>
      <c r="AD1647" s="288"/>
      <c r="AE1647" s="494"/>
      <c r="AF1647" s="494"/>
      <c r="AG1647" s="241"/>
      <c r="AH1647" s="301"/>
      <c r="AI1647" s="254"/>
      <c r="AJ1647" s="348" t="s">
        <v>560</v>
      </c>
      <c r="AK1647" s="241">
        <v>4</v>
      </c>
      <c r="AL1647" s="123" t="s">
        <v>534</v>
      </c>
      <c r="AM1647" s="123" t="s">
        <v>508</v>
      </c>
      <c r="AN1647" s="151" t="s">
        <v>1382</v>
      </c>
      <c r="AO1647" s="151" t="s">
        <v>1383</v>
      </c>
      <c r="AP1647" s="115">
        <v>1</v>
      </c>
      <c r="AQ1647" s="115"/>
      <c r="AR1647" s="115"/>
      <c r="AS1647" s="115"/>
      <c r="AT1647" s="115"/>
    </row>
    <row r="1648" spans="1:46" ht="39" customHeight="1" x14ac:dyDescent="0.25">
      <c r="A1648" s="1468">
        <v>1647</v>
      </c>
      <c r="B1648" s="160" t="s">
        <v>523</v>
      </c>
      <c r="C1648" s="520" t="s">
        <v>385</v>
      </c>
      <c r="D1648" s="470" t="s">
        <v>134</v>
      </c>
      <c r="E1648" s="471"/>
      <c r="F1648" s="471"/>
      <c r="G1648" s="472" t="s">
        <v>524</v>
      </c>
      <c r="H1648" s="262" t="s">
        <v>85</v>
      </c>
      <c r="I1648" s="492"/>
      <c r="J1648" s="245" t="s">
        <v>556</v>
      </c>
      <c r="K1648" s="216"/>
      <c r="L1648" s="257"/>
      <c r="M1648" s="257"/>
      <c r="N1648" s="374"/>
      <c r="O1648" s="950" t="s">
        <v>2179</v>
      </c>
      <c r="P1648" s="402" t="s">
        <v>1828</v>
      </c>
      <c r="Q1648" s="298" t="s">
        <v>519</v>
      </c>
      <c r="R1648" s="982" t="s">
        <v>2178</v>
      </c>
      <c r="S1648" s="279">
        <v>27592</v>
      </c>
      <c r="T1648" s="257"/>
      <c r="U1648" s="251" t="s">
        <v>54</v>
      </c>
      <c r="V1648" s="250" t="s">
        <v>4047</v>
      </c>
      <c r="W1648" s="197" t="s">
        <v>70</v>
      </c>
      <c r="X1648" s="289" t="s">
        <v>71</v>
      </c>
      <c r="Y1648" s="288" t="s">
        <v>4218</v>
      </c>
      <c r="Z1648" s="252">
        <v>45232</v>
      </c>
      <c r="AA1648" s="252"/>
      <c r="AB1648" s="257"/>
      <c r="AC1648" s="223"/>
      <c r="AD1648" s="288"/>
      <c r="AE1648" s="494"/>
      <c r="AF1648" s="494"/>
      <c r="AG1648" s="385"/>
      <c r="AH1648" s="299"/>
      <c r="AI1648" s="254"/>
      <c r="AJ1648" s="348" t="s">
        <v>560</v>
      </c>
      <c r="AK1648" s="471">
        <v>4</v>
      </c>
      <c r="AL1648" s="176" t="s">
        <v>534</v>
      </c>
      <c r="AM1648" s="176" t="s">
        <v>508</v>
      </c>
      <c r="AN1648" s="167"/>
      <c r="AO1648" s="167" t="s">
        <v>1383</v>
      </c>
      <c r="AP1648" s="115">
        <v>1</v>
      </c>
      <c r="AQ1648" s="115"/>
      <c r="AR1648" s="115"/>
      <c r="AS1648" s="115"/>
      <c r="AT1648" s="116"/>
    </row>
    <row r="1649" spans="1:46" s="827" customFormat="1" ht="39" customHeight="1" x14ac:dyDescent="0.25">
      <c r="A1649" s="1468">
        <v>1648</v>
      </c>
      <c r="B1649" s="117"/>
      <c r="C1649" s="324"/>
      <c r="D1649" s="664"/>
      <c r="E1649" s="664"/>
      <c r="F1649" s="664"/>
      <c r="G1649" s="227"/>
      <c r="H1649" s="228"/>
      <c r="I1649" s="228"/>
      <c r="J1649" s="229"/>
      <c r="K1649" s="227"/>
      <c r="L1649" s="229"/>
      <c r="M1649" s="229"/>
      <c r="N1649" s="229"/>
      <c r="O1649" s="309"/>
      <c r="P1649" s="230" t="s">
        <v>528</v>
      </c>
      <c r="Q1649" s="664"/>
      <c r="R1649" s="324"/>
      <c r="S1649" s="279"/>
      <c r="T1649" s="232"/>
      <c r="U1649" s="250"/>
      <c r="V1649" s="232"/>
      <c r="W1649" s="232"/>
      <c r="X1649" s="232"/>
      <c r="Y1649" s="232"/>
      <c r="Z1649" s="233"/>
      <c r="AA1649" s="252"/>
      <c r="AB1649" s="235"/>
      <c r="AC1649" s="236"/>
      <c r="AD1649" s="235"/>
      <c r="AE1649" s="494"/>
      <c r="AF1649" s="494"/>
      <c r="AG1649" s="664"/>
      <c r="AH1649" s="238"/>
      <c r="AI1649" s="239"/>
      <c r="AJ1649" s="576"/>
      <c r="AK1649" s="664"/>
      <c r="AL1649" s="113"/>
      <c r="AM1649" s="113"/>
      <c r="AN1649" s="114"/>
      <c r="AO1649" s="163"/>
      <c r="AP1649" s="115" t="s">
        <v>513</v>
      </c>
      <c r="AQ1649" s="115"/>
      <c r="AR1649" s="115"/>
      <c r="AS1649" s="115"/>
      <c r="AT1649" s="116"/>
    </row>
    <row r="1650" spans="1:46" ht="39" customHeight="1" x14ac:dyDescent="0.25">
      <c r="A1650" s="1468">
        <v>1649</v>
      </c>
      <c r="B1650" s="189" t="s">
        <v>529</v>
      </c>
      <c r="C1650" s="793" t="s">
        <v>305</v>
      </c>
      <c r="D1650" s="476"/>
      <c r="E1650" s="442" t="s">
        <v>47</v>
      </c>
      <c r="F1650" s="476"/>
      <c r="G1650" s="757" t="s">
        <v>506</v>
      </c>
      <c r="H1650" s="244" t="s">
        <v>83</v>
      </c>
      <c r="I1650" s="870"/>
      <c r="J1650" s="245">
        <v>302</v>
      </c>
      <c r="K1650" s="197" t="s">
        <v>50</v>
      </c>
      <c r="L1650" s="299" t="s">
        <v>2789</v>
      </c>
      <c r="M1650" s="299" t="s">
        <v>2789</v>
      </c>
      <c r="N1650" s="245"/>
      <c r="O1650" s="216" t="s">
        <v>3360</v>
      </c>
      <c r="P1650" s="287"/>
      <c r="Q1650" s="1104" t="s">
        <v>119</v>
      </c>
      <c r="R1650" s="1164" t="s">
        <v>2867</v>
      </c>
      <c r="S1650" s="279">
        <v>36147</v>
      </c>
      <c r="T1650" s="250"/>
      <c r="U1650" s="250"/>
      <c r="V1650" s="197"/>
      <c r="W1650" s="197" t="s">
        <v>5743</v>
      </c>
      <c r="X1650" s="197"/>
      <c r="Y1650" s="197"/>
      <c r="Z1650" s="246"/>
      <c r="AA1650" s="252"/>
      <c r="AB1650" s="241"/>
      <c r="AC1650" s="223"/>
      <c r="AD1650" s="241"/>
      <c r="AE1650" s="494"/>
      <c r="AF1650" s="494"/>
      <c r="AG1650" s="241"/>
      <c r="AH1650" s="253"/>
      <c r="AI1650" s="254"/>
      <c r="AJ1650" s="255" t="s">
        <v>62</v>
      </c>
      <c r="AK1650" s="442">
        <v>1</v>
      </c>
      <c r="AL1650" s="175" t="s">
        <v>534</v>
      </c>
      <c r="AM1650" s="175" t="s">
        <v>508</v>
      </c>
      <c r="AN1650" s="800"/>
      <c r="AO1650" s="800">
        <f>SUBTOTAL(9,B1650:AL1650)</f>
        <v>36450</v>
      </c>
      <c r="AP1650" s="115">
        <v>1</v>
      </c>
      <c r="AQ1650" s="115"/>
      <c r="AR1650" s="115"/>
      <c r="AS1650" s="115"/>
      <c r="AT1650" s="115"/>
    </row>
    <row r="1651" spans="1:46" ht="39" customHeight="1" x14ac:dyDescent="0.25">
      <c r="A1651" s="1468">
        <v>1650</v>
      </c>
      <c r="B1651" s="117" t="s">
        <v>522</v>
      </c>
      <c r="C1651" s="356" t="s">
        <v>382</v>
      </c>
      <c r="D1651" s="241" t="s">
        <v>134</v>
      </c>
      <c r="E1651" s="241"/>
      <c r="F1651" s="241"/>
      <c r="G1651" s="261" t="s">
        <v>520</v>
      </c>
      <c r="H1651" s="262" t="s">
        <v>85</v>
      </c>
      <c r="I1651" s="357"/>
      <c r="J1651" s="245" t="s">
        <v>556</v>
      </c>
      <c r="K1651" s="257"/>
      <c r="L1651" s="299"/>
      <c r="M1651" s="299"/>
      <c r="N1651" s="299"/>
      <c r="O1651" s="216" t="s">
        <v>2122</v>
      </c>
      <c r="P1651" s="402" t="s">
        <v>1828</v>
      </c>
      <c r="Q1651" s="344" t="s">
        <v>567</v>
      </c>
      <c r="R1651" s="982" t="s">
        <v>2121</v>
      </c>
      <c r="S1651" s="279">
        <v>28577</v>
      </c>
      <c r="T1651" s="289"/>
      <c r="U1651" s="251" t="s">
        <v>54</v>
      </c>
      <c r="V1651" s="250" t="s">
        <v>4047</v>
      </c>
      <c r="W1651" s="197" t="s">
        <v>70</v>
      </c>
      <c r="X1651" s="289" t="s">
        <v>71</v>
      </c>
      <c r="Y1651" s="288" t="s">
        <v>4218</v>
      </c>
      <c r="Z1651" s="252">
        <v>45232</v>
      </c>
      <c r="AA1651" s="252"/>
      <c r="AB1651" s="299"/>
      <c r="AC1651" s="223"/>
      <c r="AD1651" s="299"/>
      <c r="AE1651" s="494"/>
      <c r="AF1651" s="494"/>
      <c r="AG1651" s="299"/>
      <c r="AH1651" s="299"/>
      <c r="AI1651" s="223"/>
      <c r="AJ1651" s="348" t="s">
        <v>560</v>
      </c>
      <c r="AK1651" s="241">
        <v>4</v>
      </c>
      <c r="AL1651" s="123" t="s">
        <v>534</v>
      </c>
      <c r="AM1651" s="123" t="s">
        <v>508</v>
      </c>
      <c r="AN1651" s="151" t="s">
        <v>1382</v>
      </c>
      <c r="AO1651" s="151" t="s">
        <v>1383</v>
      </c>
      <c r="AP1651" s="115">
        <v>1</v>
      </c>
      <c r="AQ1651" s="115"/>
      <c r="AR1651" s="115"/>
      <c r="AS1651" s="115"/>
      <c r="AT1651" s="115"/>
    </row>
    <row r="1652" spans="1:46" ht="39" customHeight="1" x14ac:dyDescent="0.25">
      <c r="A1652" s="1468">
        <v>1651</v>
      </c>
      <c r="B1652" s="159" t="s">
        <v>523</v>
      </c>
      <c r="C1652" s="358" t="s">
        <v>385</v>
      </c>
      <c r="D1652" s="303" t="s">
        <v>134</v>
      </c>
      <c r="E1652" s="241"/>
      <c r="F1652" s="241"/>
      <c r="G1652" s="261" t="s">
        <v>524</v>
      </c>
      <c r="H1652" s="262" t="s">
        <v>85</v>
      </c>
      <c r="I1652" s="357"/>
      <c r="J1652" s="245" t="s">
        <v>556</v>
      </c>
      <c r="K1652" s="197"/>
      <c r="L1652" s="257"/>
      <c r="M1652" s="257"/>
      <c r="N1652" s="245"/>
      <c r="O1652" s="216" t="s">
        <v>2853</v>
      </c>
      <c r="P1652" s="402" t="s">
        <v>1828</v>
      </c>
      <c r="Q1652" s="344" t="s">
        <v>570</v>
      </c>
      <c r="R1652" s="982" t="s">
        <v>2852</v>
      </c>
      <c r="S1652" s="279">
        <v>27160</v>
      </c>
      <c r="T1652" s="250"/>
      <c r="U1652" s="251" t="s">
        <v>54</v>
      </c>
      <c r="V1652" s="250" t="s">
        <v>4047</v>
      </c>
      <c r="W1652" s="197" t="s">
        <v>70</v>
      </c>
      <c r="X1652" s="289" t="s">
        <v>71</v>
      </c>
      <c r="Y1652" s="288" t="s">
        <v>4218</v>
      </c>
      <c r="Z1652" s="252">
        <v>45232</v>
      </c>
      <c r="AA1652" s="252"/>
      <c r="AB1652" s="197"/>
      <c r="AC1652" s="223"/>
      <c r="AD1652" s="299"/>
      <c r="AE1652" s="494"/>
      <c r="AF1652" s="494"/>
      <c r="AG1652" s="241"/>
      <c r="AH1652" s="245"/>
      <c r="AI1652" s="254"/>
      <c r="AJ1652" s="348" t="s">
        <v>560</v>
      </c>
      <c r="AK1652" s="241">
        <v>4</v>
      </c>
      <c r="AL1652" s="123" t="s">
        <v>534</v>
      </c>
      <c r="AM1652" s="123" t="s">
        <v>508</v>
      </c>
      <c r="AN1652" s="151"/>
      <c r="AO1652" s="151" t="s">
        <v>1383</v>
      </c>
      <c r="AP1652" s="115">
        <v>1</v>
      </c>
      <c r="AQ1652" s="115"/>
      <c r="AR1652" s="115"/>
      <c r="AS1652" s="115"/>
      <c r="AT1652" s="116"/>
    </row>
    <row r="1653" spans="1:46" ht="39" customHeight="1" x14ac:dyDescent="0.25">
      <c r="A1653" s="1468">
        <v>1652</v>
      </c>
      <c r="B1653" s="128" t="s">
        <v>525</v>
      </c>
      <c r="C1653" s="290" t="s">
        <v>517</v>
      </c>
      <c r="D1653" s="291"/>
      <c r="E1653" s="291" t="s">
        <v>47</v>
      </c>
      <c r="F1653" s="291"/>
      <c r="G1653" s="292" t="s">
        <v>518</v>
      </c>
      <c r="H1653" s="293" t="s">
        <v>519</v>
      </c>
      <c r="I1653" s="346"/>
      <c r="J1653" s="281">
        <v>402</v>
      </c>
      <c r="K1653" s="216"/>
      <c r="L1653" s="256"/>
      <c r="M1653" s="256"/>
      <c r="N1653" s="245"/>
      <c r="O1653" s="216" t="s">
        <v>2156</v>
      </c>
      <c r="P1653" s="402" t="s">
        <v>1828</v>
      </c>
      <c r="Q1653" s="344" t="s">
        <v>519</v>
      </c>
      <c r="R1653" s="982" t="s">
        <v>2155</v>
      </c>
      <c r="S1653" s="279">
        <v>29794</v>
      </c>
      <c r="T1653" s="250"/>
      <c r="U1653" s="251" t="s">
        <v>54</v>
      </c>
      <c r="V1653" s="250" t="s">
        <v>4047</v>
      </c>
      <c r="W1653" s="197" t="s">
        <v>70</v>
      </c>
      <c r="X1653" s="289" t="s">
        <v>71</v>
      </c>
      <c r="Y1653" s="288" t="s">
        <v>4218</v>
      </c>
      <c r="Z1653" s="252">
        <v>45232</v>
      </c>
      <c r="AA1653" s="252"/>
      <c r="AB1653" s="241"/>
      <c r="AC1653" s="223"/>
      <c r="AD1653" s="241"/>
      <c r="AE1653" s="494"/>
      <c r="AF1653" s="494"/>
      <c r="AG1653" s="241"/>
      <c r="AH1653" s="253"/>
      <c r="AI1653" s="284"/>
      <c r="AJ1653" s="348" t="s">
        <v>560</v>
      </c>
      <c r="AK1653" s="348">
        <v>3</v>
      </c>
      <c r="AL1653" s="123" t="s">
        <v>534</v>
      </c>
      <c r="AM1653" s="123" t="s">
        <v>508</v>
      </c>
      <c r="AN1653" s="138"/>
      <c r="AO1653" s="138">
        <f>SUBTOTAL(9,B1653:AL1653)</f>
        <v>75431</v>
      </c>
      <c r="AP1653" s="115">
        <v>1</v>
      </c>
      <c r="AQ1653" s="115"/>
      <c r="AR1653" s="115"/>
      <c r="AS1653" s="115"/>
      <c r="AT1653" s="115"/>
    </row>
    <row r="1654" spans="1:46" ht="39" customHeight="1" x14ac:dyDescent="0.25">
      <c r="A1654" s="1468">
        <v>1653</v>
      </c>
      <c r="B1654" s="159" t="s">
        <v>526</v>
      </c>
      <c r="C1654" s="356" t="s">
        <v>290</v>
      </c>
      <c r="D1654" s="241" t="s">
        <v>134</v>
      </c>
      <c r="E1654" s="241"/>
      <c r="F1654" s="241"/>
      <c r="G1654" s="261" t="s">
        <v>527</v>
      </c>
      <c r="H1654" s="262" t="s">
        <v>87</v>
      </c>
      <c r="I1654" s="357"/>
      <c r="J1654" s="245" t="s">
        <v>561</v>
      </c>
      <c r="K1654" s="216"/>
      <c r="L1654" s="299"/>
      <c r="M1654" s="299"/>
      <c r="N1654" s="245"/>
      <c r="O1654" s="959" t="s">
        <v>2434</v>
      </c>
      <c r="P1654" s="402" t="s">
        <v>1828</v>
      </c>
      <c r="Q1654" s="344" t="s">
        <v>293</v>
      </c>
      <c r="R1654" s="998" t="s">
        <v>2433</v>
      </c>
      <c r="S1654" s="279">
        <v>30912</v>
      </c>
      <c r="T1654" s="289"/>
      <c r="U1654" s="251" t="s">
        <v>54</v>
      </c>
      <c r="V1654" s="250" t="s">
        <v>4047</v>
      </c>
      <c r="W1654" s="197" t="s">
        <v>70</v>
      </c>
      <c r="X1654" s="289" t="s">
        <v>71</v>
      </c>
      <c r="Y1654" s="288" t="s">
        <v>4218</v>
      </c>
      <c r="Z1654" s="252">
        <v>45232</v>
      </c>
      <c r="AA1654" s="252"/>
      <c r="AB1654" s="245"/>
      <c r="AC1654" s="223"/>
      <c r="AD1654" s="245"/>
      <c r="AE1654" s="494"/>
      <c r="AF1654" s="494"/>
      <c r="AG1654" s="241"/>
      <c r="AH1654" s="253"/>
      <c r="AI1654" s="284"/>
      <c r="AJ1654" s="348" t="s">
        <v>560</v>
      </c>
      <c r="AK1654" s="241">
        <v>4</v>
      </c>
      <c r="AL1654" s="123" t="s">
        <v>534</v>
      </c>
      <c r="AM1654" s="123" t="s">
        <v>508</v>
      </c>
      <c r="AN1654" s="151" t="s">
        <v>1382</v>
      </c>
      <c r="AO1654" s="151" t="s">
        <v>1383</v>
      </c>
      <c r="AP1654" s="115">
        <v>1</v>
      </c>
      <c r="AQ1654" s="115"/>
      <c r="AR1654" s="115"/>
      <c r="AS1654" s="115"/>
      <c r="AT1654" s="115"/>
    </row>
    <row r="1655" spans="1:46" ht="39" customHeight="1" x14ac:dyDescent="0.25">
      <c r="A1655" s="1468">
        <v>1654</v>
      </c>
      <c r="B1655" s="160" t="s">
        <v>523</v>
      </c>
      <c r="C1655" s="358" t="s">
        <v>385</v>
      </c>
      <c r="D1655" s="303" t="s">
        <v>134</v>
      </c>
      <c r="E1655" s="241"/>
      <c r="F1655" s="241"/>
      <c r="G1655" s="261" t="s">
        <v>524</v>
      </c>
      <c r="H1655" s="262" t="s">
        <v>85</v>
      </c>
      <c r="I1655" s="364"/>
      <c r="J1655" s="245" t="s">
        <v>556</v>
      </c>
      <c r="K1655" s="684"/>
      <c r="L1655" s="685"/>
      <c r="M1655" s="685"/>
      <c r="N1655" s="684"/>
      <c r="O1655" s="216" t="s">
        <v>2437</v>
      </c>
      <c r="P1655" s="402" t="s">
        <v>1828</v>
      </c>
      <c r="Q1655" s="344" t="s">
        <v>570</v>
      </c>
      <c r="R1655" s="982" t="s">
        <v>2436</v>
      </c>
      <c r="S1655" s="279">
        <v>26153</v>
      </c>
      <c r="T1655" s="684"/>
      <c r="U1655" s="251" t="s">
        <v>54</v>
      </c>
      <c r="V1655" s="250" t="s">
        <v>4047</v>
      </c>
      <c r="W1655" s="197" t="s">
        <v>70</v>
      </c>
      <c r="X1655" s="289" t="s">
        <v>71</v>
      </c>
      <c r="Y1655" s="288" t="s">
        <v>4218</v>
      </c>
      <c r="Z1655" s="252">
        <v>45232</v>
      </c>
      <c r="AA1655" s="252"/>
      <c r="AB1655" s="1290"/>
      <c r="AC1655" s="684"/>
      <c r="AD1655" s="686"/>
      <c r="AE1655" s="494"/>
      <c r="AF1655" s="494"/>
      <c r="AG1655" s="684"/>
      <c r="AH1655" s="684"/>
      <c r="AI1655" s="685"/>
      <c r="AJ1655" s="348" t="s">
        <v>560</v>
      </c>
      <c r="AK1655" s="241">
        <v>4</v>
      </c>
      <c r="AL1655" s="123" t="s">
        <v>534</v>
      </c>
      <c r="AM1655" s="123" t="s">
        <v>508</v>
      </c>
      <c r="AN1655" s="151"/>
      <c r="AO1655" s="151" t="s">
        <v>1383</v>
      </c>
      <c r="AP1655" s="115">
        <v>1</v>
      </c>
      <c r="AQ1655" s="115"/>
      <c r="AR1655" s="115"/>
      <c r="AS1655" s="115"/>
      <c r="AT1655" s="116"/>
    </row>
    <row r="1656" spans="1:46" ht="39" customHeight="1" x14ac:dyDescent="0.25">
      <c r="A1656" s="1468">
        <v>1655</v>
      </c>
      <c r="B1656" s="128" t="s">
        <v>525</v>
      </c>
      <c r="C1656" s="290" t="s">
        <v>517</v>
      </c>
      <c r="D1656" s="291"/>
      <c r="E1656" s="291" t="s">
        <v>47</v>
      </c>
      <c r="F1656" s="291"/>
      <c r="G1656" s="292" t="s">
        <v>518</v>
      </c>
      <c r="H1656" s="293" t="s">
        <v>519</v>
      </c>
      <c r="I1656" s="346"/>
      <c r="J1656" s="281">
        <v>402</v>
      </c>
      <c r="K1656" s="216"/>
      <c r="L1656" s="197"/>
      <c r="M1656" s="197"/>
      <c r="N1656" s="374"/>
      <c r="O1656" s="216" t="s">
        <v>2158</v>
      </c>
      <c r="P1656" s="402" t="s">
        <v>1828</v>
      </c>
      <c r="Q1656" s="344" t="s">
        <v>567</v>
      </c>
      <c r="R1656" s="982" t="s">
        <v>2157</v>
      </c>
      <c r="S1656" s="279">
        <v>33228</v>
      </c>
      <c r="T1656" s="257"/>
      <c r="U1656" s="251" t="s">
        <v>54</v>
      </c>
      <c r="V1656" s="250" t="s">
        <v>4047</v>
      </c>
      <c r="W1656" s="197" t="s">
        <v>70</v>
      </c>
      <c r="X1656" s="289" t="s">
        <v>71</v>
      </c>
      <c r="Y1656" s="288" t="s">
        <v>4218</v>
      </c>
      <c r="Z1656" s="252">
        <v>45232</v>
      </c>
      <c r="AA1656" s="252"/>
      <c r="AB1656" s="257"/>
      <c r="AC1656" s="223"/>
      <c r="AD1656" s="299"/>
      <c r="AE1656" s="494"/>
      <c r="AF1656" s="494"/>
      <c r="AG1656" s="241"/>
      <c r="AH1656" s="253"/>
      <c r="AI1656" s="254"/>
      <c r="AJ1656" s="348" t="s">
        <v>560</v>
      </c>
      <c r="AK1656" s="348">
        <v>3</v>
      </c>
      <c r="AL1656" s="123" t="s">
        <v>534</v>
      </c>
      <c r="AM1656" s="123" t="s">
        <v>508</v>
      </c>
      <c r="AN1656" s="138"/>
      <c r="AO1656" s="138">
        <f>SUBTOTAL(9,B1656:AL1656)</f>
        <v>78865</v>
      </c>
      <c r="AP1656" s="115">
        <v>1</v>
      </c>
      <c r="AQ1656" s="115"/>
      <c r="AR1656" s="115"/>
      <c r="AS1656" s="115"/>
      <c r="AT1656" s="115"/>
    </row>
    <row r="1657" spans="1:46" ht="39" customHeight="1" x14ac:dyDescent="0.25">
      <c r="A1657" s="1468">
        <v>1656</v>
      </c>
      <c r="B1657" s="159" t="s">
        <v>526</v>
      </c>
      <c r="C1657" s="356" t="s">
        <v>290</v>
      </c>
      <c r="D1657" s="241" t="s">
        <v>134</v>
      </c>
      <c r="E1657" s="241"/>
      <c r="F1657" s="241"/>
      <c r="G1657" s="261" t="s">
        <v>527</v>
      </c>
      <c r="H1657" s="262" t="s">
        <v>87</v>
      </c>
      <c r="I1657" s="357"/>
      <c r="J1657" s="245" t="s">
        <v>561</v>
      </c>
      <c r="K1657" s="257"/>
      <c r="L1657" s="299"/>
      <c r="M1657" s="299"/>
      <c r="N1657" s="299"/>
      <c r="O1657" s="216" t="s">
        <v>2142</v>
      </c>
      <c r="P1657" s="402" t="s">
        <v>1828</v>
      </c>
      <c r="Q1657" s="344" t="s">
        <v>293</v>
      </c>
      <c r="R1657" s="982" t="s">
        <v>2141</v>
      </c>
      <c r="S1657" s="279">
        <v>27029</v>
      </c>
      <c r="T1657" s="289"/>
      <c r="U1657" s="251" t="s">
        <v>54</v>
      </c>
      <c r="V1657" s="250" t="s">
        <v>4047</v>
      </c>
      <c r="W1657" s="197" t="s">
        <v>70</v>
      </c>
      <c r="X1657" s="289" t="s">
        <v>71</v>
      </c>
      <c r="Y1657" s="288" t="s">
        <v>4218</v>
      </c>
      <c r="Z1657" s="252">
        <v>45232</v>
      </c>
      <c r="AA1657" s="252"/>
      <c r="AB1657" s="299"/>
      <c r="AC1657" s="223"/>
      <c r="AD1657" s="299"/>
      <c r="AE1657" s="494"/>
      <c r="AF1657" s="494"/>
      <c r="AG1657" s="299"/>
      <c r="AH1657" s="299"/>
      <c r="AI1657" s="296"/>
      <c r="AJ1657" s="348" t="s">
        <v>560</v>
      </c>
      <c r="AK1657" s="241">
        <v>4</v>
      </c>
      <c r="AL1657" s="123" t="s">
        <v>534</v>
      </c>
      <c r="AM1657" s="123" t="s">
        <v>508</v>
      </c>
      <c r="AN1657" s="151" t="s">
        <v>1382</v>
      </c>
      <c r="AO1657" s="151" t="s">
        <v>1383</v>
      </c>
      <c r="AP1657" s="115">
        <v>1</v>
      </c>
      <c r="AQ1657" s="115"/>
      <c r="AR1657" s="115"/>
      <c r="AS1657" s="115"/>
      <c r="AT1657" s="115"/>
    </row>
    <row r="1658" spans="1:46" ht="39" customHeight="1" x14ac:dyDescent="0.25">
      <c r="A1658" s="1468">
        <v>1657</v>
      </c>
      <c r="B1658" s="159" t="s">
        <v>523</v>
      </c>
      <c r="C1658" s="520" t="s">
        <v>385</v>
      </c>
      <c r="D1658" s="470"/>
      <c r="E1658" s="471"/>
      <c r="F1658" s="471"/>
      <c r="G1658" s="472" t="s">
        <v>524</v>
      </c>
      <c r="H1658" s="262" t="s">
        <v>85</v>
      </c>
      <c r="I1658" s="473"/>
      <c r="J1658" s="245" t="s">
        <v>556</v>
      </c>
      <c r="K1658" s="474"/>
      <c r="L1658" s="474"/>
      <c r="M1658" s="474"/>
      <c r="N1658" s="474"/>
      <c r="O1658" s="216" t="s">
        <v>3258</v>
      </c>
      <c r="P1658" s="402" t="s">
        <v>1828</v>
      </c>
      <c r="Q1658" s="344" t="s">
        <v>570</v>
      </c>
      <c r="R1658" s="982" t="s">
        <v>3257</v>
      </c>
      <c r="S1658" s="279">
        <v>34811</v>
      </c>
      <c r="T1658" s="474"/>
      <c r="U1658" s="251" t="s">
        <v>54</v>
      </c>
      <c r="V1658" s="250" t="s">
        <v>4047</v>
      </c>
      <c r="W1658" s="197" t="s">
        <v>70</v>
      </c>
      <c r="X1658" s="289" t="s">
        <v>71</v>
      </c>
      <c r="Y1658" s="288" t="s">
        <v>4218</v>
      </c>
      <c r="Z1658" s="252">
        <v>45232</v>
      </c>
      <c r="AA1658" s="252"/>
      <c r="AB1658" s="474"/>
      <c r="AC1658" s="474"/>
      <c r="AD1658" s="474"/>
      <c r="AE1658" s="494"/>
      <c r="AF1658" s="494"/>
      <c r="AG1658" s="474"/>
      <c r="AH1658" s="474"/>
      <c r="AI1658" s="586"/>
      <c r="AJ1658" s="348" t="s">
        <v>560</v>
      </c>
      <c r="AK1658" s="471">
        <v>4</v>
      </c>
      <c r="AL1658" s="176" t="s">
        <v>534</v>
      </c>
      <c r="AM1658" s="176" t="s">
        <v>508</v>
      </c>
      <c r="AN1658" s="167"/>
      <c r="AO1658" s="167" t="s">
        <v>1383</v>
      </c>
      <c r="AP1658" s="115">
        <v>1</v>
      </c>
      <c r="AQ1658" s="115"/>
      <c r="AR1658" s="115"/>
      <c r="AS1658" s="115"/>
      <c r="AT1658" s="116"/>
    </row>
    <row r="1659" spans="1:46" s="827" customFormat="1" ht="39" customHeight="1" x14ac:dyDescent="0.25">
      <c r="A1659" s="1468">
        <v>1658</v>
      </c>
      <c r="B1659" s="117"/>
      <c r="C1659" s="324"/>
      <c r="D1659" s="664"/>
      <c r="E1659" s="664"/>
      <c r="F1659" s="664"/>
      <c r="G1659" s="227"/>
      <c r="H1659" s="228"/>
      <c r="I1659" s="228"/>
      <c r="J1659" s="229"/>
      <c r="K1659" s="227"/>
      <c r="L1659" s="229"/>
      <c r="M1659" s="229"/>
      <c r="N1659" s="229"/>
      <c r="O1659" s="309"/>
      <c r="P1659" s="230" t="s">
        <v>530</v>
      </c>
      <c r="Q1659" s="664"/>
      <c r="R1659" s="324"/>
      <c r="S1659" s="279"/>
      <c r="T1659" s="232"/>
      <c r="U1659" s="250"/>
      <c r="V1659" s="232"/>
      <c r="W1659" s="232"/>
      <c r="X1659" s="232"/>
      <c r="Y1659" s="232"/>
      <c r="Z1659" s="233"/>
      <c r="AA1659" s="252"/>
      <c r="AB1659" s="235"/>
      <c r="AC1659" s="236"/>
      <c r="AD1659" s="235"/>
      <c r="AE1659" s="494"/>
      <c r="AF1659" s="494"/>
      <c r="AG1659" s="664"/>
      <c r="AH1659" s="238"/>
      <c r="AI1659" s="239"/>
      <c r="AJ1659" s="576"/>
      <c r="AK1659" s="664"/>
      <c r="AL1659" s="113"/>
      <c r="AM1659" s="113"/>
      <c r="AN1659" s="113"/>
      <c r="AO1659" s="114"/>
      <c r="AP1659" s="115"/>
      <c r="AQ1659" s="115"/>
      <c r="AR1659" s="115"/>
      <c r="AS1659" s="115"/>
      <c r="AT1659" s="116"/>
    </row>
    <row r="1660" spans="1:46" ht="39" customHeight="1" x14ac:dyDescent="0.25">
      <c r="A1660" s="1468">
        <v>1659</v>
      </c>
      <c r="B1660" s="119" t="s">
        <v>529</v>
      </c>
      <c r="C1660" s="793" t="s">
        <v>305</v>
      </c>
      <c r="D1660" s="476"/>
      <c r="E1660" s="442" t="s">
        <v>47</v>
      </c>
      <c r="F1660" s="476"/>
      <c r="G1660" s="757" t="s">
        <v>506</v>
      </c>
      <c r="H1660" s="244" t="s">
        <v>83</v>
      </c>
      <c r="I1660" s="733"/>
      <c r="J1660" s="245">
        <v>302</v>
      </c>
      <c r="K1660" s="197" t="s">
        <v>50</v>
      </c>
      <c r="L1660" s="734" t="s">
        <v>3560</v>
      </c>
      <c r="M1660" s="734" t="s">
        <v>3560</v>
      </c>
      <c r="N1660" s="276"/>
      <c r="O1660" s="277" t="s">
        <v>3559</v>
      </c>
      <c r="P1660" s="708" t="s">
        <v>4016</v>
      </c>
      <c r="Q1660" s="728" t="s">
        <v>83</v>
      </c>
      <c r="R1660" s="995" t="s">
        <v>3620</v>
      </c>
      <c r="S1660" s="279">
        <v>35091</v>
      </c>
      <c r="T1660" s="443"/>
      <c r="U1660" s="251" t="s">
        <v>54</v>
      </c>
      <c r="V1660" s="250" t="s">
        <v>4848</v>
      </c>
      <c r="W1660" s="197" t="s">
        <v>70</v>
      </c>
      <c r="X1660" s="289" t="s">
        <v>71</v>
      </c>
      <c r="Y1660" s="288" t="s">
        <v>4351</v>
      </c>
      <c r="Z1660" s="252">
        <v>45246</v>
      </c>
      <c r="AA1660" s="252"/>
      <c r="AB1660" s="476"/>
      <c r="AC1660" s="488"/>
      <c r="AD1660" s="476"/>
      <c r="AE1660" s="494"/>
      <c r="AF1660" s="494"/>
      <c r="AG1660" s="476"/>
      <c r="AH1660" s="871"/>
      <c r="AI1660" s="760"/>
      <c r="AJ1660" s="755" t="s">
        <v>62</v>
      </c>
      <c r="AK1660" s="442">
        <v>1</v>
      </c>
      <c r="AL1660" s="175" t="s">
        <v>534</v>
      </c>
      <c r="AM1660" s="175" t="s">
        <v>508</v>
      </c>
      <c r="AN1660" s="800"/>
      <c r="AO1660" s="800">
        <f>SUBTOTAL(9,B1660:AL1660)</f>
        <v>80640</v>
      </c>
      <c r="AP1660" s="115"/>
      <c r="AQ1660" s="115"/>
      <c r="AR1660" s="115"/>
      <c r="AS1660" s="115"/>
      <c r="AT1660" s="115"/>
    </row>
    <row r="1661" spans="1:46" ht="39" customHeight="1" x14ac:dyDescent="0.25">
      <c r="A1661" s="1468">
        <v>1660</v>
      </c>
      <c r="B1661" s="159" t="s">
        <v>522</v>
      </c>
      <c r="C1661" s="356" t="s">
        <v>382</v>
      </c>
      <c r="D1661" s="241" t="s">
        <v>134</v>
      </c>
      <c r="E1661" s="241"/>
      <c r="F1661" s="241"/>
      <c r="G1661" s="261" t="s">
        <v>520</v>
      </c>
      <c r="H1661" s="262" t="s">
        <v>85</v>
      </c>
      <c r="I1661" s="357"/>
      <c r="J1661" s="245" t="s">
        <v>556</v>
      </c>
      <c r="K1661" s="216"/>
      <c r="L1661" s="257"/>
      <c r="M1661" s="257"/>
      <c r="N1661" s="374"/>
      <c r="O1661" s="216" t="s">
        <v>2134</v>
      </c>
      <c r="P1661" s="402" t="s">
        <v>1828</v>
      </c>
      <c r="Q1661" s="344" t="s">
        <v>570</v>
      </c>
      <c r="R1661" s="982" t="s">
        <v>2133</v>
      </c>
      <c r="S1661" s="279">
        <v>27900</v>
      </c>
      <c r="T1661" s="250"/>
      <c r="U1661" s="251" t="s">
        <v>54</v>
      </c>
      <c r="V1661" s="250" t="s">
        <v>4047</v>
      </c>
      <c r="W1661" s="197" t="s">
        <v>70</v>
      </c>
      <c r="X1661" s="289" t="s">
        <v>71</v>
      </c>
      <c r="Y1661" s="288" t="s">
        <v>4218</v>
      </c>
      <c r="Z1661" s="252">
        <v>45232</v>
      </c>
      <c r="AA1661" s="252"/>
      <c r="AB1661" s="257"/>
      <c r="AC1661" s="223"/>
      <c r="AD1661" s="257"/>
      <c r="AE1661" s="494"/>
      <c r="AF1661" s="494"/>
      <c r="AG1661" s="385"/>
      <c r="AH1661" s="299"/>
      <c r="AI1661" s="254"/>
      <c r="AJ1661" s="348" t="s">
        <v>560</v>
      </c>
      <c r="AK1661" s="241">
        <v>4</v>
      </c>
      <c r="AL1661" s="123" t="s">
        <v>534</v>
      </c>
      <c r="AM1661" s="123" t="s">
        <v>508</v>
      </c>
      <c r="AN1661" s="151" t="s">
        <v>1382</v>
      </c>
      <c r="AO1661" s="151" t="s">
        <v>1383</v>
      </c>
      <c r="AP1661" s="115"/>
      <c r="AQ1661" s="115"/>
      <c r="AR1661" s="115"/>
      <c r="AS1661" s="115"/>
      <c r="AT1661" s="115"/>
    </row>
    <row r="1662" spans="1:46" ht="39" customHeight="1" x14ac:dyDescent="0.25">
      <c r="A1662" s="1468">
        <v>1661</v>
      </c>
      <c r="B1662" s="117" t="s">
        <v>523</v>
      </c>
      <c r="C1662" s="358" t="s">
        <v>385</v>
      </c>
      <c r="D1662" s="303" t="s">
        <v>134</v>
      </c>
      <c r="E1662" s="241"/>
      <c r="F1662" s="241"/>
      <c r="G1662" s="261" t="s">
        <v>524</v>
      </c>
      <c r="H1662" s="262" t="s">
        <v>85</v>
      </c>
      <c r="I1662" s="357"/>
      <c r="J1662" s="245" t="s">
        <v>556</v>
      </c>
      <c r="K1662" s="216"/>
      <c r="L1662" s="301"/>
      <c r="M1662" s="301"/>
      <c r="N1662" s="374"/>
      <c r="O1662" s="216" t="s">
        <v>2197</v>
      </c>
      <c r="P1662" s="402" t="s">
        <v>1828</v>
      </c>
      <c r="Q1662" s="344" t="s">
        <v>570</v>
      </c>
      <c r="R1662" s="982" t="s">
        <v>2196</v>
      </c>
      <c r="S1662" s="279">
        <v>32575</v>
      </c>
      <c r="T1662" s="257"/>
      <c r="U1662" s="251" t="s">
        <v>54</v>
      </c>
      <c r="V1662" s="250" t="s">
        <v>5851</v>
      </c>
      <c r="W1662" s="1127" t="s">
        <v>5852</v>
      </c>
      <c r="X1662" s="289" t="s">
        <v>5849</v>
      </c>
      <c r="Y1662" s="981" t="s">
        <v>5853</v>
      </c>
      <c r="Z1662" s="252">
        <v>45232</v>
      </c>
      <c r="AA1662" s="252"/>
      <c r="AB1662" s="257"/>
      <c r="AC1662" s="223"/>
      <c r="AD1662" s="281"/>
      <c r="AE1662" s="494"/>
      <c r="AF1662" s="494"/>
      <c r="AG1662" s="385"/>
      <c r="AH1662" s="299"/>
      <c r="AI1662" s="365"/>
      <c r="AJ1662" s="348" t="s">
        <v>560</v>
      </c>
      <c r="AK1662" s="241">
        <v>4</v>
      </c>
      <c r="AL1662" s="123" t="s">
        <v>534</v>
      </c>
      <c r="AM1662" s="123" t="s">
        <v>508</v>
      </c>
      <c r="AN1662" s="151"/>
      <c r="AO1662" s="151" t="s">
        <v>1383</v>
      </c>
      <c r="AP1662" s="115"/>
      <c r="AQ1662" s="115"/>
      <c r="AR1662" s="115"/>
      <c r="AS1662" s="115"/>
      <c r="AT1662" s="116"/>
    </row>
    <row r="1663" spans="1:46" ht="39" customHeight="1" x14ac:dyDescent="0.25">
      <c r="A1663" s="1468">
        <v>1662</v>
      </c>
      <c r="B1663" s="128" t="s">
        <v>525</v>
      </c>
      <c r="C1663" s="290" t="s">
        <v>517</v>
      </c>
      <c r="D1663" s="291"/>
      <c r="E1663" s="291" t="s">
        <v>47</v>
      </c>
      <c r="F1663" s="291"/>
      <c r="G1663" s="292" t="s">
        <v>518</v>
      </c>
      <c r="H1663" s="293" t="s">
        <v>519</v>
      </c>
      <c r="I1663" s="346"/>
      <c r="J1663" s="281">
        <v>402</v>
      </c>
      <c r="K1663" s="216"/>
      <c r="L1663" s="245"/>
      <c r="M1663" s="245"/>
      <c r="N1663" s="256"/>
      <c r="O1663" s="216" t="s">
        <v>2109</v>
      </c>
      <c r="P1663" s="402" t="s">
        <v>1828</v>
      </c>
      <c r="Q1663" s="298" t="s">
        <v>567</v>
      </c>
      <c r="R1663" s="982" t="s">
        <v>2108</v>
      </c>
      <c r="S1663" s="279">
        <v>36086</v>
      </c>
      <c r="T1663" s="250"/>
      <c r="U1663" s="251" t="s">
        <v>54</v>
      </c>
      <c r="V1663" s="250" t="s">
        <v>4047</v>
      </c>
      <c r="W1663" s="197" t="s">
        <v>70</v>
      </c>
      <c r="X1663" s="289" t="s">
        <v>71</v>
      </c>
      <c r="Y1663" s="288" t="s">
        <v>4218</v>
      </c>
      <c r="Z1663" s="252">
        <v>45232</v>
      </c>
      <c r="AA1663" s="252"/>
      <c r="AB1663" s="245"/>
      <c r="AC1663" s="223"/>
      <c r="AD1663" s="245"/>
      <c r="AE1663" s="494"/>
      <c r="AF1663" s="494"/>
      <c r="AG1663" s="241"/>
      <c r="AH1663" s="253"/>
      <c r="AI1663" s="386"/>
      <c r="AJ1663" s="348" t="s">
        <v>560</v>
      </c>
      <c r="AK1663" s="348">
        <v>3</v>
      </c>
      <c r="AL1663" s="123" t="s">
        <v>534</v>
      </c>
      <c r="AM1663" s="123" t="s">
        <v>508</v>
      </c>
      <c r="AN1663" s="138"/>
      <c r="AO1663" s="138">
        <f>SUBTOTAL(9,B1663:AL1663)</f>
        <v>81723</v>
      </c>
      <c r="AP1663" s="115"/>
      <c r="AQ1663" s="115"/>
      <c r="AR1663" s="115"/>
      <c r="AS1663" s="115"/>
      <c r="AT1663" s="115"/>
    </row>
    <row r="1664" spans="1:46" ht="39" customHeight="1" x14ac:dyDescent="0.25">
      <c r="A1664" s="1468">
        <v>1663</v>
      </c>
      <c r="B1664" s="159" t="s">
        <v>526</v>
      </c>
      <c r="C1664" s="356" t="s">
        <v>290</v>
      </c>
      <c r="D1664" s="241" t="s">
        <v>134</v>
      </c>
      <c r="E1664" s="241"/>
      <c r="F1664" s="241"/>
      <c r="G1664" s="261" t="s">
        <v>527</v>
      </c>
      <c r="H1664" s="262" t="s">
        <v>87</v>
      </c>
      <c r="I1664" s="357"/>
      <c r="J1664" s="245" t="s">
        <v>561</v>
      </c>
      <c r="K1664" s="684"/>
      <c r="L1664" s="685"/>
      <c r="M1664" s="685"/>
      <c r="N1664" s="684"/>
      <c r="O1664" s="950" t="s">
        <v>2439</v>
      </c>
      <c r="P1664" s="402" t="s">
        <v>1828</v>
      </c>
      <c r="Q1664" s="344" t="s">
        <v>87</v>
      </c>
      <c r="R1664" s="982" t="s">
        <v>2438</v>
      </c>
      <c r="S1664" s="279">
        <v>31038</v>
      </c>
      <c r="T1664" s="684"/>
      <c r="U1664" s="251" t="s">
        <v>54</v>
      </c>
      <c r="V1664" s="250" t="s">
        <v>4047</v>
      </c>
      <c r="W1664" s="197" t="s">
        <v>70</v>
      </c>
      <c r="X1664" s="289" t="s">
        <v>71</v>
      </c>
      <c r="Y1664" s="288" t="s">
        <v>4218</v>
      </c>
      <c r="Z1664" s="252">
        <v>45232</v>
      </c>
      <c r="AA1664" s="252"/>
      <c r="AB1664" s="1290"/>
      <c r="AC1664" s="684"/>
      <c r="AD1664" s="686"/>
      <c r="AE1664" s="494"/>
      <c r="AF1664" s="494"/>
      <c r="AG1664" s="684"/>
      <c r="AH1664" s="684"/>
      <c r="AI1664" s="685"/>
      <c r="AJ1664" s="743" t="s">
        <v>560</v>
      </c>
      <c r="AK1664" s="241">
        <v>4</v>
      </c>
      <c r="AL1664" s="123" t="s">
        <v>534</v>
      </c>
      <c r="AM1664" s="123" t="s">
        <v>508</v>
      </c>
      <c r="AN1664" s="151" t="s">
        <v>1382</v>
      </c>
      <c r="AO1664" s="151" t="s">
        <v>1383</v>
      </c>
      <c r="AP1664" s="115"/>
      <c r="AQ1664" s="115"/>
      <c r="AR1664" s="115"/>
      <c r="AS1664" s="115"/>
      <c r="AT1664" s="115"/>
    </row>
    <row r="1665" spans="1:46" ht="39" customHeight="1" x14ac:dyDescent="0.25">
      <c r="A1665" s="1468">
        <v>1664</v>
      </c>
      <c r="B1665" s="117" t="s">
        <v>523</v>
      </c>
      <c r="C1665" s="358" t="s">
        <v>385</v>
      </c>
      <c r="D1665" s="303" t="s">
        <v>134</v>
      </c>
      <c r="E1665" s="241"/>
      <c r="F1665" s="241"/>
      <c r="G1665" s="261" t="s">
        <v>524</v>
      </c>
      <c r="H1665" s="262" t="s">
        <v>85</v>
      </c>
      <c r="I1665" s="357"/>
      <c r="J1665" s="245" t="s">
        <v>556</v>
      </c>
      <c r="K1665" s="434"/>
      <c r="L1665" s="496"/>
      <c r="M1665" s="496"/>
      <c r="N1665" s="496"/>
      <c r="O1665" s="216" t="s">
        <v>2171</v>
      </c>
      <c r="P1665" s="402" t="s">
        <v>1828</v>
      </c>
      <c r="Q1665" s="344" t="s">
        <v>570</v>
      </c>
      <c r="R1665" s="982" t="s">
        <v>2170</v>
      </c>
      <c r="S1665" s="279">
        <v>33193</v>
      </c>
      <c r="T1665" s="440"/>
      <c r="U1665" s="251" t="s">
        <v>54</v>
      </c>
      <c r="V1665" s="250" t="s">
        <v>4047</v>
      </c>
      <c r="W1665" s="197" t="s">
        <v>70</v>
      </c>
      <c r="X1665" s="289" t="s">
        <v>71</v>
      </c>
      <c r="Y1665" s="288" t="s">
        <v>4218</v>
      </c>
      <c r="Z1665" s="252">
        <v>45232</v>
      </c>
      <c r="AA1665" s="252"/>
      <c r="AB1665" s="496"/>
      <c r="AC1665" s="474"/>
      <c r="AD1665" s="496"/>
      <c r="AE1665" s="494"/>
      <c r="AF1665" s="494"/>
      <c r="AG1665" s="496"/>
      <c r="AH1665" s="496"/>
      <c r="AI1665" s="474"/>
      <c r="AJ1665" s="348" t="s">
        <v>560</v>
      </c>
      <c r="AK1665" s="241">
        <v>4</v>
      </c>
      <c r="AL1665" s="123" t="s">
        <v>534</v>
      </c>
      <c r="AM1665" s="123" t="s">
        <v>508</v>
      </c>
      <c r="AN1665" s="151"/>
      <c r="AO1665" s="151" t="s">
        <v>1383</v>
      </c>
      <c r="AP1665" s="115"/>
      <c r="AQ1665" s="115"/>
      <c r="AR1665" s="115"/>
      <c r="AS1665" s="115"/>
      <c r="AT1665" s="116"/>
    </row>
    <row r="1666" spans="1:46" ht="39" customHeight="1" x14ac:dyDescent="0.25">
      <c r="A1666" s="1468">
        <v>1665</v>
      </c>
      <c r="B1666" s="158" t="s">
        <v>525</v>
      </c>
      <c r="C1666" s="290" t="s">
        <v>517</v>
      </c>
      <c r="D1666" s="291"/>
      <c r="E1666" s="291" t="s">
        <v>47</v>
      </c>
      <c r="F1666" s="291"/>
      <c r="G1666" s="292" t="s">
        <v>518</v>
      </c>
      <c r="H1666" s="370" t="s">
        <v>519</v>
      </c>
      <c r="I1666" s="371"/>
      <c r="J1666" s="281">
        <v>402</v>
      </c>
      <c r="K1666" s="257"/>
      <c r="L1666" s="299"/>
      <c r="M1666" s="299"/>
      <c r="N1666" s="299"/>
      <c r="O1666" s="216" t="s">
        <v>2130</v>
      </c>
      <c r="P1666" s="402" t="s">
        <v>1828</v>
      </c>
      <c r="Q1666" s="344" t="s">
        <v>519</v>
      </c>
      <c r="R1666" s="982" t="s">
        <v>2129</v>
      </c>
      <c r="S1666" s="279">
        <v>32031</v>
      </c>
      <c r="T1666" s="289"/>
      <c r="U1666" s="251" t="s">
        <v>54</v>
      </c>
      <c r="V1666" s="250" t="s">
        <v>4047</v>
      </c>
      <c r="W1666" s="197" t="s">
        <v>70</v>
      </c>
      <c r="X1666" s="289" t="s">
        <v>71</v>
      </c>
      <c r="Y1666" s="288" t="s">
        <v>4218</v>
      </c>
      <c r="Z1666" s="252">
        <v>45232</v>
      </c>
      <c r="AA1666" s="252"/>
      <c r="AB1666" s="299"/>
      <c r="AC1666" s="223"/>
      <c r="AD1666" s="299"/>
      <c r="AE1666" s="494"/>
      <c r="AF1666" s="494"/>
      <c r="AG1666" s="299"/>
      <c r="AH1666" s="299"/>
      <c r="AI1666" s="223"/>
      <c r="AJ1666" s="348" t="s">
        <v>560</v>
      </c>
      <c r="AK1666" s="348">
        <v>3</v>
      </c>
      <c r="AL1666" s="123" t="s">
        <v>534</v>
      </c>
      <c r="AM1666" s="123" t="s">
        <v>508</v>
      </c>
      <c r="AN1666" s="138"/>
      <c r="AO1666" s="138">
        <f>SUBTOTAL(9,B1666:AL1666)</f>
        <v>77668</v>
      </c>
      <c r="AP1666" s="115"/>
      <c r="AQ1666" s="115"/>
      <c r="AR1666" s="115"/>
      <c r="AS1666" s="115"/>
      <c r="AT1666" s="115"/>
    </row>
    <row r="1667" spans="1:46" ht="39" customHeight="1" x14ac:dyDescent="0.25">
      <c r="A1667" s="1468">
        <v>1666</v>
      </c>
      <c r="B1667" s="159" t="s">
        <v>526</v>
      </c>
      <c r="C1667" s="356" t="s">
        <v>290</v>
      </c>
      <c r="D1667" s="241" t="s">
        <v>134</v>
      </c>
      <c r="E1667" s="241"/>
      <c r="F1667" s="241"/>
      <c r="G1667" s="261" t="s">
        <v>527</v>
      </c>
      <c r="H1667" s="262" t="s">
        <v>87</v>
      </c>
      <c r="I1667" s="357"/>
      <c r="J1667" s="245" t="s">
        <v>561</v>
      </c>
      <c r="K1667" s="216"/>
      <c r="L1667" s="257"/>
      <c r="M1667" s="257"/>
      <c r="N1667" s="374"/>
      <c r="O1667" s="216" t="s">
        <v>2132</v>
      </c>
      <c r="P1667" s="402" t="s">
        <v>1828</v>
      </c>
      <c r="Q1667" s="344" t="s">
        <v>87</v>
      </c>
      <c r="R1667" s="982" t="s">
        <v>2131</v>
      </c>
      <c r="S1667" s="279">
        <v>28734</v>
      </c>
      <c r="T1667" s="257"/>
      <c r="U1667" s="251" t="s">
        <v>54</v>
      </c>
      <c r="V1667" s="250" t="s">
        <v>4047</v>
      </c>
      <c r="W1667" s="197" t="s">
        <v>70</v>
      </c>
      <c r="X1667" s="289" t="s">
        <v>71</v>
      </c>
      <c r="Y1667" s="288" t="s">
        <v>4218</v>
      </c>
      <c r="Z1667" s="252">
        <v>45232</v>
      </c>
      <c r="AA1667" s="252"/>
      <c r="AB1667" s="257"/>
      <c r="AC1667" s="223"/>
      <c r="AD1667" s="288"/>
      <c r="AE1667" s="494"/>
      <c r="AF1667" s="494"/>
      <c r="AG1667" s="385"/>
      <c r="AH1667" s="389"/>
      <c r="AI1667" s="254"/>
      <c r="AJ1667" s="348" t="s">
        <v>560</v>
      </c>
      <c r="AK1667" s="241">
        <v>4</v>
      </c>
      <c r="AL1667" s="123" t="s">
        <v>534</v>
      </c>
      <c r="AM1667" s="123" t="s">
        <v>508</v>
      </c>
      <c r="AN1667" s="151" t="s">
        <v>1382</v>
      </c>
      <c r="AO1667" s="151" t="s">
        <v>1383</v>
      </c>
      <c r="AP1667" s="115"/>
      <c r="AQ1667" s="115"/>
      <c r="AR1667" s="115"/>
      <c r="AS1667" s="115"/>
      <c r="AT1667" s="115"/>
    </row>
    <row r="1668" spans="1:46" ht="39" customHeight="1" x14ac:dyDescent="0.25">
      <c r="A1668" s="1468">
        <v>1667</v>
      </c>
      <c r="B1668" s="117" t="s">
        <v>523</v>
      </c>
      <c r="C1668" s="520" t="s">
        <v>385</v>
      </c>
      <c r="D1668" s="470"/>
      <c r="E1668" s="471"/>
      <c r="F1668" s="471"/>
      <c r="G1668" s="472" t="s">
        <v>524</v>
      </c>
      <c r="H1668" s="262" t="s">
        <v>85</v>
      </c>
      <c r="I1668" s="473"/>
      <c r="J1668" s="245" t="s">
        <v>556</v>
      </c>
      <c r="K1668" s="216"/>
      <c r="L1668" s="245"/>
      <c r="M1668" s="245"/>
      <c r="N1668" s="245"/>
      <c r="O1668" s="950" t="s">
        <v>2146</v>
      </c>
      <c r="P1668" s="402" t="s">
        <v>1828</v>
      </c>
      <c r="Q1668" s="298" t="s">
        <v>567</v>
      </c>
      <c r="R1668" s="982" t="s">
        <v>2145</v>
      </c>
      <c r="S1668" s="279">
        <v>29872</v>
      </c>
      <c r="T1668" s="250"/>
      <c r="U1668" s="251" t="s">
        <v>54</v>
      </c>
      <c r="V1668" s="250" t="s">
        <v>4047</v>
      </c>
      <c r="W1668" s="197" t="s">
        <v>70</v>
      </c>
      <c r="X1668" s="289" t="s">
        <v>71</v>
      </c>
      <c r="Y1668" s="288" t="s">
        <v>4218</v>
      </c>
      <c r="Z1668" s="252">
        <v>45232</v>
      </c>
      <c r="AA1668" s="252"/>
      <c r="AB1668" s="245"/>
      <c r="AC1668" s="223"/>
      <c r="AD1668" s="245"/>
      <c r="AE1668" s="494"/>
      <c r="AF1668" s="494"/>
      <c r="AG1668" s="241"/>
      <c r="AH1668" s="253"/>
      <c r="AI1668" s="296"/>
      <c r="AJ1668" s="348" t="s">
        <v>560</v>
      </c>
      <c r="AK1668" s="471">
        <v>4</v>
      </c>
      <c r="AL1668" s="176" t="s">
        <v>534</v>
      </c>
      <c r="AM1668" s="176" t="s">
        <v>508</v>
      </c>
      <c r="AN1668" s="167"/>
      <c r="AO1668" s="167" t="s">
        <v>1383</v>
      </c>
      <c r="AP1668" s="115"/>
      <c r="AQ1668" s="115"/>
      <c r="AR1668" s="115"/>
      <c r="AS1668" s="115"/>
      <c r="AT1668" s="116"/>
    </row>
    <row r="1669" spans="1:46" s="827" customFormat="1" ht="39" customHeight="1" x14ac:dyDescent="0.25">
      <c r="A1669" s="1468">
        <v>1668</v>
      </c>
      <c r="B1669" s="159"/>
      <c r="C1669" s="324"/>
      <c r="D1669" s="664"/>
      <c r="E1669" s="664"/>
      <c r="F1669" s="664"/>
      <c r="G1669" s="227"/>
      <c r="H1669" s="577"/>
      <c r="I1669" s="228"/>
      <c r="J1669" s="229"/>
      <c r="K1669" s="227"/>
      <c r="L1669" s="229"/>
      <c r="M1669" s="229"/>
      <c r="N1669" s="229"/>
      <c r="O1669" s="229"/>
      <c r="P1669" s="230" t="s">
        <v>502</v>
      </c>
      <c r="Q1669" s="664"/>
      <c r="R1669" s="324"/>
      <c r="S1669" s="279"/>
      <c r="T1669" s="232"/>
      <c r="U1669" s="250"/>
      <c r="V1669" s="232"/>
      <c r="W1669" s="232"/>
      <c r="X1669" s="232"/>
      <c r="Y1669" s="232"/>
      <c r="Z1669" s="233"/>
      <c r="AA1669" s="252"/>
      <c r="AB1669" s="235"/>
      <c r="AC1669" s="236"/>
      <c r="AD1669" s="235"/>
      <c r="AE1669" s="494"/>
      <c r="AF1669" s="494"/>
      <c r="AG1669" s="664"/>
      <c r="AH1669" s="238"/>
      <c r="AI1669" s="239"/>
      <c r="AJ1669" s="576"/>
      <c r="AK1669" s="664"/>
      <c r="AL1669" s="113"/>
      <c r="AM1669" s="113"/>
      <c r="AN1669" s="113"/>
      <c r="AO1669" s="114"/>
      <c r="AP1669" s="115"/>
      <c r="AQ1669" s="115"/>
      <c r="AR1669" s="115"/>
      <c r="AS1669" s="115"/>
      <c r="AT1669" s="116"/>
    </row>
    <row r="1670" spans="1:46" ht="39" customHeight="1" x14ac:dyDescent="0.25">
      <c r="A1670" s="1468">
        <v>1669</v>
      </c>
      <c r="B1670" s="119">
        <v>12</v>
      </c>
      <c r="C1670" s="784" t="s">
        <v>403</v>
      </c>
      <c r="D1670" s="487"/>
      <c r="E1670" s="728" t="s">
        <v>47</v>
      </c>
      <c r="F1670" s="487"/>
      <c r="G1670" s="730" t="s">
        <v>404</v>
      </c>
      <c r="H1670" s="244" t="s">
        <v>83</v>
      </c>
      <c r="I1670" s="733"/>
      <c r="J1670" s="245">
        <v>302</v>
      </c>
      <c r="K1670" s="277" t="s">
        <v>50</v>
      </c>
      <c r="L1670" s="441" t="s">
        <v>1474</v>
      </c>
      <c r="M1670" s="441" t="s">
        <v>1474</v>
      </c>
      <c r="N1670" s="277"/>
      <c r="O1670" s="277" t="s">
        <v>1473</v>
      </c>
      <c r="P1670" s="484"/>
      <c r="Q1670" s="728" t="s">
        <v>119</v>
      </c>
      <c r="R1670" s="995" t="s">
        <v>1472</v>
      </c>
      <c r="S1670" s="279">
        <v>36837</v>
      </c>
      <c r="T1670" s="443"/>
      <c r="U1670" s="251" t="s">
        <v>54</v>
      </c>
      <c r="V1670" s="280" t="s">
        <v>3959</v>
      </c>
      <c r="W1670" s="197" t="s">
        <v>70</v>
      </c>
      <c r="X1670" s="289" t="s">
        <v>71</v>
      </c>
      <c r="Y1670" s="280" t="s">
        <v>4351</v>
      </c>
      <c r="Z1670" s="486">
        <v>45226</v>
      </c>
      <c r="AA1670" s="252"/>
      <c r="AB1670" s="397"/>
      <c r="AC1670" s="488"/>
      <c r="AD1670" s="452"/>
      <c r="AE1670" s="494"/>
      <c r="AF1670" s="494"/>
      <c r="AG1670" s="487"/>
      <c r="AH1670" s="489"/>
      <c r="AI1670" s="872"/>
      <c r="AJ1670" s="755" t="s">
        <v>62</v>
      </c>
      <c r="AK1670" s="442">
        <v>1</v>
      </c>
      <c r="AL1670" s="175" t="s">
        <v>535</v>
      </c>
      <c r="AM1670" s="175" t="s">
        <v>508</v>
      </c>
      <c r="AN1670" s="800"/>
      <c r="AO1670" s="800"/>
      <c r="AP1670" s="115"/>
      <c r="AQ1670" s="115"/>
      <c r="AR1670" s="115"/>
      <c r="AS1670" s="115"/>
      <c r="AT1670" s="115"/>
    </row>
    <row r="1671" spans="1:46" ht="39" customHeight="1" x14ac:dyDescent="0.25">
      <c r="A1671" s="1468">
        <v>1670</v>
      </c>
      <c r="B1671" s="158" t="s">
        <v>525</v>
      </c>
      <c r="C1671" s="290" t="s">
        <v>517</v>
      </c>
      <c r="D1671" s="241"/>
      <c r="E1671" s="241"/>
      <c r="F1671" s="241"/>
      <c r="G1671" s="292" t="s">
        <v>518</v>
      </c>
      <c r="H1671" s="370" t="s">
        <v>519</v>
      </c>
      <c r="I1671" s="335"/>
      <c r="J1671" s="281">
        <v>402</v>
      </c>
      <c r="K1671" s="216" t="s">
        <v>313</v>
      </c>
      <c r="L1671" s="252" t="s">
        <v>1114</v>
      </c>
      <c r="M1671" s="252" t="s">
        <v>1114</v>
      </c>
      <c r="N1671" s="245"/>
      <c r="O1671" s="216" t="s">
        <v>1197</v>
      </c>
      <c r="P1671" s="402" t="s">
        <v>1828</v>
      </c>
      <c r="Q1671" s="344" t="s">
        <v>519</v>
      </c>
      <c r="R1671" s="982" t="s">
        <v>1198</v>
      </c>
      <c r="S1671" s="279">
        <v>34332</v>
      </c>
      <c r="T1671" s="250"/>
      <c r="U1671" s="251" t="s">
        <v>54</v>
      </c>
      <c r="V1671" s="250" t="s">
        <v>4047</v>
      </c>
      <c r="W1671" s="197" t="s">
        <v>70</v>
      </c>
      <c r="X1671" s="289" t="s">
        <v>71</v>
      </c>
      <c r="Y1671" s="288" t="s">
        <v>4218</v>
      </c>
      <c r="Z1671" s="252">
        <v>45232</v>
      </c>
      <c r="AA1671" s="252"/>
      <c r="AB1671" s="245"/>
      <c r="AC1671" s="223" t="s">
        <v>946</v>
      </c>
      <c r="AD1671" s="245"/>
      <c r="AE1671" s="494">
        <v>44343</v>
      </c>
      <c r="AF1671" s="494">
        <v>44707</v>
      </c>
      <c r="AG1671" s="241" t="s">
        <v>61</v>
      </c>
      <c r="AH1671" s="253"/>
      <c r="AI1671" s="296"/>
      <c r="AJ1671" s="348" t="s">
        <v>560</v>
      </c>
      <c r="AK1671" s="292">
        <v>3</v>
      </c>
      <c r="AL1671" s="123" t="s">
        <v>535</v>
      </c>
      <c r="AM1671" s="123" t="s">
        <v>508</v>
      </c>
      <c r="AN1671" s="122"/>
      <c r="AO1671" s="122"/>
      <c r="AP1671" s="115"/>
      <c r="AQ1671" s="115"/>
      <c r="AR1671" s="115"/>
      <c r="AS1671" s="115"/>
      <c r="AT1671" s="116"/>
    </row>
    <row r="1672" spans="1:46" ht="39" customHeight="1" x14ac:dyDescent="0.3">
      <c r="A1672" s="1468">
        <v>1671</v>
      </c>
      <c r="B1672" s="190"/>
      <c r="C1672" s="549" t="s">
        <v>382</v>
      </c>
      <c r="D1672" s="640"/>
      <c r="E1672" s="640"/>
      <c r="F1672" s="640"/>
      <c r="G1672" s="626" t="s">
        <v>520</v>
      </c>
      <c r="H1672" s="262" t="s">
        <v>85</v>
      </c>
      <c r="I1672" s="640"/>
      <c r="J1672" s="245" t="s">
        <v>556</v>
      </c>
      <c r="K1672" s="277"/>
      <c r="L1672" s="734" t="s">
        <v>3567</v>
      </c>
      <c r="M1672" s="734" t="s">
        <v>3567</v>
      </c>
      <c r="N1672" s="276"/>
      <c r="O1672" s="952" t="s">
        <v>3566</v>
      </c>
      <c r="P1672" s="555" t="s">
        <v>1828</v>
      </c>
      <c r="Q1672" s="298" t="s">
        <v>87</v>
      </c>
      <c r="R1672" s="982" t="s">
        <v>3565</v>
      </c>
      <c r="S1672" s="279">
        <v>27453</v>
      </c>
      <c r="T1672" s="250"/>
      <c r="U1672" s="251" t="s">
        <v>54</v>
      </c>
      <c r="V1672" s="197" t="s">
        <v>5512</v>
      </c>
      <c r="W1672" s="250" t="s">
        <v>56</v>
      </c>
      <c r="X1672" s="197" t="s">
        <v>57</v>
      </c>
      <c r="Y1672" s="197" t="s">
        <v>5726</v>
      </c>
      <c r="Z1672" s="246">
        <v>45272</v>
      </c>
      <c r="AA1672" s="486"/>
      <c r="AB1672" s="1293"/>
      <c r="AC1672" s="642"/>
      <c r="AD1672" s="661"/>
      <c r="AE1672" s="494"/>
      <c r="AF1672" s="494"/>
      <c r="AG1672" s="642"/>
      <c r="AH1672" s="642"/>
      <c r="AI1672" s="1380"/>
      <c r="AJ1672" s="379" t="s">
        <v>560</v>
      </c>
      <c r="AK1672" s="471">
        <v>4</v>
      </c>
      <c r="AL1672" s="176" t="s">
        <v>535</v>
      </c>
      <c r="AM1672" s="176" t="s">
        <v>508</v>
      </c>
      <c r="AN1672" s="151" t="s">
        <v>1382</v>
      </c>
      <c r="AO1672" s="194"/>
      <c r="AR1672" s="115"/>
      <c r="AS1672" s="115"/>
      <c r="AT1672" s="115"/>
    </row>
    <row r="1673" spans="1:46" s="827" customFormat="1" ht="39" customHeight="1" x14ac:dyDescent="0.3">
      <c r="A1673" s="1468">
        <v>1672</v>
      </c>
      <c r="B1673" s="190"/>
      <c r="C1673" s="324"/>
      <c r="D1673" s="664"/>
      <c r="E1673" s="664"/>
      <c r="F1673" s="664"/>
      <c r="G1673" s="227"/>
      <c r="H1673" s="228"/>
      <c r="I1673" s="228"/>
      <c r="J1673" s="229"/>
      <c r="K1673" s="227"/>
      <c r="L1673" s="229"/>
      <c r="M1673" s="229"/>
      <c r="N1673" s="229"/>
      <c r="O1673" s="309"/>
      <c r="P1673" s="230" t="s">
        <v>406</v>
      </c>
      <c r="Q1673" s="664"/>
      <c r="R1673" s="324"/>
      <c r="S1673" s="279"/>
      <c r="T1673" s="232"/>
      <c r="U1673" s="250"/>
      <c r="V1673" s="232"/>
      <c r="W1673" s="232"/>
      <c r="X1673" s="232"/>
      <c r="Y1673" s="232"/>
      <c r="Z1673" s="233"/>
      <c r="AA1673" s="252"/>
      <c r="AB1673" s="235"/>
      <c r="AC1673" s="236"/>
      <c r="AD1673" s="235"/>
      <c r="AE1673" s="494"/>
      <c r="AF1673" s="494"/>
      <c r="AG1673" s="664"/>
      <c r="AH1673" s="238"/>
      <c r="AI1673" s="239"/>
      <c r="AJ1673" s="576"/>
      <c r="AK1673" s="664"/>
      <c r="AL1673" s="113"/>
      <c r="AM1673" s="113"/>
      <c r="AN1673" s="113"/>
      <c r="AO1673" s="114"/>
      <c r="AP1673" s="192"/>
      <c r="AQ1673" s="192"/>
      <c r="AR1673" s="192"/>
      <c r="AS1673" s="192"/>
      <c r="AT1673" s="192"/>
    </row>
    <row r="1674" spans="1:46" ht="39" customHeight="1" x14ac:dyDescent="0.3">
      <c r="A1674" s="1468">
        <v>1673</v>
      </c>
      <c r="B1674" s="190"/>
      <c r="C1674" s="548" t="s">
        <v>407</v>
      </c>
      <c r="D1674" s="487"/>
      <c r="E1674" s="487"/>
      <c r="F1674" s="487"/>
      <c r="G1674" s="525" t="s">
        <v>408</v>
      </c>
      <c r="H1674" s="262" t="s">
        <v>85</v>
      </c>
      <c r="I1674" s="508"/>
      <c r="J1674" s="245" t="s">
        <v>556</v>
      </c>
      <c r="K1674" s="277"/>
      <c r="L1674" s="443"/>
      <c r="M1674" s="443"/>
      <c r="N1674" s="451"/>
      <c r="O1674" s="265" t="s">
        <v>2101</v>
      </c>
      <c r="P1674" s="402" t="s">
        <v>1828</v>
      </c>
      <c r="Q1674" s="837" t="s">
        <v>87</v>
      </c>
      <c r="R1674" s="834" t="s">
        <v>2100</v>
      </c>
      <c r="S1674" s="279">
        <v>33948</v>
      </c>
      <c r="T1674" s="443"/>
      <c r="U1674" s="251" t="s">
        <v>54</v>
      </c>
      <c r="V1674" s="280" t="s">
        <v>3959</v>
      </c>
      <c r="W1674" s="197" t="s">
        <v>70</v>
      </c>
      <c r="X1674" s="289" t="s">
        <v>71</v>
      </c>
      <c r="Y1674" s="280" t="s">
        <v>4351</v>
      </c>
      <c r="Z1674" s="486">
        <v>45226</v>
      </c>
      <c r="AA1674" s="252"/>
      <c r="AB1674" s="443"/>
      <c r="AC1674" s="488"/>
      <c r="AD1674" s="715"/>
      <c r="AE1674" s="494"/>
      <c r="AF1674" s="494"/>
      <c r="AG1674" s="625"/>
      <c r="AH1674" s="489"/>
      <c r="AI1674" s="712"/>
      <c r="AJ1674" s="831" t="s">
        <v>560</v>
      </c>
      <c r="AK1674" s="476">
        <v>4</v>
      </c>
      <c r="AL1674" s="175" t="s">
        <v>535</v>
      </c>
      <c r="AM1674" s="175" t="s">
        <v>508</v>
      </c>
      <c r="AN1674" s="173"/>
      <c r="AO1674" s="173"/>
      <c r="AR1674" s="115"/>
    </row>
    <row r="1675" spans="1:46" ht="39" customHeight="1" x14ac:dyDescent="0.3">
      <c r="A1675" s="1468">
        <v>1674</v>
      </c>
      <c r="B1675" s="190"/>
      <c r="C1675" s="356" t="s">
        <v>409</v>
      </c>
      <c r="D1675" s="282"/>
      <c r="E1675" s="282"/>
      <c r="F1675" s="282"/>
      <c r="G1675" s="447" t="s">
        <v>410</v>
      </c>
      <c r="H1675" s="262" t="s">
        <v>87</v>
      </c>
      <c r="I1675" s="357"/>
      <c r="J1675" s="245" t="s">
        <v>561</v>
      </c>
      <c r="K1675" s="684"/>
      <c r="L1675" s="685"/>
      <c r="M1675" s="685"/>
      <c r="N1675" s="684"/>
      <c r="O1675" s="950"/>
      <c r="P1675" s="402"/>
      <c r="Q1675" s="344"/>
      <c r="R1675" s="982" t="s">
        <v>66</v>
      </c>
      <c r="S1675" s="279"/>
      <c r="T1675" s="684"/>
      <c r="U1675" s="250"/>
      <c r="V1675" s="280"/>
      <c r="W1675" s="197"/>
      <c r="X1675" s="289"/>
      <c r="Y1675" s="280"/>
      <c r="Z1675" s="486"/>
      <c r="AA1675" s="252"/>
      <c r="AB1675" s="1290"/>
      <c r="AC1675" s="684"/>
      <c r="AD1675" s="686"/>
      <c r="AE1675" s="494"/>
      <c r="AF1675" s="494"/>
      <c r="AG1675" s="684"/>
      <c r="AH1675" s="684"/>
      <c r="AI1675" s="685"/>
      <c r="AJ1675" s="348"/>
      <c r="AK1675" s="241">
        <v>4</v>
      </c>
      <c r="AL1675" s="123" t="s">
        <v>535</v>
      </c>
      <c r="AM1675" s="123" t="s">
        <v>508</v>
      </c>
      <c r="AN1675" s="151"/>
      <c r="AO1675" s="151"/>
      <c r="AR1675" s="115"/>
    </row>
    <row r="1676" spans="1:46" ht="39" customHeight="1" x14ac:dyDescent="0.3">
      <c r="A1676" s="1468">
        <v>1675</v>
      </c>
      <c r="B1676" s="161">
        <v>2</v>
      </c>
      <c r="C1676" s="528" t="s">
        <v>411</v>
      </c>
      <c r="D1676" s="282"/>
      <c r="E1676" s="282"/>
      <c r="F1676" s="282"/>
      <c r="G1676" s="447" t="s">
        <v>412</v>
      </c>
      <c r="H1676" s="262" t="s">
        <v>87</v>
      </c>
      <c r="I1676" s="364"/>
      <c r="J1676" s="245" t="s">
        <v>561</v>
      </c>
      <c r="K1676" s="216"/>
      <c r="L1676" s="281"/>
      <c r="M1676" s="281"/>
      <c r="N1676" s="245"/>
      <c r="O1676" s="950" t="s">
        <v>2432</v>
      </c>
      <c r="P1676" s="402" t="s">
        <v>1828</v>
      </c>
      <c r="Q1676" s="348" t="s">
        <v>293</v>
      </c>
      <c r="R1676" s="1166" t="s">
        <v>3356</v>
      </c>
      <c r="S1676" s="279">
        <v>34276</v>
      </c>
      <c r="T1676" s="252"/>
      <c r="U1676" s="251" t="s">
        <v>54</v>
      </c>
      <c r="V1676" s="250" t="s">
        <v>4047</v>
      </c>
      <c r="W1676" s="197" t="s">
        <v>70</v>
      </c>
      <c r="X1676" s="289" t="s">
        <v>71</v>
      </c>
      <c r="Y1676" s="288" t="s">
        <v>4218</v>
      </c>
      <c r="Z1676" s="252">
        <v>45232</v>
      </c>
      <c r="AA1676" s="252"/>
      <c r="AB1676" s="299"/>
      <c r="AC1676" s="223"/>
      <c r="AD1676" s="299"/>
      <c r="AE1676" s="494"/>
      <c r="AF1676" s="494"/>
      <c r="AG1676" s="299"/>
      <c r="AH1676" s="299"/>
      <c r="AI1676" s="296"/>
      <c r="AJ1676" s="348" t="s">
        <v>560</v>
      </c>
      <c r="AK1676" s="241">
        <v>4</v>
      </c>
      <c r="AL1676" s="123" t="s">
        <v>535</v>
      </c>
      <c r="AM1676" s="123" t="s">
        <v>508</v>
      </c>
      <c r="AN1676" s="151"/>
      <c r="AO1676" s="151"/>
      <c r="AR1676" s="115"/>
    </row>
    <row r="1677" spans="1:46" ht="39" customHeight="1" x14ac:dyDescent="0.3">
      <c r="A1677" s="1468">
        <v>1676</v>
      </c>
      <c r="B1677" s="161">
        <v>2</v>
      </c>
      <c r="C1677" s="504" t="s">
        <v>413</v>
      </c>
      <c r="D1677" s="481"/>
      <c r="E1677" s="481"/>
      <c r="F1677" s="481"/>
      <c r="G1677" s="527" t="s">
        <v>414</v>
      </c>
      <c r="H1677" s="262" t="s">
        <v>87</v>
      </c>
      <c r="I1677" s="473"/>
      <c r="J1677" s="245" t="s">
        <v>561</v>
      </c>
      <c r="K1677" s="265"/>
      <c r="L1677" s="265"/>
      <c r="M1677" s="265"/>
      <c r="N1677" s="404"/>
      <c r="O1677" s="216" t="s">
        <v>2160</v>
      </c>
      <c r="P1677" s="402" t="s">
        <v>1828</v>
      </c>
      <c r="Q1677" s="837" t="s">
        <v>567</v>
      </c>
      <c r="R1677" s="834" t="s">
        <v>2159</v>
      </c>
      <c r="S1677" s="279">
        <v>29512</v>
      </c>
      <c r="T1677" s="414"/>
      <c r="U1677" s="251" t="s">
        <v>886</v>
      </c>
      <c r="V1677" s="299" t="s">
        <v>5967</v>
      </c>
      <c r="W1677" s="197" t="s">
        <v>5968</v>
      </c>
      <c r="X1677" s="949" t="s">
        <v>886</v>
      </c>
      <c r="Y1677" s="288"/>
      <c r="Z1677" s="246">
        <v>45310</v>
      </c>
      <c r="AA1677" s="252"/>
      <c r="AB1677" s="394"/>
      <c r="AC1677" s="474"/>
      <c r="AD1677" s="394"/>
      <c r="AE1677" s="494"/>
      <c r="AF1677" s="494"/>
      <c r="AG1677" s="394"/>
      <c r="AH1677" s="394"/>
      <c r="AI1677" s="829"/>
      <c r="AJ1677" s="831" t="s">
        <v>560</v>
      </c>
      <c r="AK1677" s="471">
        <v>4</v>
      </c>
      <c r="AL1677" s="176" t="s">
        <v>535</v>
      </c>
      <c r="AM1677" s="176" t="s">
        <v>508</v>
      </c>
      <c r="AN1677" s="167"/>
      <c r="AO1677" s="167"/>
      <c r="AR1677" s="115"/>
      <c r="AS1677" s="115"/>
      <c r="AT1677" s="115"/>
    </row>
    <row r="1678" spans="1:46" s="827" customFormat="1" ht="39" customHeight="1" x14ac:dyDescent="0.3">
      <c r="A1678" s="1468">
        <v>1677</v>
      </c>
      <c r="B1678" s="190"/>
      <c r="C1678" s="324"/>
      <c r="D1678" s="664"/>
      <c r="E1678" s="664"/>
      <c r="F1678" s="664"/>
      <c r="G1678" s="227"/>
      <c r="H1678" s="228"/>
      <c r="I1678" s="228"/>
      <c r="J1678" s="229"/>
      <c r="K1678" s="227"/>
      <c r="L1678" s="229"/>
      <c r="M1678" s="229"/>
      <c r="N1678" s="229"/>
      <c r="O1678" s="309"/>
      <c r="P1678" s="230" t="s">
        <v>373</v>
      </c>
      <c r="Q1678" s="664"/>
      <c r="R1678" s="324"/>
      <c r="S1678" s="279"/>
      <c r="T1678" s="232"/>
      <c r="U1678" s="250"/>
      <c r="V1678" s="232"/>
      <c r="W1678" s="232"/>
      <c r="X1678" s="232"/>
      <c r="Y1678" s="232"/>
      <c r="Z1678" s="233"/>
      <c r="AA1678" s="252"/>
      <c r="AB1678" s="235"/>
      <c r="AC1678" s="236"/>
      <c r="AD1678" s="235"/>
      <c r="AE1678" s="494"/>
      <c r="AF1678" s="494"/>
      <c r="AG1678" s="664"/>
      <c r="AH1678" s="238"/>
      <c r="AI1678" s="239"/>
      <c r="AJ1678" s="576"/>
      <c r="AK1678" s="664"/>
      <c r="AL1678" s="113"/>
      <c r="AM1678" s="113"/>
      <c r="AN1678" s="113"/>
      <c r="AO1678" s="113"/>
      <c r="AP1678" s="195"/>
      <c r="AQ1678" s="192"/>
      <c r="AR1678" s="192"/>
      <c r="AS1678" s="192"/>
      <c r="AT1678" s="192"/>
    </row>
    <row r="1679" spans="1:46" ht="39" customHeight="1" x14ac:dyDescent="0.3">
      <c r="A1679" s="1468">
        <v>1678</v>
      </c>
      <c r="B1679" s="161">
        <v>5</v>
      </c>
      <c r="C1679" s="931" t="s">
        <v>367</v>
      </c>
      <c r="D1679" s="709"/>
      <c r="E1679" s="709" t="s">
        <v>47</v>
      </c>
      <c r="F1679" s="709"/>
      <c r="G1679" s="847" t="s">
        <v>415</v>
      </c>
      <c r="H1679" s="479" t="s">
        <v>132</v>
      </c>
      <c r="I1679" s="479"/>
      <c r="J1679" s="256">
        <v>403</v>
      </c>
      <c r="K1679" s="277"/>
      <c r="L1679" s="397"/>
      <c r="M1679" s="441"/>
      <c r="N1679" s="276"/>
      <c r="O1679" s="265" t="s">
        <v>2177</v>
      </c>
      <c r="P1679" s="402" t="s">
        <v>1828</v>
      </c>
      <c r="Q1679" s="837" t="s">
        <v>567</v>
      </c>
      <c r="R1679" s="834" t="s">
        <v>2176</v>
      </c>
      <c r="S1679" s="279">
        <v>32556</v>
      </c>
      <c r="T1679" s="452"/>
      <c r="U1679" s="251" t="s">
        <v>54</v>
      </c>
      <c r="V1679" s="250" t="s">
        <v>4047</v>
      </c>
      <c r="W1679" s="197" t="s">
        <v>70</v>
      </c>
      <c r="X1679" s="289" t="s">
        <v>71</v>
      </c>
      <c r="Y1679" s="288" t="s">
        <v>4218</v>
      </c>
      <c r="Z1679" s="252">
        <v>45232</v>
      </c>
      <c r="AA1679" s="252"/>
      <c r="AB1679" s="441"/>
      <c r="AC1679" s="488"/>
      <c r="AD1679" s="849"/>
      <c r="AE1679" s="494"/>
      <c r="AF1679" s="494"/>
      <c r="AG1679" s="476"/>
      <c r="AH1679" s="850"/>
      <c r="AI1679" s="845"/>
      <c r="AJ1679" s="348" t="s">
        <v>560</v>
      </c>
      <c r="AK1679" s="491">
        <v>3</v>
      </c>
      <c r="AL1679" s="175" t="s">
        <v>535</v>
      </c>
      <c r="AM1679" s="175" t="s">
        <v>508</v>
      </c>
      <c r="AN1679" s="170"/>
      <c r="AO1679" s="170"/>
      <c r="AR1679" s="115"/>
    </row>
    <row r="1680" spans="1:46" ht="39" customHeight="1" x14ac:dyDescent="0.3">
      <c r="A1680" s="1468">
        <v>1679</v>
      </c>
      <c r="B1680" s="190"/>
      <c r="C1680" s="358" t="s">
        <v>536</v>
      </c>
      <c r="D1680" s="282" t="s">
        <v>134</v>
      </c>
      <c r="E1680" s="282"/>
      <c r="F1680" s="282"/>
      <c r="G1680" s="447" t="s">
        <v>377</v>
      </c>
      <c r="H1680" s="262" t="s">
        <v>85</v>
      </c>
      <c r="I1680" s="357"/>
      <c r="J1680" s="245" t="s">
        <v>556</v>
      </c>
      <c r="K1680" s="397"/>
      <c r="L1680" s="397"/>
      <c r="M1680" s="397"/>
      <c r="N1680" s="397"/>
      <c r="O1680" s="301"/>
      <c r="P1680" s="402"/>
      <c r="Q1680" s="837"/>
      <c r="R1680" s="834" t="s">
        <v>66</v>
      </c>
      <c r="S1680" s="279"/>
      <c r="T1680" s="684"/>
      <c r="U1680" s="197"/>
      <c r="V1680" s="197"/>
      <c r="W1680" s="250"/>
      <c r="X1680" s="197"/>
      <c r="Y1680" s="197"/>
      <c r="Z1680" s="246"/>
      <c r="AA1680" s="252"/>
      <c r="AB1680" s="1290"/>
      <c r="AC1680" s="684"/>
      <c r="AD1680" s="686"/>
      <c r="AE1680" s="494"/>
      <c r="AF1680" s="494"/>
      <c r="AG1680" s="684"/>
      <c r="AH1680" s="684"/>
      <c r="AI1680" s="685"/>
      <c r="AJ1680" s="348"/>
      <c r="AK1680" s="241">
        <v>4</v>
      </c>
      <c r="AL1680" s="123" t="s">
        <v>535</v>
      </c>
      <c r="AM1680" s="123" t="s">
        <v>508</v>
      </c>
      <c r="AN1680" s="110"/>
      <c r="AO1680" s="151"/>
      <c r="AR1680" s="115"/>
    </row>
    <row r="1681" spans="1:46" ht="39" customHeight="1" x14ac:dyDescent="0.3">
      <c r="A1681" s="1468">
        <v>1680</v>
      </c>
      <c r="B1681" s="161">
        <v>2</v>
      </c>
      <c r="C1681" s="504" t="s">
        <v>413</v>
      </c>
      <c r="D1681" s="282" t="s">
        <v>134</v>
      </c>
      <c r="E1681" s="282"/>
      <c r="F1681" s="282"/>
      <c r="G1681" s="261" t="s">
        <v>354</v>
      </c>
      <c r="H1681" s="262" t="s">
        <v>87</v>
      </c>
      <c r="I1681" s="364"/>
      <c r="J1681" s="245" t="s">
        <v>561</v>
      </c>
      <c r="K1681" s="265"/>
      <c r="L1681" s="265"/>
      <c r="M1681" s="265"/>
      <c r="N1681" s="265"/>
      <c r="O1681" s="265" t="s">
        <v>2851</v>
      </c>
      <c r="P1681" s="402" t="s">
        <v>1828</v>
      </c>
      <c r="Q1681" s="837" t="s">
        <v>87</v>
      </c>
      <c r="R1681" s="834" t="s">
        <v>2850</v>
      </c>
      <c r="S1681" s="279">
        <v>34045</v>
      </c>
      <c r="T1681" s="414"/>
      <c r="U1681" s="251" t="s">
        <v>54</v>
      </c>
      <c r="V1681" s="197"/>
      <c r="W1681" s="197" t="s">
        <v>5028</v>
      </c>
      <c r="X1681" s="197" t="s">
        <v>5029</v>
      </c>
      <c r="Y1681" s="1358" t="s">
        <v>5030</v>
      </c>
      <c r="Z1681" s="246">
        <v>45247</v>
      </c>
      <c r="AA1681" s="252"/>
      <c r="AB1681" s="394"/>
      <c r="AC1681" s="474"/>
      <c r="AD1681" s="394"/>
      <c r="AE1681" s="494"/>
      <c r="AF1681" s="494"/>
      <c r="AG1681" s="394"/>
      <c r="AH1681" s="394"/>
      <c r="AI1681" s="829"/>
      <c r="AJ1681" s="348" t="s">
        <v>560</v>
      </c>
      <c r="AK1681" s="241">
        <v>4</v>
      </c>
      <c r="AL1681" s="123" t="s">
        <v>535</v>
      </c>
      <c r="AM1681" s="123" t="s">
        <v>508</v>
      </c>
      <c r="AN1681" s="110"/>
      <c r="AO1681" s="151"/>
      <c r="AR1681" s="115"/>
      <c r="AS1681" s="115"/>
      <c r="AT1681" s="115"/>
    </row>
    <row r="1682" spans="1:46" ht="39" customHeight="1" x14ac:dyDescent="0.3">
      <c r="A1682" s="1468">
        <v>1681</v>
      </c>
      <c r="B1682" s="190"/>
      <c r="C1682" s="526" t="s">
        <v>299</v>
      </c>
      <c r="D1682" s="481"/>
      <c r="E1682" s="481"/>
      <c r="F1682" s="481"/>
      <c r="G1682" s="527" t="s">
        <v>300</v>
      </c>
      <c r="H1682" s="262" t="s">
        <v>87</v>
      </c>
      <c r="I1682" s="473"/>
      <c r="J1682" s="245" t="s">
        <v>561</v>
      </c>
      <c r="K1682" s="265"/>
      <c r="L1682" s="265"/>
      <c r="M1682" s="265"/>
      <c r="N1682" s="404"/>
      <c r="O1682" s="265" t="s">
        <v>2167</v>
      </c>
      <c r="P1682" s="402" t="s">
        <v>1828</v>
      </c>
      <c r="Q1682" s="837" t="s">
        <v>87</v>
      </c>
      <c r="R1682" s="834" t="s">
        <v>2166</v>
      </c>
      <c r="S1682" s="279">
        <v>26817</v>
      </c>
      <c r="T1682" s="265"/>
      <c r="U1682" s="251" t="s">
        <v>54</v>
      </c>
      <c r="V1682" s="280" t="s">
        <v>3959</v>
      </c>
      <c r="W1682" s="197" t="s">
        <v>70</v>
      </c>
      <c r="X1682" s="289" t="s">
        <v>71</v>
      </c>
      <c r="Y1682" s="280" t="s">
        <v>4351</v>
      </c>
      <c r="Z1682" s="246">
        <v>45226</v>
      </c>
      <c r="AA1682" s="252"/>
      <c r="AB1682" s="394"/>
      <c r="AC1682" s="474"/>
      <c r="AD1682" s="394"/>
      <c r="AE1682" s="494"/>
      <c r="AF1682" s="494"/>
      <c r="AG1682" s="471"/>
      <c r="AH1682" s="394"/>
      <c r="AI1682" s="829"/>
      <c r="AJ1682" s="348" t="s">
        <v>560</v>
      </c>
      <c r="AK1682" s="471">
        <v>4</v>
      </c>
      <c r="AL1682" s="176" t="s">
        <v>535</v>
      </c>
      <c r="AM1682" s="176" t="s">
        <v>508</v>
      </c>
      <c r="AN1682" s="167"/>
      <c r="AO1682" s="167"/>
      <c r="AR1682" s="115"/>
    </row>
    <row r="1683" spans="1:46" s="827" customFormat="1" ht="39" customHeight="1" x14ac:dyDescent="0.3">
      <c r="A1683" s="1468">
        <v>1682</v>
      </c>
      <c r="B1683" s="190"/>
      <c r="C1683" s="324"/>
      <c r="D1683" s="664"/>
      <c r="E1683" s="664"/>
      <c r="F1683" s="664"/>
      <c r="G1683" s="227"/>
      <c r="H1683" s="228"/>
      <c r="I1683" s="228"/>
      <c r="J1683" s="229"/>
      <c r="K1683" s="227"/>
      <c r="L1683" s="229"/>
      <c r="M1683" s="229"/>
      <c r="N1683" s="229"/>
      <c r="O1683" s="309"/>
      <c r="P1683" s="230" t="s">
        <v>431</v>
      </c>
      <c r="Q1683" s="664"/>
      <c r="R1683" s="324"/>
      <c r="S1683" s="279"/>
      <c r="T1683" s="232"/>
      <c r="U1683" s="250"/>
      <c r="V1683" s="232"/>
      <c r="W1683" s="232"/>
      <c r="X1683" s="232"/>
      <c r="Y1683" s="232"/>
      <c r="Z1683" s="233"/>
      <c r="AA1683" s="252"/>
      <c r="AB1683" s="235"/>
      <c r="AC1683" s="236"/>
      <c r="AD1683" s="235"/>
      <c r="AE1683" s="494"/>
      <c r="AF1683" s="494"/>
      <c r="AG1683" s="664"/>
      <c r="AH1683" s="238"/>
      <c r="AI1683" s="239"/>
      <c r="AJ1683" s="576"/>
      <c r="AK1683" s="664"/>
      <c r="AL1683" s="113"/>
      <c r="AM1683" s="113"/>
      <c r="AN1683" s="113"/>
      <c r="AO1683" s="114"/>
      <c r="AP1683" s="192"/>
      <c r="AQ1683" s="192"/>
      <c r="AR1683" s="192"/>
      <c r="AS1683" s="192"/>
      <c r="AT1683" s="192"/>
    </row>
    <row r="1684" spans="1:46" ht="39" customHeight="1" x14ac:dyDescent="0.3">
      <c r="A1684" s="1468">
        <v>1683</v>
      </c>
      <c r="B1684" s="190"/>
      <c r="C1684" s="933" t="s">
        <v>305</v>
      </c>
      <c r="D1684" s="551"/>
      <c r="E1684" s="852" t="s">
        <v>47</v>
      </c>
      <c r="F1684" s="551"/>
      <c r="G1684" s="445" t="s">
        <v>432</v>
      </c>
      <c r="H1684" s="350" t="s">
        <v>283</v>
      </c>
      <c r="I1684" s="350"/>
      <c r="J1684" s="281">
        <v>410</v>
      </c>
      <c r="K1684" s="816"/>
      <c r="L1684" s="816"/>
      <c r="M1684" s="816"/>
      <c r="N1684" s="809"/>
      <c r="O1684" s="983" t="s">
        <v>2579</v>
      </c>
      <c r="P1684" s="402" t="s">
        <v>1828</v>
      </c>
      <c r="Q1684" s="617" t="s">
        <v>153</v>
      </c>
      <c r="R1684" s="1175" t="s">
        <v>2578</v>
      </c>
      <c r="S1684" s="279">
        <v>27693</v>
      </c>
      <c r="T1684" s="840"/>
      <c r="U1684" s="250"/>
      <c r="V1684" s="280"/>
      <c r="W1684" s="250" t="s">
        <v>4076</v>
      </c>
      <c r="X1684" s="289"/>
      <c r="Y1684" s="280"/>
      <c r="Z1684" s="486"/>
      <c r="AA1684" s="252"/>
      <c r="AB1684" s="554"/>
      <c r="AC1684" s="822"/>
      <c r="AD1684" s="856"/>
      <c r="AE1684" s="494"/>
      <c r="AF1684" s="494"/>
      <c r="AG1684" s="805"/>
      <c r="AH1684" s="823"/>
      <c r="AI1684" s="857"/>
      <c r="AJ1684" s="617" t="s">
        <v>47</v>
      </c>
      <c r="AK1684" s="312">
        <v>2</v>
      </c>
      <c r="AL1684" s="132" t="s">
        <v>537</v>
      </c>
      <c r="AM1684" s="132" t="s">
        <v>508</v>
      </c>
      <c r="AN1684" s="860"/>
      <c r="AO1684" s="860"/>
      <c r="AR1684" s="115"/>
    </row>
    <row r="1685" spans="1:46" s="827" customFormat="1" ht="39" customHeight="1" x14ac:dyDescent="0.3">
      <c r="A1685" s="1468">
        <v>1684</v>
      </c>
      <c r="B1685" s="190"/>
      <c r="C1685" s="324"/>
      <c r="D1685" s="664"/>
      <c r="E1685" s="664"/>
      <c r="F1685" s="664"/>
      <c r="G1685" s="227"/>
      <c r="H1685" s="228"/>
      <c r="I1685" s="228"/>
      <c r="J1685" s="229"/>
      <c r="K1685" s="227"/>
      <c r="L1685" s="229"/>
      <c r="M1685" s="229"/>
      <c r="N1685" s="229"/>
      <c r="O1685" s="309"/>
      <c r="P1685" s="230" t="s">
        <v>434</v>
      </c>
      <c r="Q1685" s="664"/>
      <c r="R1685" s="324"/>
      <c r="S1685" s="279"/>
      <c r="T1685" s="232"/>
      <c r="U1685" s="250"/>
      <c r="V1685" s="232"/>
      <c r="W1685" s="232"/>
      <c r="X1685" s="232"/>
      <c r="Y1685" s="232"/>
      <c r="Z1685" s="233"/>
      <c r="AA1685" s="252"/>
      <c r="AB1685" s="235"/>
      <c r="AC1685" s="236"/>
      <c r="AD1685" s="235"/>
      <c r="AE1685" s="494"/>
      <c r="AF1685" s="494"/>
      <c r="AG1685" s="664"/>
      <c r="AH1685" s="238"/>
      <c r="AI1685" s="239"/>
      <c r="AJ1685" s="576"/>
      <c r="AK1685" s="664"/>
      <c r="AL1685" s="113"/>
      <c r="AM1685" s="113"/>
      <c r="AN1685" s="113"/>
      <c r="AO1685" s="114"/>
      <c r="AP1685" s="192"/>
      <c r="AQ1685" s="192"/>
      <c r="AR1685" s="192"/>
      <c r="AS1685" s="192"/>
      <c r="AT1685" s="192"/>
    </row>
    <row r="1686" spans="1:46" ht="39" customHeight="1" x14ac:dyDescent="0.3">
      <c r="A1686" s="1468">
        <v>1685</v>
      </c>
      <c r="B1686" s="161">
        <v>5</v>
      </c>
      <c r="C1686" s="931" t="s">
        <v>367</v>
      </c>
      <c r="D1686" s="709"/>
      <c r="E1686" s="709" t="s">
        <v>47</v>
      </c>
      <c r="F1686" s="709"/>
      <c r="G1686" s="847" t="s">
        <v>435</v>
      </c>
      <c r="H1686" s="479" t="s">
        <v>132</v>
      </c>
      <c r="I1686" s="479"/>
      <c r="J1686" s="256">
        <v>403</v>
      </c>
      <c r="K1686" s="277"/>
      <c r="L1686" s="397"/>
      <c r="M1686" s="397"/>
      <c r="N1686" s="848"/>
      <c r="O1686" s="216" t="s">
        <v>2849</v>
      </c>
      <c r="P1686" s="402" t="s">
        <v>1828</v>
      </c>
      <c r="Q1686" s="298" t="s">
        <v>519</v>
      </c>
      <c r="R1686" s="982" t="s">
        <v>2848</v>
      </c>
      <c r="S1686" s="279">
        <v>28191</v>
      </c>
      <c r="T1686" s="399"/>
      <c r="U1686" s="251" t="s">
        <v>54</v>
      </c>
      <c r="V1686" s="250" t="s">
        <v>4047</v>
      </c>
      <c r="W1686" s="197" t="s">
        <v>70</v>
      </c>
      <c r="X1686" s="289" t="s">
        <v>71</v>
      </c>
      <c r="Y1686" s="288" t="s">
        <v>4218</v>
      </c>
      <c r="Z1686" s="252">
        <v>45232</v>
      </c>
      <c r="AA1686" s="252"/>
      <c r="AB1686" s="861"/>
      <c r="AC1686" s="488"/>
      <c r="AD1686" s="441"/>
      <c r="AE1686" s="494"/>
      <c r="AF1686" s="494"/>
      <c r="AG1686" s="476"/>
      <c r="AH1686" s="489"/>
      <c r="AI1686" s="862"/>
      <c r="AJ1686" s="348" t="s">
        <v>560</v>
      </c>
      <c r="AK1686" s="491">
        <v>3</v>
      </c>
      <c r="AL1686" s="874" t="s">
        <v>537</v>
      </c>
      <c r="AM1686" s="874" t="s">
        <v>508</v>
      </c>
      <c r="AN1686" s="170"/>
      <c r="AO1686" s="170"/>
      <c r="AR1686" s="115"/>
    </row>
    <row r="1687" spans="1:46" ht="39" customHeight="1" x14ac:dyDescent="0.3">
      <c r="A1687" s="1468">
        <v>1686</v>
      </c>
      <c r="B1687" s="190"/>
      <c r="C1687" s="528" t="s">
        <v>436</v>
      </c>
      <c r="D1687" s="282"/>
      <c r="E1687" s="282"/>
      <c r="F1687" s="282"/>
      <c r="G1687" s="447" t="s">
        <v>437</v>
      </c>
      <c r="H1687" s="262" t="s">
        <v>85</v>
      </c>
      <c r="I1687" s="357"/>
      <c r="J1687" s="245" t="s">
        <v>556</v>
      </c>
      <c r="K1687" s="216"/>
      <c r="L1687" s="216"/>
      <c r="M1687" s="216"/>
      <c r="N1687" s="245"/>
      <c r="O1687" s="216"/>
      <c r="P1687" s="402"/>
      <c r="Q1687" s="298"/>
      <c r="R1687" s="982" t="s">
        <v>66</v>
      </c>
      <c r="S1687" s="279"/>
      <c r="T1687" s="250"/>
      <c r="U1687" s="250"/>
      <c r="V1687" s="280"/>
      <c r="W1687" s="197"/>
      <c r="X1687" s="289"/>
      <c r="Y1687" s="280"/>
      <c r="Z1687" s="486"/>
      <c r="AA1687" s="252"/>
      <c r="AB1687" s="281"/>
      <c r="AC1687" s="223"/>
      <c r="AD1687" s="281"/>
      <c r="AE1687" s="494"/>
      <c r="AF1687" s="494"/>
      <c r="AG1687" s="282"/>
      <c r="AH1687" s="283"/>
      <c r="AI1687" s="296"/>
      <c r="AJ1687" s="348"/>
      <c r="AK1687" s="241">
        <v>4</v>
      </c>
      <c r="AL1687" s="132" t="s">
        <v>537</v>
      </c>
      <c r="AM1687" s="132" t="s">
        <v>508</v>
      </c>
      <c r="AN1687" s="151"/>
      <c r="AO1687" s="151"/>
      <c r="AR1687" s="115"/>
    </row>
    <row r="1688" spans="1:46" ht="39" customHeight="1" x14ac:dyDescent="0.3">
      <c r="A1688" s="1468">
        <v>1687</v>
      </c>
      <c r="B1688" s="190"/>
      <c r="C1688" s="356" t="s">
        <v>290</v>
      </c>
      <c r="D1688" s="282" t="s">
        <v>134</v>
      </c>
      <c r="E1688" s="282"/>
      <c r="F1688" s="282"/>
      <c r="G1688" s="447" t="s">
        <v>795</v>
      </c>
      <c r="H1688" s="262" t="s">
        <v>87</v>
      </c>
      <c r="I1688" s="357"/>
      <c r="J1688" s="245" t="s">
        <v>561</v>
      </c>
      <c r="K1688" s="307"/>
      <c r="L1688" s="216"/>
      <c r="M1688" s="216"/>
      <c r="N1688" s="281"/>
      <c r="O1688" s="216" t="s">
        <v>2845</v>
      </c>
      <c r="P1688" s="402" t="s">
        <v>1828</v>
      </c>
      <c r="Q1688" s="298" t="s">
        <v>87</v>
      </c>
      <c r="R1688" s="982" t="s">
        <v>2844</v>
      </c>
      <c r="S1688" s="279">
        <v>31506</v>
      </c>
      <c r="T1688" s="250"/>
      <c r="U1688" s="251" t="s">
        <v>54</v>
      </c>
      <c r="V1688" s="280" t="s">
        <v>3959</v>
      </c>
      <c r="W1688" s="197" t="s">
        <v>70</v>
      </c>
      <c r="X1688" s="289" t="s">
        <v>71</v>
      </c>
      <c r="Y1688" s="280" t="s">
        <v>4351</v>
      </c>
      <c r="Z1688" s="486">
        <v>45226</v>
      </c>
      <c r="AA1688" s="252"/>
      <c r="AB1688" s="250"/>
      <c r="AC1688" s="223"/>
      <c r="AD1688" s="250"/>
      <c r="AE1688" s="494"/>
      <c r="AF1688" s="494"/>
      <c r="AG1688" s="282"/>
      <c r="AH1688" s="281"/>
      <c r="AI1688" s="393"/>
      <c r="AJ1688" s="348" t="s">
        <v>560</v>
      </c>
      <c r="AK1688" s="241">
        <v>4</v>
      </c>
      <c r="AL1688" s="132" t="s">
        <v>537</v>
      </c>
      <c r="AM1688" s="132" t="s">
        <v>508</v>
      </c>
      <c r="AN1688" s="110"/>
      <c r="AO1688" s="151"/>
      <c r="AR1688" s="115"/>
      <c r="AS1688" s="115"/>
      <c r="AT1688" s="115"/>
    </row>
    <row r="1689" spans="1:46" ht="39" customHeight="1" x14ac:dyDescent="0.3">
      <c r="A1689" s="1468">
        <v>1688</v>
      </c>
      <c r="B1689" s="190"/>
      <c r="C1689" s="356" t="s">
        <v>290</v>
      </c>
      <c r="D1689" s="481" t="s">
        <v>134</v>
      </c>
      <c r="E1689" s="481"/>
      <c r="F1689" s="481"/>
      <c r="G1689" s="447" t="s">
        <v>795</v>
      </c>
      <c r="H1689" s="262" t="s">
        <v>87</v>
      </c>
      <c r="I1689" s="473"/>
      <c r="J1689" s="245" t="s">
        <v>561</v>
      </c>
      <c r="K1689" s="216"/>
      <c r="L1689" s="216"/>
      <c r="M1689" s="281"/>
      <c r="N1689" s="216"/>
      <c r="O1689" s="216" t="s">
        <v>2819</v>
      </c>
      <c r="P1689" s="402" t="s">
        <v>1828</v>
      </c>
      <c r="Q1689" s="298" t="s">
        <v>87</v>
      </c>
      <c r="R1689" s="982" t="s">
        <v>2818</v>
      </c>
      <c r="S1689" s="279">
        <v>37414</v>
      </c>
      <c r="T1689" s="197"/>
      <c r="U1689" s="251" t="s">
        <v>54</v>
      </c>
      <c r="V1689" s="280" t="s">
        <v>3959</v>
      </c>
      <c r="W1689" s="197" t="s">
        <v>70</v>
      </c>
      <c r="X1689" s="289" t="s">
        <v>71</v>
      </c>
      <c r="Y1689" s="280" t="s">
        <v>4351</v>
      </c>
      <c r="Z1689" s="486">
        <v>45226</v>
      </c>
      <c r="AA1689" s="252"/>
      <c r="AB1689" s="376"/>
      <c r="AC1689" s="223"/>
      <c r="AD1689" s="281"/>
      <c r="AE1689" s="494"/>
      <c r="AF1689" s="494"/>
      <c r="AG1689" s="282"/>
      <c r="AH1689" s="376"/>
      <c r="AI1689" s="547"/>
      <c r="AJ1689" s="348" t="s">
        <v>560</v>
      </c>
      <c r="AK1689" s="471">
        <v>4</v>
      </c>
      <c r="AL1689" s="780" t="s">
        <v>537</v>
      </c>
      <c r="AM1689" s="780" t="s">
        <v>508</v>
      </c>
      <c r="AN1689" s="179"/>
      <c r="AO1689" s="167"/>
      <c r="AR1689" s="115"/>
      <c r="AS1689" s="115"/>
      <c r="AT1689" s="115"/>
    </row>
    <row r="1690" spans="1:46" s="827" customFormat="1" ht="39" customHeight="1" x14ac:dyDescent="0.3">
      <c r="A1690" s="1468">
        <v>1689</v>
      </c>
      <c r="B1690" s="190"/>
      <c r="C1690" s="324"/>
      <c r="D1690" s="664"/>
      <c r="E1690" s="664"/>
      <c r="F1690" s="664"/>
      <c r="G1690" s="227"/>
      <c r="H1690" s="228"/>
      <c r="I1690" s="228"/>
      <c r="J1690" s="229"/>
      <c r="K1690" s="227"/>
      <c r="L1690" s="229"/>
      <c r="M1690" s="229"/>
      <c r="N1690" s="229"/>
      <c r="O1690" s="309"/>
      <c r="P1690" s="230" t="s">
        <v>439</v>
      </c>
      <c r="Q1690" s="664"/>
      <c r="R1690" s="324"/>
      <c r="S1690" s="279"/>
      <c r="T1690" s="232"/>
      <c r="U1690" s="250"/>
      <c r="V1690" s="232"/>
      <c r="W1690" s="232"/>
      <c r="X1690" s="232"/>
      <c r="Y1690" s="232"/>
      <c r="Z1690" s="233"/>
      <c r="AA1690" s="252"/>
      <c r="AB1690" s="235"/>
      <c r="AC1690" s="236"/>
      <c r="AD1690" s="235"/>
      <c r="AE1690" s="494"/>
      <c r="AF1690" s="494"/>
      <c r="AG1690" s="664"/>
      <c r="AH1690" s="238"/>
      <c r="AI1690" s="239"/>
      <c r="AJ1690" s="576"/>
      <c r="AK1690" s="664"/>
      <c r="AL1690" s="113"/>
      <c r="AM1690" s="113"/>
      <c r="AN1690" s="113"/>
      <c r="AO1690" s="114"/>
      <c r="AP1690" s="192"/>
      <c r="AQ1690" s="192"/>
      <c r="AR1690" s="192"/>
      <c r="AS1690" s="192"/>
      <c r="AT1690" s="192"/>
    </row>
    <row r="1691" spans="1:46" ht="39" customHeight="1" x14ac:dyDescent="0.3">
      <c r="A1691" s="1468">
        <v>1690</v>
      </c>
      <c r="B1691" s="161">
        <v>5</v>
      </c>
      <c r="C1691" s="931" t="s">
        <v>440</v>
      </c>
      <c r="D1691" s="709"/>
      <c r="E1691" s="709" t="s">
        <v>47</v>
      </c>
      <c r="F1691" s="709"/>
      <c r="G1691" s="847" t="s">
        <v>441</v>
      </c>
      <c r="H1691" s="863" t="s">
        <v>132</v>
      </c>
      <c r="I1691" s="863"/>
      <c r="J1691" s="256">
        <v>403</v>
      </c>
      <c r="K1691" s="277"/>
      <c r="L1691" s="441"/>
      <c r="M1691" s="441"/>
      <c r="N1691" s="276"/>
      <c r="O1691" s="216" t="s">
        <v>2111</v>
      </c>
      <c r="P1691" s="555"/>
      <c r="Q1691" s="298" t="s">
        <v>132</v>
      </c>
      <c r="R1691" s="982" t="s">
        <v>2110</v>
      </c>
      <c r="S1691" s="279">
        <v>36314</v>
      </c>
      <c r="T1691" s="197"/>
      <c r="U1691" s="251" t="s">
        <v>54</v>
      </c>
      <c r="V1691" s="250" t="s">
        <v>2793</v>
      </c>
      <c r="W1691" s="197" t="s">
        <v>56</v>
      </c>
      <c r="X1691" s="197" t="s">
        <v>57</v>
      </c>
      <c r="Y1691" s="197" t="s">
        <v>2609</v>
      </c>
      <c r="Z1691" s="246">
        <v>45141</v>
      </c>
      <c r="AA1691" s="398"/>
      <c r="AB1691" s="487"/>
      <c r="AC1691" s="488"/>
      <c r="AD1691" s="487"/>
      <c r="AE1691" s="398"/>
      <c r="AF1691" s="398"/>
      <c r="AG1691" s="487"/>
      <c r="AH1691" s="489"/>
      <c r="AI1691" s="523"/>
      <c r="AJ1691" s="348" t="s">
        <v>560</v>
      </c>
      <c r="AK1691" s="491">
        <v>3</v>
      </c>
      <c r="AL1691" s="874" t="s">
        <v>537</v>
      </c>
      <c r="AM1691" s="874" t="s">
        <v>508</v>
      </c>
      <c r="AN1691" s="170"/>
      <c r="AO1691" s="170"/>
      <c r="AR1691" s="115"/>
    </row>
    <row r="1692" spans="1:46" ht="39" customHeight="1" x14ac:dyDescent="0.3">
      <c r="A1692" s="1468">
        <v>1691</v>
      </c>
      <c r="B1692" s="190"/>
      <c r="C1692" s="528" t="s">
        <v>931</v>
      </c>
      <c r="D1692" s="282"/>
      <c r="E1692" s="282"/>
      <c r="F1692" s="282"/>
      <c r="G1692" s="447" t="s">
        <v>442</v>
      </c>
      <c r="H1692" s="262" t="s">
        <v>85</v>
      </c>
      <c r="I1692" s="357"/>
      <c r="J1692" s="245" t="s">
        <v>556</v>
      </c>
      <c r="K1692" s="216"/>
      <c r="L1692" s="256"/>
      <c r="M1692" s="256"/>
      <c r="N1692" s="245"/>
      <c r="O1692" s="216" t="s">
        <v>2154</v>
      </c>
      <c r="P1692" s="402" t="s">
        <v>1828</v>
      </c>
      <c r="Q1692" s="298" t="s">
        <v>87</v>
      </c>
      <c r="R1692" s="982" t="s">
        <v>3293</v>
      </c>
      <c r="S1692" s="279">
        <v>22602</v>
      </c>
      <c r="T1692" s="197"/>
      <c r="U1692" s="251" t="s">
        <v>54</v>
      </c>
      <c r="V1692" s="280" t="s">
        <v>3959</v>
      </c>
      <c r="W1692" s="197" t="s">
        <v>70</v>
      </c>
      <c r="X1692" s="289" t="s">
        <v>71</v>
      </c>
      <c r="Y1692" s="280" t="s">
        <v>4351</v>
      </c>
      <c r="Z1692" s="486">
        <v>45226</v>
      </c>
      <c r="AA1692" s="252"/>
      <c r="AB1692" s="241"/>
      <c r="AC1692" s="223"/>
      <c r="AD1692" s="281" t="s">
        <v>1862</v>
      </c>
      <c r="AE1692" s="494"/>
      <c r="AF1692" s="494"/>
      <c r="AG1692" s="305"/>
      <c r="AH1692" s="253"/>
      <c r="AI1692" s="284"/>
      <c r="AJ1692" s="348" t="s">
        <v>560</v>
      </c>
      <c r="AK1692" s="241">
        <v>4</v>
      </c>
      <c r="AL1692" s="132" t="s">
        <v>537</v>
      </c>
      <c r="AM1692" s="132" t="s">
        <v>508</v>
      </c>
      <c r="AN1692" s="151"/>
      <c r="AO1692" s="151"/>
      <c r="AR1692" s="115"/>
    </row>
    <row r="1693" spans="1:46" ht="39" customHeight="1" x14ac:dyDescent="0.3">
      <c r="A1693" s="1468">
        <v>1692</v>
      </c>
      <c r="B1693" s="161">
        <v>2</v>
      </c>
      <c r="C1693" s="504" t="s">
        <v>443</v>
      </c>
      <c r="D1693" s="481"/>
      <c r="E1693" s="481"/>
      <c r="F1693" s="481"/>
      <c r="G1693" s="527" t="s">
        <v>354</v>
      </c>
      <c r="H1693" s="262" t="s">
        <v>87</v>
      </c>
      <c r="I1693" s="473"/>
      <c r="J1693" s="245" t="s">
        <v>561</v>
      </c>
      <c r="K1693" s="265"/>
      <c r="L1693" s="264"/>
      <c r="M1693" s="263"/>
      <c r="N1693" s="404"/>
      <c r="O1693" s="216" t="s">
        <v>2140</v>
      </c>
      <c r="P1693" s="402" t="s">
        <v>1828</v>
      </c>
      <c r="Q1693" s="298" t="s">
        <v>87</v>
      </c>
      <c r="R1693" s="982" t="s">
        <v>2139</v>
      </c>
      <c r="S1693" s="279">
        <v>28351</v>
      </c>
      <c r="T1693" s="396"/>
      <c r="U1693" s="251" t="s">
        <v>54</v>
      </c>
      <c r="V1693" s="250" t="s">
        <v>4047</v>
      </c>
      <c r="W1693" s="197" t="s">
        <v>70</v>
      </c>
      <c r="X1693" s="289" t="s">
        <v>71</v>
      </c>
      <c r="Y1693" s="288" t="s">
        <v>4218</v>
      </c>
      <c r="Z1693" s="252">
        <v>45232</v>
      </c>
      <c r="AA1693" s="252"/>
      <c r="AB1693" s="394"/>
      <c r="AC1693" s="474"/>
      <c r="AD1693" s="394"/>
      <c r="AE1693" s="494"/>
      <c r="AF1693" s="494"/>
      <c r="AG1693" s="450"/>
      <c r="AH1693" s="394"/>
      <c r="AI1693" s="719"/>
      <c r="AJ1693" s="348" t="s">
        <v>560</v>
      </c>
      <c r="AK1693" s="471">
        <v>4</v>
      </c>
      <c r="AL1693" s="780" t="s">
        <v>537</v>
      </c>
      <c r="AM1693" s="780" t="s">
        <v>508</v>
      </c>
      <c r="AN1693" s="167"/>
      <c r="AO1693" s="167"/>
      <c r="AR1693" s="115"/>
      <c r="AS1693" s="115"/>
      <c r="AT1693" s="115"/>
    </row>
    <row r="1694" spans="1:46" s="827" customFormat="1" ht="39" customHeight="1" x14ac:dyDescent="0.3">
      <c r="A1694" s="1468">
        <v>1693</v>
      </c>
      <c r="B1694" s="190"/>
      <c r="C1694" s="324"/>
      <c r="D1694" s="664"/>
      <c r="E1694" s="664"/>
      <c r="F1694" s="664"/>
      <c r="G1694" s="227"/>
      <c r="H1694" s="228"/>
      <c r="I1694" s="228"/>
      <c r="J1694" s="229"/>
      <c r="K1694" s="227"/>
      <c r="L1694" s="229"/>
      <c r="M1694" s="229"/>
      <c r="N1694" s="229"/>
      <c r="O1694" s="309"/>
      <c r="P1694" s="230" t="s">
        <v>444</v>
      </c>
      <c r="Q1694" s="664"/>
      <c r="R1694" s="324"/>
      <c r="S1694" s="279"/>
      <c r="T1694" s="232"/>
      <c r="U1694" s="250"/>
      <c r="V1694" s="232"/>
      <c r="W1694" s="232"/>
      <c r="X1694" s="232"/>
      <c r="Y1694" s="232"/>
      <c r="Z1694" s="233"/>
      <c r="AA1694" s="252"/>
      <c r="AB1694" s="235"/>
      <c r="AC1694" s="236"/>
      <c r="AD1694" s="235"/>
      <c r="AE1694" s="494"/>
      <c r="AF1694" s="494"/>
      <c r="AG1694" s="664"/>
      <c r="AH1694" s="238"/>
      <c r="AI1694" s="239"/>
      <c r="AJ1694" s="576"/>
      <c r="AK1694" s="664"/>
      <c r="AL1694" s="113"/>
      <c r="AM1694" s="113"/>
      <c r="AN1694" s="113"/>
      <c r="AO1694" s="122"/>
      <c r="AP1694" s="192"/>
      <c r="AQ1694" s="192"/>
      <c r="AR1694" s="192"/>
      <c r="AS1694" s="192"/>
      <c r="AT1694" s="192"/>
    </row>
    <row r="1695" spans="1:46" ht="39" customHeight="1" x14ac:dyDescent="0.3">
      <c r="A1695" s="1468">
        <v>1694</v>
      </c>
      <c r="B1695" s="161">
        <v>5</v>
      </c>
      <c r="C1695" s="934" t="s">
        <v>367</v>
      </c>
      <c r="D1695" s="865"/>
      <c r="E1695" s="498" t="s">
        <v>47</v>
      </c>
      <c r="F1695" s="498"/>
      <c r="G1695" s="499" t="s">
        <v>445</v>
      </c>
      <c r="H1695" s="500" t="s">
        <v>132</v>
      </c>
      <c r="I1695" s="479"/>
      <c r="J1695" s="256">
        <v>403</v>
      </c>
      <c r="K1695" s="216"/>
      <c r="L1695" s="216"/>
      <c r="M1695" s="281"/>
      <c r="N1695" s="216"/>
      <c r="O1695" s="216"/>
      <c r="P1695" s="402"/>
      <c r="Q1695" s="298"/>
      <c r="R1695" s="982" t="s">
        <v>66</v>
      </c>
      <c r="S1695" s="279"/>
      <c r="T1695" s="197"/>
      <c r="U1695" s="250"/>
      <c r="V1695" s="280"/>
      <c r="W1695" s="197"/>
      <c r="X1695" s="289"/>
      <c r="Y1695" s="280"/>
      <c r="Z1695" s="486"/>
      <c r="AA1695" s="252"/>
      <c r="AB1695" s="376"/>
      <c r="AC1695" s="223"/>
      <c r="AD1695" s="281"/>
      <c r="AE1695" s="494"/>
      <c r="AF1695" s="494"/>
      <c r="AG1695" s="282"/>
      <c r="AH1695" s="376"/>
      <c r="AI1695" s="547"/>
      <c r="AJ1695" s="348"/>
      <c r="AK1695" s="491">
        <v>3</v>
      </c>
      <c r="AL1695" s="874" t="s">
        <v>537</v>
      </c>
      <c r="AM1695" s="874" t="s">
        <v>508</v>
      </c>
      <c r="AN1695" s="170"/>
      <c r="AO1695" s="170"/>
      <c r="AR1695" s="115"/>
      <c r="AS1695" s="115"/>
      <c r="AT1695" s="115"/>
    </row>
    <row r="1696" spans="1:46" ht="39" customHeight="1" x14ac:dyDescent="0.3">
      <c r="A1696" s="1468">
        <v>1695</v>
      </c>
      <c r="B1696" s="190"/>
      <c r="C1696" s="501" t="s">
        <v>538</v>
      </c>
      <c r="D1696" s="282"/>
      <c r="E1696" s="282"/>
      <c r="F1696" s="282"/>
      <c r="G1696" s="447" t="s">
        <v>539</v>
      </c>
      <c r="H1696" s="262" t="s">
        <v>87</v>
      </c>
      <c r="I1696" s="357"/>
      <c r="J1696" s="245" t="s">
        <v>561</v>
      </c>
      <c r="K1696" s="216"/>
      <c r="L1696" s="288"/>
      <c r="M1696" s="288"/>
      <c r="N1696" s="299"/>
      <c r="O1696" s="216"/>
      <c r="P1696" s="1257"/>
      <c r="Q1696" s="375"/>
      <c r="R1696" s="982" t="s">
        <v>66</v>
      </c>
      <c r="S1696" s="279"/>
      <c r="T1696" s="301"/>
      <c r="U1696" s="250"/>
      <c r="V1696" s="280"/>
      <c r="W1696" s="197"/>
      <c r="X1696" s="289"/>
      <c r="Y1696" s="280"/>
      <c r="Z1696" s="486"/>
      <c r="AA1696" s="252"/>
      <c r="AB1696" s="281"/>
      <c r="AC1696" s="223"/>
      <c r="AD1696" s="281"/>
      <c r="AE1696" s="494"/>
      <c r="AF1696" s="494"/>
      <c r="AG1696" s="282"/>
      <c r="AH1696" s="283"/>
      <c r="AI1696" s="296"/>
      <c r="AJ1696" s="348"/>
      <c r="AK1696" s="241">
        <v>4</v>
      </c>
      <c r="AL1696" s="132" t="s">
        <v>537</v>
      </c>
      <c r="AM1696" s="132" t="s">
        <v>508</v>
      </c>
      <c r="AN1696" s="151"/>
      <c r="AO1696" s="151"/>
      <c r="AR1696" s="115"/>
    </row>
    <row r="1697" spans="1:46" ht="39" customHeight="1" x14ac:dyDescent="0.3">
      <c r="A1697" s="1468">
        <v>1696</v>
      </c>
      <c r="B1697" s="161">
        <v>2</v>
      </c>
      <c r="C1697" s="501" t="s">
        <v>353</v>
      </c>
      <c r="D1697" s="282"/>
      <c r="E1697" s="282"/>
      <c r="F1697" s="282"/>
      <c r="G1697" s="447" t="s">
        <v>354</v>
      </c>
      <c r="H1697" s="262" t="s">
        <v>87</v>
      </c>
      <c r="I1697" s="357"/>
      <c r="J1697" s="245" t="s">
        <v>561</v>
      </c>
      <c r="K1697" s="216"/>
      <c r="L1697" s="288" t="s">
        <v>2374</v>
      </c>
      <c r="M1697" s="288" t="s">
        <v>2374</v>
      </c>
      <c r="N1697" s="299"/>
      <c r="O1697" s="216" t="s">
        <v>2393</v>
      </c>
      <c r="P1697" s="1257" t="s">
        <v>1828</v>
      </c>
      <c r="Q1697" s="375" t="s">
        <v>293</v>
      </c>
      <c r="R1697" s="982" t="s">
        <v>2392</v>
      </c>
      <c r="S1697" s="279">
        <v>32240</v>
      </c>
      <c r="T1697" s="301"/>
      <c r="U1697" s="251" t="s">
        <v>54</v>
      </c>
      <c r="V1697" s="280" t="s">
        <v>3959</v>
      </c>
      <c r="W1697" s="197" t="s">
        <v>70</v>
      </c>
      <c r="X1697" s="289" t="s">
        <v>71</v>
      </c>
      <c r="Y1697" s="280" t="s">
        <v>4351</v>
      </c>
      <c r="Z1697" s="486">
        <v>45226</v>
      </c>
      <c r="AA1697" s="252"/>
      <c r="AB1697" s="281"/>
      <c r="AC1697" s="223"/>
      <c r="AD1697" s="281"/>
      <c r="AE1697" s="494"/>
      <c r="AF1697" s="494"/>
      <c r="AG1697" s="282"/>
      <c r="AH1697" s="283"/>
      <c r="AI1697" s="296"/>
      <c r="AJ1697" s="348" t="s">
        <v>560</v>
      </c>
      <c r="AK1697" s="241">
        <v>4</v>
      </c>
      <c r="AL1697" s="132" t="s">
        <v>537</v>
      </c>
      <c r="AM1697" s="132" t="s">
        <v>508</v>
      </c>
      <c r="AN1697" s="151"/>
      <c r="AO1697" s="151"/>
      <c r="AR1697" s="115"/>
      <c r="AS1697" s="115"/>
      <c r="AT1697" s="115"/>
    </row>
    <row r="1698" spans="1:46" ht="39" customHeight="1" x14ac:dyDescent="0.3">
      <c r="A1698" s="1468">
        <v>1697</v>
      </c>
      <c r="B1698" s="161">
        <v>2</v>
      </c>
      <c r="C1698" s="501" t="s">
        <v>353</v>
      </c>
      <c r="D1698" s="282"/>
      <c r="E1698" s="282"/>
      <c r="F1698" s="282"/>
      <c r="G1698" s="447" t="s">
        <v>354</v>
      </c>
      <c r="H1698" s="262" t="s">
        <v>87</v>
      </c>
      <c r="I1698" s="357"/>
      <c r="J1698" s="245" t="s">
        <v>561</v>
      </c>
      <c r="K1698" s="684"/>
      <c r="L1698" s="685"/>
      <c r="M1698" s="685"/>
      <c r="N1698" s="684"/>
      <c r="O1698" s="216" t="s">
        <v>2406</v>
      </c>
      <c r="P1698" s="402" t="s">
        <v>1828</v>
      </c>
      <c r="Q1698" s="373" t="s">
        <v>293</v>
      </c>
      <c r="R1698" s="982" t="s">
        <v>2405</v>
      </c>
      <c r="S1698" s="279">
        <v>31943</v>
      </c>
      <c r="T1698" s="684"/>
      <c r="U1698" s="251" t="s">
        <v>54</v>
      </c>
      <c r="V1698" s="280" t="s">
        <v>3959</v>
      </c>
      <c r="W1698" s="197" t="s">
        <v>70</v>
      </c>
      <c r="X1698" s="289" t="s">
        <v>71</v>
      </c>
      <c r="Y1698" s="280" t="s">
        <v>4351</v>
      </c>
      <c r="Z1698" s="486">
        <v>45226</v>
      </c>
      <c r="AA1698" s="252"/>
      <c r="AB1698" s="1290"/>
      <c r="AC1698" s="684"/>
      <c r="AD1698" s="686"/>
      <c r="AE1698" s="494"/>
      <c r="AF1698" s="494"/>
      <c r="AG1698" s="684"/>
      <c r="AH1698" s="684"/>
      <c r="AI1698" s="685"/>
      <c r="AJ1698" s="348" t="s">
        <v>560</v>
      </c>
      <c r="AK1698" s="241">
        <v>4</v>
      </c>
      <c r="AL1698" s="132" t="s">
        <v>537</v>
      </c>
      <c r="AM1698" s="132" t="s">
        <v>508</v>
      </c>
      <c r="AN1698" s="151"/>
      <c r="AO1698" s="151"/>
      <c r="AR1698" s="115"/>
      <c r="AS1698" s="115"/>
      <c r="AT1698" s="115"/>
    </row>
    <row r="1699" spans="1:46" ht="39" customHeight="1" x14ac:dyDescent="0.3">
      <c r="A1699" s="1468">
        <v>1698</v>
      </c>
      <c r="B1699" s="161">
        <v>2</v>
      </c>
      <c r="C1699" s="501" t="s">
        <v>353</v>
      </c>
      <c r="D1699" s="282"/>
      <c r="E1699" s="282"/>
      <c r="F1699" s="282"/>
      <c r="G1699" s="447" t="s">
        <v>354</v>
      </c>
      <c r="H1699" s="262" t="s">
        <v>87</v>
      </c>
      <c r="I1699" s="357"/>
      <c r="J1699" s="245" t="s">
        <v>561</v>
      </c>
      <c r="K1699" s="216"/>
      <c r="L1699" s="282"/>
      <c r="M1699" s="282"/>
      <c r="N1699" s="281"/>
      <c r="O1699" s="216" t="s">
        <v>2410</v>
      </c>
      <c r="P1699" s="402" t="s">
        <v>1828</v>
      </c>
      <c r="Q1699" s="373" t="s">
        <v>293</v>
      </c>
      <c r="R1699" s="982" t="s">
        <v>2409</v>
      </c>
      <c r="S1699" s="279">
        <v>28906</v>
      </c>
      <c r="T1699" s="197"/>
      <c r="U1699" s="251" t="s">
        <v>54</v>
      </c>
      <c r="V1699" s="280" t="s">
        <v>3959</v>
      </c>
      <c r="W1699" s="197" t="s">
        <v>70</v>
      </c>
      <c r="X1699" s="289" t="s">
        <v>71</v>
      </c>
      <c r="Y1699" s="280" t="s">
        <v>4351</v>
      </c>
      <c r="Z1699" s="486">
        <v>45226</v>
      </c>
      <c r="AA1699" s="252"/>
      <c r="AB1699" s="281"/>
      <c r="AC1699" s="223"/>
      <c r="AD1699" s="281"/>
      <c r="AE1699" s="494"/>
      <c r="AF1699" s="494"/>
      <c r="AG1699" s="241"/>
      <c r="AH1699" s="281"/>
      <c r="AI1699" s="296"/>
      <c r="AJ1699" s="348" t="s">
        <v>560</v>
      </c>
      <c r="AK1699" s="241">
        <v>4</v>
      </c>
      <c r="AL1699" s="132" t="s">
        <v>537</v>
      </c>
      <c r="AM1699" s="132" t="s">
        <v>508</v>
      </c>
      <c r="AN1699" s="151"/>
      <c r="AO1699" s="151"/>
      <c r="AR1699" s="115"/>
      <c r="AS1699" s="115"/>
      <c r="AT1699" s="115"/>
    </row>
    <row r="1700" spans="1:46" ht="39" customHeight="1" x14ac:dyDescent="0.3">
      <c r="A1700" s="1468">
        <v>1699</v>
      </c>
      <c r="B1700" s="161">
        <v>2</v>
      </c>
      <c r="C1700" s="501" t="s">
        <v>446</v>
      </c>
      <c r="D1700" s="282"/>
      <c r="E1700" s="282"/>
      <c r="F1700" s="282"/>
      <c r="G1700" s="447" t="s">
        <v>354</v>
      </c>
      <c r="H1700" s="262" t="s">
        <v>87</v>
      </c>
      <c r="I1700" s="364"/>
      <c r="J1700" s="245" t="s">
        <v>561</v>
      </c>
      <c r="K1700" s="216"/>
      <c r="L1700" s="245"/>
      <c r="M1700" s="245"/>
      <c r="N1700" s="366"/>
      <c r="O1700" s="250" t="s">
        <v>2837</v>
      </c>
      <c r="P1700" s="402" t="s">
        <v>1828</v>
      </c>
      <c r="Q1700" s="344" t="s">
        <v>293</v>
      </c>
      <c r="R1700" s="982" t="s">
        <v>2836</v>
      </c>
      <c r="S1700" s="279">
        <v>28150</v>
      </c>
      <c r="T1700" s="197"/>
      <c r="U1700" s="251" t="s">
        <v>54</v>
      </c>
      <c r="V1700" s="280" t="s">
        <v>3959</v>
      </c>
      <c r="W1700" s="197" t="s">
        <v>70</v>
      </c>
      <c r="X1700" s="289" t="s">
        <v>71</v>
      </c>
      <c r="Y1700" s="280" t="s">
        <v>4351</v>
      </c>
      <c r="Z1700" s="486">
        <v>45226</v>
      </c>
      <c r="AA1700" s="252"/>
      <c r="AB1700" s="241"/>
      <c r="AC1700" s="223"/>
      <c r="AD1700" s="257"/>
      <c r="AE1700" s="494"/>
      <c r="AF1700" s="494"/>
      <c r="AG1700" s="301"/>
      <c r="AH1700" s="253"/>
      <c r="AI1700" s="254"/>
      <c r="AJ1700" s="348" t="s">
        <v>560</v>
      </c>
      <c r="AK1700" s="241">
        <v>4</v>
      </c>
      <c r="AL1700" s="132" t="s">
        <v>537</v>
      </c>
      <c r="AM1700" s="132" t="s">
        <v>508</v>
      </c>
      <c r="AN1700" s="151"/>
      <c r="AO1700" s="151"/>
      <c r="AR1700" s="115"/>
      <c r="AS1700" s="115"/>
      <c r="AT1700" s="115"/>
    </row>
    <row r="1701" spans="1:46" ht="39" customHeight="1" x14ac:dyDescent="0.3">
      <c r="A1701" s="1468">
        <v>1700</v>
      </c>
      <c r="B1701" s="161">
        <v>2</v>
      </c>
      <c r="C1701" s="501" t="s">
        <v>448</v>
      </c>
      <c r="D1701" s="282"/>
      <c r="E1701" s="282"/>
      <c r="F1701" s="282"/>
      <c r="G1701" s="447" t="s">
        <v>354</v>
      </c>
      <c r="H1701" s="262" t="s">
        <v>87</v>
      </c>
      <c r="I1701" s="364"/>
      <c r="J1701" s="245" t="s">
        <v>561</v>
      </c>
      <c r="K1701" s="216"/>
      <c r="L1701" s="245"/>
      <c r="M1701" s="245"/>
      <c r="N1701" s="366"/>
      <c r="O1701" s="250" t="s">
        <v>2835</v>
      </c>
      <c r="P1701" s="402" t="s">
        <v>1828</v>
      </c>
      <c r="Q1701" s="344" t="s">
        <v>87</v>
      </c>
      <c r="R1701" s="982" t="s">
        <v>2834</v>
      </c>
      <c r="S1701" s="279">
        <v>23760</v>
      </c>
      <c r="T1701" s="197"/>
      <c r="U1701" s="251" t="s">
        <v>54</v>
      </c>
      <c r="V1701" s="280" t="s">
        <v>3959</v>
      </c>
      <c r="W1701" s="197" t="s">
        <v>70</v>
      </c>
      <c r="X1701" s="289" t="s">
        <v>71</v>
      </c>
      <c r="Y1701" s="280" t="s">
        <v>4351</v>
      </c>
      <c r="Z1701" s="486">
        <v>45226</v>
      </c>
      <c r="AA1701" s="252"/>
      <c r="AB1701" s="241"/>
      <c r="AC1701" s="223"/>
      <c r="AD1701" s="257"/>
      <c r="AE1701" s="494"/>
      <c r="AF1701" s="494"/>
      <c r="AG1701" s="301"/>
      <c r="AH1701" s="253"/>
      <c r="AI1701" s="254"/>
      <c r="AJ1701" s="348" t="s">
        <v>560</v>
      </c>
      <c r="AK1701" s="241">
        <v>4</v>
      </c>
      <c r="AL1701" s="132" t="s">
        <v>537</v>
      </c>
      <c r="AM1701" s="132" t="s">
        <v>508</v>
      </c>
      <c r="AN1701" s="151"/>
      <c r="AO1701" s="151"/>
      <c r="AR1701" s="115"/>
      <c r="AS1701" s="115"/>
      <c r="AT1701" s="115"/>
    </row>
    <row r="1702" spans="1:46" ht="39" customHeight="1" x14ac:dyDescent="0.3">
      <c r="A1702" s="1468">
        <v>1701</v>
      </c>
      <c r="B1702" s="161">
        <v>2</v>
      </c>
      <c r="C1702" s="504" t="s">
        <v>360</v>
      </c>
      <c r="D1702" s="481"/>
      <c r="E1702" s="481"/>
      <c r="F1702" s="481"/>
      <c r="G1702" s="472" t="s">
        <v>354</v>
      </c>
      <c r="H1702" s="262" t="s">
        <v>87</v>
      </c>
      <c r="I1702" s="473"/>
      <c r="J1702" s="245" t="s">
        <v>561</v>
      </c>
      <c r="K1702" s="450"/>
      <c r="L1702" s="264"/>
      <c r="M1702" s="264"/>
      <c r="N1702" s="404"/>
      <c r="O1702" s="250" t="s">
        <v>2833</v>
      </c>
      <c r="P1702" s="402" t="s">
        <v>1828</v>
      </c>
      <c r="Q1702" s="344" t="s">
        <v>293</v>
      </c>
      <c r="R1702" s="982" t="s">
        <v>2832</v>
      </c>
      <c r="S1702" s="279">
        <v>31936</v>
      </c>
      <c r="T1702" s="396"/>
      <c r="U1702" s="251" t="s">
        <v>54</v>
      </c>
      <c r="V1702" s="280" t="s">
        <v>3959</v>
      </c>
      <c r="W1702" s="197" t="s">
        <v>70</v>
      </c>
      <c r="X1702" s="289" t="s">
        <v>71</v>
      </c>
      <c r="Y1702" s="280" t="s">
        <v>4351</v>
      </c>
      <c r="Z1702" s="486">
        <v>45226</v>
      </c>
      <c r="AA1702" s="252"/>
      <c r="AB1702" s="450"/>
      <c r="AC1702" s="474"/>
      <c r="AD1702" s="396"/>
      <c r="AE1702" s="494"/>
      <c r="AF1702" s="494"/>
      <c r="AG1702" s="394"/>
      <c r="AH1702" s="438"/>
      <c r="AI1702" s="719"/>
      <c r="AJ1702" s="348" t="s">
        <v>560</v>
      </c>
      <c r="AK1702" s="471">
        <v>4</v>
      </c>
      <c r="AL1702" s="780" t="s">
        <v>537</v>
      </c>
      <c r="AM1702" s="780" t="s">
        <v>508</v>
      </c>
      <c r="AN1702" s="167"/>
      <c r="AO1702" s="167"/>
      <c r="AR1702" s="115"/>
      <c r="AS1702" s="115"/>
      <c r="AT1702" s="115"/>
    </row>
    <row r="1703" spans="1:46" s="827" customFormat="1" ht="39" customHeight="1" x14ac:dyDescent="0.3">
      <c r="A1703" s="1468">
        <v>1702</v>
      </c>
      <c r="B1703" s="190"/>
      <c r="C1703" s="324"/>
      <c r="D1703" s="664"/>
      <c r="E1703" s="664"/>
      <c r="F1703" s="664"/>
      <c r="G1703" s="227"/>
      <c r="H1703" s="228"/>
      <c r="I1703" s="228"/>
      <c r="J1703" s="229"/>
      <c r="K1703" s="227"/>
      <c r="L1703" s="229"/>
      <c r="M1703" s="229"/>
      <c r="N1703" s="229"/>
      <c r="O1703" s="309"/>
      <c r="P1703" s="230" t="s">
        <v>447</v>
      </c>
      <c r="Q1703" s="664"/>
      <c r="R1703" s="324"/>
      <c r="S1703" s="279"/>
      <c r="T1703" s="232"/>
      <c r="U1703" s="250"/>
      <c r="V1703" s="232"/>
      <c r="W1703" s="232"/>
      <c r="X1703" s="232"/>
      <c r="Y1703" s="232"/>
      <c r="Z1703" s="233"/>
      <c r="AA1703" s="252"/>
      <c r="AB1703" s="235"/>
      <c r="AC1703" s="236"/>
      <c r="AD1703" s="235"/>
      <c r="AE1703" s="494"/>
      <c r="AF1703" s="494"/>
      <c r="AG1703" s="664"/>
      <c r="AH1703" s="238"/>
      <c r="AI1703" s="239"/>
      <c r="AJ1703" s="576"/>
      <c r="AK1703" s="664"/>
      <c r="AL1703" s="113"/>
      <c r="AM1703" s="113"/>
      <c r="AN1703" s="113"/>
      <c r="AO1703" s="114"/>
      <c r="AP1703" s="192"/>
      <c r="AQ1703" s="192"/>
      <c r="AR1703" s="192"/>
      <c r="AS1703" s="192"/>
      <c r="AT1703" s="192"/>
    </row>
    <row r="1704" spans="1:46" ht="39" customHeight="1" x14ac:dyDescent="0.3">
      <c r="A1704" s="1468">
        <v>1703</v>
      </c>
      <c r="B1704" s="161">
        <v>5</v>
      </c>
      <c r="C1704" s="934" t="s">
        <v>367</v>
      </c>
      <c r="D1704" s="865"/>
      <c r="E1704" s="498" t="s">
        <v>47</v>
      </c>
      <c r="F1704" s="498"/>
      <c r="G1704" s="499" t="s">
        <v>445</v>
      </c>
      <c r="H1704" s="500" t="s">
        <v>132</v>
      </c>
      <c r="I1704" s="479"/>
      <c r="J1704" s="256">
        <v>403</v>
      </c>
      <c r="K1704" s="265"/>
      <c r="L1704" s="440"/>
      <c r="M1704" s="440"/>
      <c r="N1704" s="404"/>
      <c r="O1704" s="250" t="s">
        <v>2397</v>
      </c>
      <c r="P1704" s="402" t="s">
        <v>1828</v>
      </c>
      <c r="Q1704" s="344" t="s">
        <v>293</v>
      </c>
      <c r="R1704" s="982" t="s">
        <v>2396</v>
      </c>
      <c r="S1704" s="279">
        <v>26759</v>
      </c>
      <c r="T1704" s="414"/>
      <c r="U1704" s="251" t="s">
        <v>54</v>
      </c>
      <c r="V1704" s="280" t="s">
        <v>3959</v>
      </c>
      <c r="W1704" s="197" t="s">
        <v>70</v>
      </c>
      <c r="X1704" s="289" t="s">
        <v>71</v>
      </c>
      <c r="Y1704" s="280" t="s">
        <v>4351</v>
      </c>
      <c r="Z1704" s="486">
        <v>45226</v>
      </c>
      <c r="AA1704" s="252"/>
      <c r="AB1704" s="394"/>
      <c r="AC1704" s="474"/>
      <c r="AD1704" s="394"/>
      <c r="AE1704" s="494"/>
      <c r="AF1704" s="494"/>
      <c r="AG1704" s="450"/>
      <c r="AH1704" s="394"/>
      <c r="AI1704" s="586"/>
      <c r="AJ1704" s="348" t="s">
        <v>560</v>
      </c>
      <c r="AK1704" s="491">
        <v>3</v>
      </c>
      <c r="AL1704" s="874" t="s">
        <v>537</v>
      </c>
      <c r="AM1704" s="874" t="s">
        <v>508</v>
      </c>
      <c r="AN1704" s="170"/>
      <c r="AO1704" s="170"/>
      <c r="AR1704" s="115"/>
      <c r="AS1704" s="115"/>
      <c r="AT1704" s="115"/>
    </row>
    <row r="1705" spans="1:46" ht="39" customHeight="1" x14ac:dyDescent="0.3">
      <c r="A1705" s="1468">
        <v>1704</v>
      </c>
      <c r="B1705" s="190"/>
      <c r="C1705" s="501" t="s">
        <v>540</v>
      </c>
      <c r="D1705" s="282"/>
      <c r="E1705" s="282"/>
      <c r="F1705" s="282"/>
      <c r="G1705" s="447" t="s">
        <v>349</v>
      </c>
      <c r="H1705" s="262" t="s">
        <v>87</v>
      </c>
      <c r="I1705" s="357"/>
      <c r="J1705" s="245" t="s">
        <v>561</v>
      </c>
      <c r="K1705" s="216"/>
      <c r="L1705" s="282"/>
      <c r="M1705" s="282"/>
      <c r="N1705" s="281"/>
      <c r="O1705" s="250" t="s">
        <v>2831</v>
      </c>
      <c r="P1705" s="402" t="s">
        <v>1828</v>
      </c>
      <c r="Q1705" s="485" t="s">
        <v>87</v>
      </c>
      <c r="R1705" s="982" t="s">
        <v>2830</v>
      </c>
      <c r="S1705" s="279">
        <v>21740</v>
      </c>
      <c r="T1705" s="197"/>
      <c r="U1705" s="251" t="s">
        <v>54</v>
      </c>
      <c r="V1705" s="280" t="s">
        <v>3959</v>
      </c>
      <c r="W1705" s="197" t="s">
        <v>70</v>
      </c>
      <c r="X1705" s="289" t="s">
        <v>71</v>
      </c>
      <c r="Y1705" s="280" t="s">
        <v>4351</v>
      </c>
      <c r="Z1705" s="486">
        <v>45226</v>
      </c>
      <c r="AA1705" s="252"/>
      <c r="AB1705" s="281"/>
      <c r="AC1705" s="223"/>
      <c r="AD1705" s="281"/>
      <c r="AE1705" s="494"/>
      <c r="AF1705" s="494"/>
      <c r="AG1705" s="241"/>
      <c r="AH1705" s="281"/>
      <c r="AI1705" s="296"/>
      <c r="AJ1705" s="491" t="s">
        <v>560</v>
      </c>
      <c r="AK1705" s="241">
        <v>4</v>
      </c>
      <c r="AL1705" s="132" t="s">
        <v>537</v>
      </c>
      <c r="AM1705" s="132" t="s">
        <v>508</v>
      </c>
      <c r="AN1705" s="151"/>
      <c r="AO1705" s="151"/>
      <c r="AR1705" s="115"/>
    </row>
    <row r="1706" spans="1:46" ht="39" customHeight="1" x14ac:dyDescent="0.3">
      <c r="A1706" s="1468">
        <v>1705</v>
      </c>
      <c r="B1706" s="161">
        <v>2</v>
      </c>
      <c r="C1706" s="501" t="s">
        <v>353</v>
      </c>
      <c r="D1706" s="282"/>
      <c r="E1706" s="282"/>
      <c r="F1706" s="282"/>
      <c r="G1706" s="447" t="s">
        <v>354</v>
      </c>
      <c r="H1706" s="262" t="s">
        <v>87</v>
      </c>
      <c r="I1706" s="357"/>
      <c r="J1706" s="245" t="s">
        <v>561</v>
      </c>
      <c r="K1706" s="216"/>
      <c r="L1706" s="288" t="s">
        <v>2374</v>
      </c>
      <c r="M1706" s="288" t="s">
        <v>2374</v>
      </c>
      <c r="N1706" s="366"/>
      <c r="O1706" s="250" t="s">
        <v>2391</v>
      </c>
      <c r="P1706" s="402" t="s">
        <v>1828</v>
      </c>
      <c r="Q1706" s="485" t="s">
        <v>293</v>
      </c>
      <c r="R1706" s="982" t="s">
        <v>2390</v>
      </c>
      <c r="S1706" s="279">
        <v>28489</v>
      </c>
      <c r="T1706" s="197"/>
      <c r="U1706" s="251" t="s">
        <v>54</v>
      </c>
      <c r="V1706" s="250" t="s">
        <v>4047</v>
      </c>
      <c r="W1706" s="197" t="s">
        <v>70</v>
      </c>
      <c r="X1706" s="289" t="s">
        <v>71</v>
      </c>
      <c r="Y1706" s="288" t="s">
        <v>4218</v>
      </c>
      <c r="Z1706" s="252">
        <v>45232</v>
      </c>
      <c r="AA1706" s="252"/>
      <c r="AB1706" s="306"/>
      <c r="AC1706" s="223"/>
      <c r="AD1706" s="306"/>
      <c r="AE1706" s="494"/>
      <c r="AF1706" s="494"/>
      <c r="AG1706" s="282"/>
      <c r="AH1706" s="283"/>
      <c r="AI1706" s="296"/>
      <c r="AJ1706" s="491" t="s">
        <v>560</v>
      </c>
      <c r="AK1706" s="241">
        <v>4</v>
      </c>
      <c r="AL1706" s="132" t="s">
        <v>537</v>
      </c>
      <c r="AM1706" s="132" t="s">
        <v>508</v>
      </c>
      <c r="AN1706" s="151"/>
      <c r="AO1706" s="151"/>
      <c r="AR1706" s="115"/>
      <c r="AS1706" s="115"/>
      <c r="AT1706" s="115"/>
    </row>
    <row r="1707" spans="1:46" ht="39" customHeight="1" x14ac:dyDescent="0.3">
      <c r="A1707" s="1468">
        <v>1706</v>
      </c>
      <c r="B1707" s="161">
        <v>2</v>
      </c>
      <c r="C1707" s="501" t="s">
        <v>353</v>
      </c>
      <c r="D1707" s="282"/>
      <c r="E1707" s="282"/>
      <c r="F1707" s="282"/>
      <c r="G1707" s="447" t="s">
        <v>354</v>
      </c>
      <c r="H1707" s="262" t="s">
        <v>87</v>
      </c>
      <c r="I1707" s="357"/>
      <c r="J1707" s="245" t="s">
        <v>561</v>
      </c>
      <c r="K1707" s="216"/>
      <c r="L1707" s="245"/>
      <c r="M1707" s="245"/>
      <c r="N1707" s="366"/>
      <c r="O1707" s="216" t="s">
        <v>2829</v>
      </c>
      <c r="P1707" s="402" t="s">
        <v>1828</v>
      </c>
      <c r="Q1707" s="344" t="s">
        <v>87</v>
      </c>
      <c r="R1707" s="982" t="s">
        <v>2828</v>
      </c>
      <c r="S1707" s="279">
        <v>27763</v>
      </c>
      <c r="T1707" s="306"/>
      <c r="U1707" s="251" t="s">
        <v>54</v>
      </c>
      <c r="V1707" s="280" t="s">
        <v>3959</v>
      </c>
      <c r="W1707" s="197" t="s">
        <v>70</v>
      </c>
      <c r="X1707" s="289" t="s">
        <v>71</v>
      </c>
      <c r="Y1707" s="280" t="s">
        <v>4351</v>
      </c>
      <c r="Z1707" s="486">
        <v>45226</v>
      </c>
      <c r="AA1707" s="252"/>
      <c r="AB1707" s="376"/>
      <c r="AC1707" s="223"/>
      <c r="AD1707" s="365"/>
      <c r="AE1707" s="494"/>
      <c r="AF1707" s="494"/>
      <c r="AG1707" s="241"/>
      <c r="AH1707" s="283"/>
      <c r="AI1707" s="254"/>
      <c r="AJ1707" s="348" t="s">
        <v>560</v>
      </c>
      <c r="AK1707" s="241">
        <v>4</v>
      </c>
      <c r="AL1707" s="132" t="s">
        <v>537</v>
      </c>
      <c r="AM1707" s="132" t="s">
        <v>508</v>
      </c>
      <c r="AN1707" s="151"/>
      <c r="AO1707" s="151"/>
      <c r="AR1707" s="115"/>
      <c r="AS1707" s="115"/>
      <c r="AT1707" s="115"/>
    </row>
    <row r="1708" spans="1:46" ht="39" customHeight="1" x14ac:dyDescent="0.3">
      <c r="A1708" s="1468">
        <v>1707</v>
      </c>
      <c r="B1708" s="161">
        <v>2</v>
      </c>
      <c r="C1708" s="501" t="s">
        <v>446</v>
      </c>
      <c r="D1708" s="282"/>
      <c r="E1708" s="282"/>
      <c r="F1708" s="282"/>
      <c r="G1708" s="447" t="s">
        <v>354</v>
      </c>
      <c r="H1708" s="262" t="s">
        <v>87</v>
      </c>
      <c r="I1708" s="357"/>
      <c r="J1708" s="245" t="s">
        <v>561</v>
      </c>
      <c r="K1708" s="257"/>
      <c r="L1708" s="299"/>
      <c r="M1708" s="299"/>
      <c r="N1708" s="299"/>
      <c r="O1708" s="216" t="s">
        <v>2181</v>
      </c>
      <c r="P1708" s="402" t="s">
        <v>1828</v>
      </c>
      <c r="Q1708" s="344" t="s">
        <v>293</v>
      </c>
      <c r="R1708" s="982" t="s">
        <v>2180</v>
      </c>
      <c r="S1708" s="279">
        <v>22970</v>
      </c>
      <c r="T1708" s="289"/>
      <c r="U1708" s="251" t="s">
        <v>54</v>
      </c>
      <c r="V1708" s="280" t="s">
        <v>3959</v>
      </c>
      <c r="W1708" s="197" t="s">
        <v>70</v>
      </c>
      <c r="X1708" s="289" t="s">
        <v>71</v>
      </c>
      <c r="Y1708" s="280" t="s">
        <v>4351</v>
      </c>
      <c r="Z1708" s="486">
        <v>45226</v>
      </c>
      <c r="AA1708" s="252"/>
      <c r="AB1708" s="299"/>
      <c r="AC1708" s="223"/>
      <c r="AD1708" s="299"/>
      <c r="AE1708" s="494"/>
      <c r="AF1708" s="494"/>
      <c r="AG1708" s="299"/>
      <c r="AH1708" s="299"/>
      <c r="AI1708" s="223"/>
      <c r="AJ1708" s="348" t="s">
        <v>560</v>
      </c>
      <c r="AK1708" s="241">
        <v>4</v>
      </c>
      <c r="AL1708" s="132" t="s">
        <v>537</v>
      </c>
      <c r="AM1708" s="132" t="s">
        <v>508</v>
      </c>
      <c r="AN1708" s="151"/>
      <c r="AO1708" s="151"/>
      <c r="AR1708" s="115"/>
      <c r="AS1708" s="115"/>
      <c r="AT1708" s="115"/>
    </row>
    <row r="1709" spans="1:46" ht="39" customHeight="1" x14ac:dyDescent="0.3">
      <c r="A1709" s="1468">
        <v>1708</v>
      </c>
      <c r="B1709" s="161">
        <v>2</v>
      </c>
      <c r="C1709" s="501" t="s">
        <v>448</v>
      </c>
      <c r="D1709" s="282"/>
      <c r="E1709" s="282"/>
      <c r="F1709" s="282"/>
      <c r="G1709" s="447" t="s">
        <v>354</v>
      </c>
      <c r="H1709" s="262" t="s">
        <v>87</v>
      </c>
      <c r="I1709" s="357"/>
      <c r="J1709" s="245" t="s">
        <v>561</v>
      </c>
      <c r="K1709" s="216"/>
      <c r="L1709" s="301"/>
      <c r="M1709" s="216"/>
      <c r="N1709" s="366"/>
      <c r="O1709" s="216" t="s">
        <v>2827</v>
      </c>
      <c r="P1709" s="402" t="s">
        <v>1828</v>
      </c>
      <c r="Q1709" s="298" t="s">
        <v>87</v>
      </c>
      <c r="R1709" s="982" t="s">
        <v>2826</v>
      </c>
      <c r="S1709" s="279">
        <v>26902</v>
      </c>
      <c r="T1709" s="306"/>
      <c r="U1709" s="251" t="s">
        <v>54</v>
      </c>
      <c r="V1709" s="268"/>
      <c r="W1709" s="197" t="s">
        <v>5028</v>
      </c>
      <c r="X1709" s="197" t="s">
        <v>5029</v>
      </c>
      <c r="Y1709" s="1358" t="s">
        <v>5030</v>
      </c>
      <c r="Z1709" s="405">
        <v>45247</v>
      </c>
      <c r="AA1709" s="252"/>
      <c r="AB1709" s="301"/>
      <c r="AC1709" s="223"/>
      <c r="AD1709" s="301"/>
      <c r="AE1709" s="494"/>
      <c r="AF1709" s="494"/>
      <c r="AG1709" s="301"/>
      <c r="AH1709" s="301"/>
      <c r="AI1709" s="386"/>
      <c r="AJ1709" s="348" t="s">
        <v>560</v>
      </c>
      <c r="AK1709" s="241">
        <v>4</v>
      </c>
      <c r="AL1709" s="132" t="s">
        <v>537</v>
      </c>
      <c r="AM1709" s="132" t="s">
        <v>508</v>
      </c>
      <c r="AN1709" s="151"/>
      <c r="AO1709" s="151"/>
      <c r="AR1709" s="115"/>
      <c r="AS1709" s="115"/>
      <c r="AT1709" s="115"/>
    </row>
    <row r="1710" spans="1:46" ht="39" customHeight="1" x14ac:dyDescent="0.3">
      <c r="A1710" s="1468">
        <v>1709</v>
      </c>
      <c r="B1710" s="161">
        <v>2</v>
      </c>
      <c r="C1710" s="504" t="s">
        <v>360</v>
      </c>
      <c r="D1710" s="481"/>
      <c r="E1710" s="481"/>
      <c r="F1710" s="481"/>
      <c r="G1710" s="472" t="s">
        <v>354</v>
      </c>
      <c r="H1710" s="262" t="s">
        <v>87</v>
      </c>
      <c r="I1710" s="492"/>
      <c r="J1710" s="245" t="s">
        <v>561</v>
      </c>
      <c r="K1710" s="265"/>
      <c r="L1710" s="265"/>
      <c r="M1710" s="438"/>
      <c r="N1710" s="265"/>
      <c r="O1710" s="216" t="s">
        <v>2825</v>
      </c>
      <c r="P1710" s="402" t="s">
        <v>1828</v>
      </c>
      <c r="Q1710" s="298" t="s">
        <v>87</v>
      </c>
      <c r="R1710" s="982" t="s">
        <v>2824</v>
      </c>
      <c r="S1710" s="279">
        <v>29992</v>
      </c>
      <c r="T1710" s="268"/>
      <c r="U1710" s="251" t="s">
        <v>54</v>
      </c>
      <c r="V1710" s="197" t="s">
        <v>3959</v>
      </c>
      <c r="W1710" s="280" t="s">
        <v>70</v>
      </c>
      <c r="X1710" s="399" t="s">
        <v>71</v>
      </c>
      <c r="Y1710" s="280" t="s">
        <v>4351</v>
      </c>
      <c r="Z1710" s="486">
        <v>45226</v>
      </c>
      <c r="AA1710" s="252"/>
      <c r="AB1710" s="718"/>
      <c r="AC1710" s="474"/>
      <c r="AD1710" s="438"/>
      <c r="AE1710" s="494"/>
      <c r="AF1710" s="494"/>
      <c r="AG1710" s="481"/>
      <c r="AH1710" s="718"/>
      <c r="AI1710" s="794"/>
      <c r="AJ1710" s="348" t="s">
        <v>560</v>
      </c>
      <c r="AK1710" s="471">
        <v>4</v>
      </c>
      <c r="AL1710" s="780" t="s">
        <v>537</v>
      </c>
      <c r="AM1710" s="780" t="s">
        <v>508</v>
      </c>
      <c r="AN1710" s="167"/>
      <c r="AO1710" s="167"/>
      <c r="AR1710" s="115"/>
      <c r="AS1710" s="115"/>
      <c r="AT1710" s="115"/>
    </row>
    <row r="1711" spans="1:46" s="827" customFormat="1" ht="39" customHeight="1" x14ac:dyDescent="0.3">
      <c r="A1711" s="1468">
        <v>1710</v>
      </c>
      <c r="B1711" s="190"/>
      <c r="C1711" s="723"/>
      <c r="D1711" s="535"/>
      <c r="E1711" s="535"/>
      <c r="F1711" s="535"/>
      <c r="G1711" s="536"/>
      <c r="H1711" s="732"/>
      <c r="I1711" s="732"/>
      <c r="J1711" s="309"/>
      <c r="K1711" s="309"/>
      <c r="L1711" s="309"/>
      <c r="M1711" s="538"/>
      <c r="N1711" s="309"/>
      <c r="O1711" s="309"/>
      <c r="P1711" s="230" t="s">
        <v>450</v>
      </c>
      <c r="Q1711" s="911"/>
      <c r="R1711" s="324"/>
      <c r="S1711" s="279"/>
      <c r="T1711" s="232"/>
      <c r="U1711" s="197"/>
      <c r="V1711" s="232"/>
      <c r="W1711" s="232"/>
      <c r="X1711" s="232"/>
      <c r="Y1711" s="232"/>
      <c r="Z1711" s="233"/>
      <c r="AA1711" s="252"/>
      <c r="AB1711" s="745"/>
      <c r="AC1711" s="236"/>
      <c r="AD1711" s="538"/>
      <c r="AE1711" s="494"/>
      <c r="AF1711" s="494"/>
      <c r="AG1711" s="535"/>
      <c r="AH1711" s="745"/>
      <c r="AI1711" s="747"/>
      <c r="AJ1711" s="742"/>
      <c r="AK1711" s="742"/>
      <c r="AL1711" s="753"/>
      <c r="AM1711" s="753"/>
      <c r="AN1711" s="181"/>
      <c r="AO1711" s="182"/>
      <c r="AP1711" s="192"/>
      <c r="AQ1711" s="192"/>
      <c r="AR1711" s="192"/>
      <c r="AS1711" s="192"/>
      <c r="AT1711" s="192"/>
    </row>
    <row r="1712" spans="1:46" ht="39" customHeight="1" x14ac:dyDescent="0.3">
      <c r="A1712" s="1468">
        <v>1711</v>
      </c>
      <c r="B1712" s="161">
        <v>5</v>
      </c>
      <c r="C1712" s="934" t="s">
        <v>367</v>
      </c>
      <c r="D1712" s="865"/>
      <c r="E1712" s="498"/>
      <c r="F1712" s="498"/>
      <c r="G1712" s="499" t="s">
        <v>451</v>
      </c>
      <c r="H1712" s="500" t="s">
        <v>132</v>
      </c>
      <c r="I1712" s="480"/>
      <c r="J1712" s="256">
        <v>403</v>
      </c>
      <c r="K1712" s="277"/>
      <c r="L1712" s="277"/>
      <c r="M1712" s="441"/>
      <c r="N1712" s="277"/>
      <c r="O1712" s="216" t="s">
        <v>2823</v>
      </c>
      <c r="P1712" s="402" t="s">
        <v>1828</v>
      </c>
      <c r="Q1712" s="298" t="s">
        <v>87</v>
      </c>
      <c r="R1712" s="982" t="s">
        <v>2822</v>
      </c>
      <c r="S1712" s="279">
        <v>27528</v>
      </c>
      <c r="T1712" s="280"/>
      <c r="U1712" s="251" t="s">
        <v>54</v>
      </c>
      <c r="V1712" s="280" t="s">
        <v>3959</v>
      </c>
      <c r="W1712" s="197" t="s">
        <v>70</v>
      </c>
      <c r="X1712" s="289" t="s">
        <v>71</v>
      </c>
      <c r="Y1712" s="280" t="s">
        <v>4351</v>
      </c>
      <c r="Z1712" s="486">
        <v>45226</v>
      </c>
      <c r="AA1712" s="252"/>
      <c r="AB1712" s="867"/>
      <c r="AC1712" s="488"/>
      <c r="AD1712" s="441"/>
      <c r="AE1712" s="494"/>
      <c r="AF1712" s="494"/>
      <c r="AG1712" s="487"/>
      <c r="AH1712" s="867"/>
      <c r="AI1712" s="862"/>
      <c r="AJ1712" s="348" t="s">
        <v>560</v>
      </c>
      <c r="AK1712" s="491">
        <v>3</v>
      </c>
      <c r="AL1712" s="874" t="s">
        <v>537</v>
      </c>
      <c r="AM1712" s="874" t="s">
        <v>508</v>
      </c>
      <c r="AN1712" s="173"/>
      <c r="AO1712" s="173"/>
      <c r="AR1712" s="115"/>
    </row>
    <row r="1713" spans="1:46" ht="39" customHeight="1" x14ac:dyDescent="0.3">
      <c r="A1713" s="1468">
        <v>1712</v>
      </c>
      <c r="B1713" s="161">
        <v>3</v>
      </c>
      <c r="C1713" s="358" t="s">
        <v>452</v>
      </c>
      <c r="D1713" s="282"/>
      <c r="E1713" s="282"/>
      <c r="F1713" s="282"/>
      <c r="G1713" s="447" t="s">
        <v>453</v>
      </c>
      <c r="H1713" s="262" t="s">
        <v>85</v>
      </c>
      <c r="I1713" s="364"/>
      <c r="J1713" s="245" t="s">
        <v>556</v>
      </c>
      <c r="K1713" s="216"/>
      <c r="L1713" s="216"/>
      <c r="M1713" s="281"/>
      <c r="N1713" s="216"/>
      <c r="O1713" s="216" t="s">
        <v>2821</v>
      </c>
      <c r="P1713" s="402" t="s">
        <v>1828</v>
      </c>
      <c r="Q1713" s="298" t="s">
        <v>87</v>
      </c>
      <c r="R1713" s="982" t="s">
        <v>2820</v>
      </c>
      <c r="S1713" s="279">
        <v>31293</v>
      </c>
      <c r="T1713" s="197"/>
      <c r="U1713" s="251" t="s">
        <v>54</v>
      </c>
      <c r="V1713" s="280" t="s">
        <v>3959</v>
      </c>
      <c r="W1713" s="197" t="s">
        <v>70</v>
      </c>
      <c r="X1713" s="289" t="s">
        <v>71</v>
      </c>
      <c r="Y1713" s="280" t="s">
        <v>4351</v>
      </c>
      <c r="Z1713" s="486">
        <v>45226</v>
      </c>
      <c r="AA1713" s="252"/>
      <c r="AB1713" s="376"/>
      <c r="AC1713" s="223"/>
      <c r="AD1713" s="281"/>
      <c r="AE1713" s="494"/>
      <c r="AF1713" s="494"/>
      <c r="AG1713" s="282"/>
      <c r="AH1713" s="376"/>
      <c r="AI1713" s="547"/>
      <c r="AJ1713" s="348" t="s">
        <v>560</v>
      </c>
      <c r="AK1713" s="241">
        <v>4</v>
      </c>
      <c r="AL1713" s="132" t="s">
        <v>537</v>
      </c>
      <c r="AM1713" s="132" t="s">
        <v>508</v>
      </c>
      <c r="AN1713" s="151"/>
      <c r="AO1713" s="151"/>
      <c r="AR1713" s="115"/>
    </row>
    <row r="1714" spans="1:46" ht="39" customHeight="1" x14ac:dyDescent="0.3">
      <c r="A1714" s="1468">
        <v>1713</v>
      </c>
      <c r="B1714" s="161">
        <v>2</v>
      </c>
      <c r="C1714" s="358" t="s">
        <v>454</v>
      </c>
      <c r="D1714" s="282"/>
      <c r="E1714" s="282"/>
      <c r="F1714" s="282"/>
      <c r="G1714" s="447" t="s">
        <v>455</v>
      </c>
      <c r="H1714" s="262" t="s">
        <v>87</v>
      </c>
      <c r="I1714" s="364"/>
      <c r="J1714" s="245" t="s">
        <v>561</v>
      </c>
      <c r="K1714" s="216"/>
      <c r="L1714" s="216"/>
      <c r="M1714" s="281"/>
      <c r="N1714" s="216"/>
      <c r="O1714" s="216" t="s">
        <v>2107</v>
      </c>
      <c r="P1714" s="555"/>
      <c r="Q1714" s="298" t="s">
        <v>87</v>
      </c>
      <c r="R1714" s="982" t="s">
        <v>2106</v>
      </c>
      <c r="S1714" s="279">
        <v>35841</v>
      </c>
      <c r="T1714" s="197"/>
      <c r="U1714" s="251" t="s">
        <v>54</v>
      </c>
      <c r="V1714" s="197"/>
      <c r="W1714" s="197" t="s">
        <v>5131</v>
      </c>
      <c r="X1714" s="289" t="s">
        <v>71</v>
      </c>
      <c r="Y1714" s="197"/>
      <c r="Z1714" s="246"/>
      <c r="AA1714" s="246"/>
      <c r="AB1714" s="376"/>
      <c r="AC1714" s="223"/>
      <c r="AD1714" s="281"/>
      <c r="AE1714" s="494"/>
      <c r="AF1714" s="494"/>
      <c r="AG1714" s="282"/>
      <c r="AH1714" s="376"/>
      <c r="AI1714" s="547"/>
      <c r="AJ1714" s="379" t="s">
        <v>560</v>
      </c>
      <c r="AK1714" s="241">
        <v>4</v>
      </c>
      <c r="AL1714" s="132" t="s">
        <v>537</v>
      </c>
      <c r="AM1714" s="132" t="s">
        <v>508</v>
      </c>
      <c r="AN1714" s="151"/>
      <c r="AO1714" s="151"/>
      <c r="AR1714" s="115"/>
    </row>
    <row r="1715" spans="1:46" ht="39" customHeight="1" x14ac:dyDescent="0.3">
      <c r="A1715" s="1468">
        <v>1714</v>
      </c>
      <c r="B1715" s="161">
        <v>2</v>
      </c>
      <c r="C1715" s="358" t="s">
        <v>454</v>
      </c>
      <c r="D1715" s="282"/>
      <c r="E1715" s="282"/>
      <c r="F1715" s="282"/>
      <c r="G1715" s="447" t="s">
        <v>455</v>
      </c>
      <c r="H1715" s="262" t="s">
        <v>87</v>
      </c>
      <c r="I1715" s="364"/>
      <c r="J1715" s="245" t="s">
        <v>561</v>
      </c>
      <c r="K1715" s="216"/>
      <c r="L1715" s="216"/>
      <c r="M1715" s="281"/>
      <c r="N1715" s="216"/>
      <c r="O1715" s="216" t="s">
        <v>2817</v>
      </c>
      <c r="P1715" s="402" t="s">
        <v>1828</v>
      </c>
      <c r="Q1715" s="298" t="s">
        <v>87</v>
      </c>
      <c r="R1715" s="982" t="s">
        <v>2816</v>
      </c>
      <c r="S1715" s="279">
        <v>27618</v>
      </c>
      <c r="T1715" s="197"/>
      <c r="U1715" s="251" t="s">
        <v>54</v>
      </c>
      <c r="V1715" s="280" t="s">
        <v>3959</v>
      </c>
      <c r="W1715" s="197" t="s">
        <v>70</v>
      </c>
      <c r="X1715" s="289" t="s">
        <v>71</v>
      </c>
      <c r="Y1715" s="280" t="s">
        <v>4351</v>
      </c>
      <c r="Z1715" s="486">
        <v>45226</v>
      </c>
      <c r="AA1715" s="252"/>
      <c r="AB1715" s="376"/>
      <c r="AC1715" s="223"/>
      <c r="AD1715" s="281"/>
      <c r="AE1715" s="494"/>
      <c r="AF1715" s="494"/>
      <c r="AG1715" s="282"/>
      <c r="AH1715" s="376"/>
      <c r="AI1715" s="547"/>
      <c r="AJ1715" s="348" t="s">
        <v>560</v>
      </c>
      <c r="AK1715" s="241">
        <v>4</v>
      </c>
      <c r="AL1715" s="132" t="s">
        <v>537</v>
      </c>
      <c r="AM1715" s="132" t="s">
        <v>508</v>
      </c>
      <c r="AN1715" s="151"/>
      <c r="AO1715" s="151"/>
      <c r="AR1715" s="115"/>
    </row>
    <row r="1716" spans="1:46" ht="39" customHeight="1" x14ac:dyDescent="0.3">
      <c r="A1716" s="1468">
        <v>1715</v>
      </c>
      <c r="B1716" s="161">
        <v>2</v>
      </c>
      <c r="C1716" s="568" t="s">
        <v>456</v>
      </c>
      <c r="D1716" s="282"/>
      <c r="E1716" s="282"/>
      <c r="F1716" s="282"/>
      <c r="G1716" s="447" t="s">
        <v>457</v>
      </c>
      <c r="H1716" s="262" t="s">
        <v>87</v>
      </c>
      <c r="I1716" s="364"/>
      <c r="J1716" s="245" t="s">
        <v>561</v>
      </c>
      <c r="K1716" s="216"/>
      <c r="L1716" s="216"/>
      <c r="M1716" s="281"/>
      <c r="N1716" s="216"/>
      <c r="O1716" s="216" t="s">
        <v>2815</v>
      </c>
      <c r="P1716" s="402" t="s">
        <v>1828</v>
      </c>
      <c r="Q1716" s="298" t="s">
        <v>87</v>
      </c>
      <c r="R1716" s="982" t="s">
        <v>2814</v>
      </c>
      <c r="S1716" s="279">
        <v>29558</v>
      </c>
      <c r="T1716" s="197"/>
      <c r="U1716" s="251" t="s">
        <v>54</v>
      </c>
      <c r="V1716" s="280" t="s">
        <v>3959</v>
      </c>
      <c r="W1716" s="197" t="s">
        <v>70</v>
      </c>
      <c r="X1716" s="289" t="s">
        <v>71</v>
      </c>
      <c r="Y1716" s="280" t="s">
        <v>4351</v>
      </c>
      <c r="Z1716" s="486">
        <v>45226</v>
      </c>
      <c r="AA1716" s="252"/>
      <c r="AB1716" s="376"/>
      <c r="AC1716" s="223"/>
      <c r="AD1716" s="281"/>
      <c r="AE1716" s="494"/>
      <c r="AF1716" s="494"/>
      <c r="AG1716" s="282"/>
      <c r="AH1716" s="376"/>
      <c r="AI1716" s="547"/>
      <c r="AJ1716" s="348" t="s">
        <v>560</v>
      </c>
      <c r="AK1716" s="241">
        <v>4</v>
      </c>
      <c r="AL1716" s="132" t="s">
        <v>537</v>
      </c>
      <c r="AM1716" s="132" t="s">
        <v>508</v>
      </c>
      <c r="AN1716" s="151"/>
      <c r="AO1716" s="151"/>
      <c r="AR1716" s="115"/>
    </row>
    <row r="1717" spans="1:46" ht="39" customHeight="1" x14ac:dyDescent="0.3">
      <c r="A1717" s="1468">
        <v>1716</v>
      </c>
      <c r="B1717" s="161">
        <v>2</v>
      </c>
      <c r="C1717" s="725" t="s">
        <v>456</v>
      </c>
      <c r="D1717" s="481"/>
      <c r="E1717" s="481"/>
      <c r="F1717" s="481"/>
      <c r="G1717" s="527" t="s">
        <v>457</v>
      </c>
      <c r="H1717" s="262" t="s">
        <v>87</v>
      </c>
      <c r="I1717" s="492"/>
      <c r="J1717" s="245" t="s">
        <v>561</v>
      </c>
      <c r="K1717" s="265"/>
      <c r="L1717" s="265" t="s">
        <v>2151</v>
      </c>
      <c r="M1717" s="438" t="s">
        <v>2151</v>
      </c>
      <c r="N1717" s="265"/>
      <c r="O1717" s="959" t="s">
        <v>2813</v>
      </c>
      <c r="P1717" s="402" t="s">
        <v>1828</v>
      </c>
      <c r="Q1717" s="298" t="s">
        <v>87</v>
      </c>
      <c r="R1717" s="982" t="s">
        <v>2812</v>
      </c>
      <c r="S1717" s="279">
        <v>28123</v>
      </c>
      <c r="T1717" s="268"/>
      <c r="U1717" s="251" t="s">
        <v>54</v>
      </c>
      <c r="V1717" s="280" t="s">
        <v>3959</v>
      </c>
      <c r="W1717" s="197" t="s">
        <v>70</v>
      </c>
      <c r="X1717" s="289" t="s">
        <v>71</v>
      </c>
      <c r="Y1717" s="280" t="s">
        <v>4351</v>
      </c>
      <c r="Z1717" s="486">
        <v>45226</v>
      </c>
      <c r="AA1717" s="252"/>
      <c r="AB1717" s="718"/>
      <c r="AC1717" s="474"/>
      <c r="AD1717" s="438"/>
      <c r="AE1717" s="494"/>
      <c r="AF1717" s="494"/>
      <c r="AG1717" s="481"/>
      <c r="AH1717" s="718"/>
      <c r="AI1717" s="794"/>
      <c r="AJ1717" s="348" t="s">
        <v>560</v>
      </c>
      <c r="AK1717" s="471">
        <v>4</v>
      </c>
      <c r="AL1717" s="780" t="s">
        <v>537</v>
      </c>
      <c r="AM1717" s="780" t="s">
        <v>508</v>
      </c>
      <c r="AN1717" s="167"/>
      <c r="AO1717" s="167"/>
      <c r="AR1717" s="115"/>
    </row>
    <row r="1718" spans="1:46" s="827" customFormat="1" ht="39" customHeight="1" x14ac:dyDescent="0.3">
      <c r="A1718" s="1468">
        <v>1717</v>
      </c>
      <c r="B1718" s="190"/>
      <c r="C1718" s="723"/>
      <c r="D1718" s="723"/>
      <c r="E1718" s="723"/>
      <c r="F1718" s="723"/>
      <c r="G1718" s="232"/>
      <c r="H1718" s="232"/>
      <c r="I1718" s="723"/>
      <c r="J1718" s="723"/>
      <c r="K1718" s="723"/>
      <c r="L1718" s="232"/>
      <c r="M1718" s="232"/>
      <c r="N1718" s="723"/>
      <c r="O1718" s="232"/>
      <c r="P1718" s="230" t="s">
        <v>541</v>
      </c>
      <c r="Q1718" s="723"/>
      <c r="R1718" s="324"/>
      <c r="S1718" s="279"/>
      <c r="T1718" s="723"/>
      <c r="U1718" s="250"/>
      <c r="V1718" s="723"/>
      <c r="W1718" s="232"/>
      <c r="X1718" s="232"/>
      <c r="Y1718" s="723"/>
      <c r="Z1718" s="723"/>
      <c r="AA1718" s="252"/>
      <c r="AB1718" s="232"/>
      <c r="AC1718" s="723"/>
      <c r="AD1718" s="723"/>
      <c r="AE1718" s="494"/>
      <c r="AF1718" s="494"/>
      <c r="AG1718" s="723"/>
      <c r="AH1718" s="723"/>
      <c r="AI1718" s="232"/>
      <c r="AJ1718" s="232"/>
      <c r="AK1718" s="232"/>
      <c r="AL1718" s="748"/>
      <c r="AM1718" s="748"/>
      <c r="AN1718" s="748"/>
      <c r="AO1718" s="750"/>
      <c r="AP1718" s="192"/>
      <c r="AQ1718" s="192"/>
      <c r="AR1718" s="192"/>
      <c r="AS1718" s="192"/>
      <c r="AT1718" s="192"/>
    </row>
    <row r="1719" spans="1:46" ht="39" customHeight="1" x14ac:dyDescent="0.3">
      <c r="A1719" s="1468">
        <v>1718</v>
      </c>
      <c r="B1719" s="190"/>
      <c r="C1719" s="936" t="s">
        <v>542</v>
      </c>
      <c r="D1719" s="487"/>
      <c r="E1719" s="762"/>
      <c r="F1719" s="487"/>
      <c r="G1719" s="763" t="s">
        <v>543</v>
      </c>
      <c r="H1719" s="764" t="s">
        <v>153</v>
      </c>
      <c r="I1719" s="418"/>
      <c r="J1719" s="256">
        <v>400</v>
      </c>
      <c r="K1719" s="216"/>
      <c r="L1719" s="216"/>
      <c r="M1719" s="281"/>
      <c r="N1719" s="216"/>
      <c r="O1719" s="216"/>
      <c r="P1719" s="402"/>
      <c r="Q1719" s="298"/>
      <c r="R1719" s="683" t="s">
        <v>66</v>
      </c>
      <c r="S1719" s="279"/>
      <c r="T1719" s="197"/>
      <c r="U1719" s="197"/>
      <c r="V1719" s="197"/>
      <c r="W1719" s="280"/>
      <c r="X1719" s="197"/>
      <c r="Y1719" s="197"/>
      <c r="Z1719" s="246"/>
      <c r="AA1719" s="252"/>
      <c r="AB1719" s="376"/>
      <c r="AC1719" s="223"/>
      <c r="AD1719" s="281"/>
      <c r="AE1719" s="494"/>
      <c r="AF1719" s="494"/>
      <c r="AG1719" s="282"/>
      <c r="AH1719" s="376"/>
      <c r="AI1719" s="547"/>
      <c r="AJ1719" s="348"/>
      <c r="AK1719" s="763">
        <v>2</v>
      </c>
      <c r="AL1719" s="169" t="s">
        <v>544</v>
      </c>
      <c r="AM1719" s="169" t="s">
        <v>508</v>
      </c>
      <c r="AN1719" s="169"/>
      <c r="AO1719" s="878"/>
      <c r="AR1719" s="115"/>
    </row>
    <row r="1720" spans="1:46" ht="39" customHeight="1" x14ac:dyDescent="0.3">
      <c r="A1720" s="1468">
        <v>1719</v>
      </c>
      <c r="B1720" s="190"/>
      <c r="C1720" s="568" t="s">
        <v>426</v>
      </c>
      <c r="D1720" s="302"/>
      <c r="E1720" s="302"/>
      <c r="F1720" s="302"/>
      <c r="G1720" s="197" t="s">
        <v>427</v>
      </c>
      <c r="H1720" s="262" t="s">
        <v>85</v>
      </c>
      <c r="I1720" s="302"/>
      <c r="J1720" s="245" t="s">
        <v>556</v>
      </c>
      <c r="K1720" s="302"/>
      <c r="L1720" s="197"/>
      <c r="M1720" s="197"/>
      <c r="N1720" s="302"/>
      <c r="O1720" s="216" t="s">
        <v>2113</v>
      </c>
      <c r="P1720" s="402" t="s">
        <v>1828</v>
      </c>
      <c r="Q1720" s="298" t="s">
        <v>567</v>
      </c>
      <c r="R1720" s="982" t="s">
        <v>2112</v>
      </c>
      <c r="S1720" s="279">
        <v>37056</v>
      </c>
      <c r="T1720" s="302"/>
      <c r="U1720" s="251" t="s">
        <v>54</v>
      </c>
      <c r="V1720" s="280" t="s">
        <v>3959</v>
      </c>
      <c r="W1720" s="197" t="s">
        <v>70</v>
      </c>
      <c r="X1720" s="289" t="s">
        <v>71</v>
      </c>
      <c r="Y1720" s="280" t="s">
        <v>4351</v>
      </c>
      <c r="Z1720" s="486">
        <v>45226</v>
      </c>
      <c r="AA1720" s="252"/>
      <c r="AB1720" s="197"/>
      <c r="AC1720" s="302"/>
      <c r="AD1720" s="302"/>
      <c r="AE1720" s="494"/>
      <c r="AF1720" s="494"/>
      <c r="AG1720" s="302"/>
      <c r="AH1720" s="302"/>
      <c r="AI1720" s="197"/>
      <c r="AJ1720" s="379" t="s">
        <v>560</v>
      </c>
      <c r="AK1720" s="241">
        <v>4</v>
      </c>
      <c r="AL1720" s="121" t="s">
        <v>544</v>
      </c>
      <c r="AM1720" s="121" t="s">
        <v>508</v>
      </c>
      <c r="AN1720" s="121"/>
      <c r="AO1720" s="3"/>
      <c r="AR1720" s="115"/>
    </row>
    <row r="1721" spans="1:46" ht="39" customHeight="1" x14ac:dyDescent="0.3">
      <c r="A1721" s="1468">
        <v>1720</v>
      </c>
      <c r="B1721" s="190"/>
      <c r="C1721" s="568" t="s">
        <v>428</v>
      </c>
      <c r="D1721" s="302"/>
      <c r="E1721" s="302"/>
      <c r="F1721" s="302"/>
      <c r="G1721" s="197" t="s">
        <v>429</v>
      </c>
      <c r="H1721" s="262" t="s">
        <v>87</v>
      </c>
      <c r="I1721" s="302"/>
      <c r="J1721" s="245" t="s">
        <v>561</v>
      </c>
      <c r="K1721" s="684"/>
      <c r="L1721" s="685"/>
      <c r="M1721" s="685"/>
      <c r="N1721" s="684"/>
      <c r="O1721" s="385" t="s">
        <v>2517</v>
      </c>
      <c r="P1721" s="402" t="s">
        <v>1828</v>
      </c>
      <c r="Q1721" s="344" t="s">
        <v>87</v>
      </c>
      <c r="R1721" s="982" t="s">
        <v>2516</v>
      </c>
      <c r="S1721" s="279">
        <v>31118</v>
      </c>
      <c r="T1721" s="684"/>
      <c r="U1721" s="251" t="s">
        <v>54</v>
      </c>
      <c r="V1721" s="280" t="s">
        <v>3959</v>
      </c>
      <c r="W1721" s="197" t="s">
        <v>70</v>
      </c>
      <c r="X1721" s="289" t="s">
        <v>71</v>
      </c>
      <c r="Y1721" s="280" t="s">
        <v>4351</v>
      </c>
      <c r="Z1721" s="486">
        <v>45226</v>
      </c>
      <c r="AA1721" s="252"/>
      <c r="AB1721" s="1290"/>
      <c r="AC1721" s="684"/>
      <c r="AD1721" s="686"/>
      <c r="AE1721" s="494"/>
      <c r="AF1721" s="494"/>
      <c r="AG1721" s="684"/>
      <c r="AH1721" s="684"/>
      <c r="AI1721" s="685"/>
      <c r="AJ1721" s="348" t="s">
        <v>560</v>
      </c>
      <c r="AK1721" s="241">
        <v>4</v>
      </c>
      <c r="AL1721" s="121" t="s">
        <v>544</v>
      </c>
      <c r="AM1721" s="121" t="s">
        <v>508</v>
      </c>
      <c r="AN1721" s="121"/>
      <c r="AO1721" s="3"/>
      <c r="AR1721" s="115"/>
    </row>
    <row r="1722" spans="1:46" ht="39" customHeight="1" x14ac:dyDescent="0.3">
      <c r="A1722" s="1468">
        <v>1721</v>
      </c>
      <c r="B1722" s="161">
        <v>2</v>
      </c>
      <c r="C1722" s="1106" t="s">
        <v>430</v>
      </c>
      <c r="D1722" s="302"/>
      <c r="E1722" s="302"/>
      <c r="F1722" s="302"/>
      <c r="G1722" s="197" t="s">
        <v>354</v>
      </c>
      <c r="H1722" s="262" t="s">
        <v>87</v>
      </c>
      <c r="I1722" s="302"/>
      <c r="J1722" s="245" t="s">
        <v>561</v>
      </c>
      <c r="K1722" s="302"/>
      <c r="L1722" s="197" t="s">
        <v>2797</v>
      </c>
      <c r="M1722" s="197" t="s">
        <v>2797</v>
      </c>
      <c r="N1722" s="302"/>
      <c r="O1722" s="216" t="s">
        <v>2796</v>
      </c>
      <c r="P1722" s="402" t="s">
        <v>1828</v>
      </c>
      <c r="Q1722" s="298" t="s">
        <v>87</v>
      </c>
      <c r="R1722" s="982" t="s">
        <v>2795</v>
      </c>
      <c r="S1722" s="279">
        <v>26579</v>
      </c>
      <c r="T1722" s="302"/>
      <c r="U1722" s="251" t="s">
        <v>54</v>
      </c>
      <c r="V1722" s="280" t="s">
        <v>3959</v>
      </c>
      <c r="W1722" s="197" t="s">
        <v>70</v>
      </c>
      <c r="X1722" s="289" t="s">
        <v>71</v>
      </c>
      <c r="Y1722" s="280" t="s">
        <v>4351</v>
      </c>
      <c r="Z1722" s="486">
        <v>45226</v>
      </c>
      <c r="AA1722" s="252"/>
      <c r="AB1722" s="197"/>
      <c r="AC1722" s="302"/>
      <c r="AD1722" s="302"/>
      <c r="AE1722" s="494"/>
      <c r="AF1722" s="494"/>
      <c r="AG1722" s="302"/>
      <c r="AH1722" s="302"/>
      <c r="AI1722" s="197"/>
      <c r="AJ1722" s="379" t="s">
        <v>560</v>
      </c>
      <c r="AK1722" s="241">
        <v>4</v>
      </c>
      <c r="AL1722" s="121" t="s">
        <v>544</v>
      </c>
      <c r="AM1722" s="121" t="s">
        <v>508</v>
      </c>
      <c r="AN1722" s="166"/>
      <c r="AO1722" s="875"/>
      <c r="AR1722" s="115"/>
      <c r="AS1722" s="115"/>
      <c r="AT1722" s="115"/>
    </row>
    <row r="1723" spans="1:46" s="827" customFormat="1" ht="39" customHeight="1" x14ac:dyDescent="0.3">
      <c r="A1723" s="1468">
        <v>1722</v>
      </c>
      <c r="B1723" s="110"/>
      <c r="C1723" s="596"/>
      <c r="D1723" s="578"/>
      <c r="E1723" s="597"/>
      <c r="F1723" s="597"/>
      <c r="G1723" s="598"/>
      <c r="H1723" s="599"/>
      <c r="I1723" s="578"/>
      <c r="J1723" s="598"/>
      <c r="K1723" s="578"/>
      <c r="L1723" s="602"/>
      <c r="M1723" s="602"/>
      <c r="N1723" s="578"/>
      <c r="O1723" s="602"/>
      <c r="P1723" s="600" t="s">
        <v>549</v>
      </c>
      <c r="Q1723" s="601"/>
      <c r="R1723" s="1008"/>
      <c r="S1723" s="279"/>
      <c r="T1723" s="578"/>
      <c r="U1723" s="250"/>
      <c r="V1723" s="578"/>
      <c r="W1723" s="602"/>
      <c r="X1723" s="602"/>
      <c r="Y1723" s="578"/>
      <c r="Z1723" s="578"/>
      <c r="AA1723" s="252"/>
      <c r="AB1723" s="1295"/>
      <c r="AC1723" s="578"/>
      <c r="AD1723" s="659"/>
      <c r="AE1723" s="494"/>
      <c r="AF1723" s="494"/>
      <c r="AG1723" s="578"/>
      <c r="AH1723" s="578"/>
      <c r="AI1723" s="602"/>
      <c r="AJ1723" s="602"/>
      <c r="AK1723" s="597"/>
      <c r="AL1723" s="191"/>
      <c r="AM1723" s="191"/>
      <c r="AN1723" s="748"/>
      <c r="AO1723" s="750"/>
      <c r="AP1723" s="192"/>
      <c r="AQ1723" s="192"/>
      <c r="AR1723" s="192"/>
      <c r="AS1723" s="192"/>
      <c r="AT1723" s="192"/>
    </row>
    <row r="1724" spans="1:46" s="827" customFormat="1" ht="39" customHeight="1" x14ac:dyDescent="0.3">
      <c r="A1724" s="1468">
        <v>1723</v>
      </c>
      <c r="B1724" s="110"/>
      <c r="C1724" s="596"/>
      <c r="D1724" s="578"/>
      <c r="E1724" s="597"/>
      <c r="F1724" s="597"/>
      <c r="G1724" s="598"/>
      <c r="H1724" s="599"/>
      <c r="I1724" s="578"/>
      <c r="J1724" s="598"/>
      <c r="K1724" s="578"/>
      <c r="L1724" s="602"/>
      <c r="M1724" s="602"/>
      <c r="N1724" s="578"/>
      <c r="O1724" s="602"/>
      <c r="P1724" s="600" t="s">
        <v>44</v>
      </c>
      <c r="Q1724" s="601"/>
      <c r="R1724" s="1008"/>
      <c r="S1724" s="279"/>
      <c r="T1724" s="578"/>
      <c r="U1724" s="250"/>
      <c r="V1724" s="578"/>
      <c r="W1724" s="602"/>
      <c r="X1724" s="602"/>
      <c r="Y1724" s="578"/>
      <c r="Z1724" s="578"/>
      <c r="AA1724" s="252"/>
      <c r="AB1724" s="1295"/>
      <c r="AC1724" s="578"/>
      <c r="AD1724" s="659"/>
      <c r="AE1724" s="494"/>
      <c r="AF1724" s="494"/>
      <c r="AG1724" s="578"/>
      <c r="AH1724" s="578"/>
      <c r="AI1724" s="602"/>
      <c r="AJ1724" s="602"/>
      <c r="AK1724" s="597"/>
      <c r="AL1724" s="191"/>
      <c r="AM1724" s="191"/>
      <c r="AN1724" s="748"/>
      <c r="AO1724" s="3"/>
      <c r="AP1724" s="192"/>
      <c r="AQ1724" s="192"/>
      <c r="AR1724" s="192"/>
      <c r="AS1724" s="192"/>
      <c r="AT1724" s="192"/>
    </row>
    <row r="1725" spans="1:46" ht="39" customHeight="1" x14ac:dyDescent="0.3">
      <c r="A1725" s="1468">
        <v>1724</v>
      </c>
      <c r="B1725" s="110">
        <v>18</v>
      </c>
      <c r="C1725" s="937" t="s">
        <v>550</v>
      </c>
      <c r="D1725" s="451"/>
      <c r="E1725" s="603" t="s">
        <v>47</v>
      </c>
      <c r="F1725" s="603" t="s">
        <v>362</v>
      </c>
      <c r="G1725" s="604" t="s">
        <v>91</v>
      </c>
      <c r="H1725" s="605" t="s">
        <v>65</v>
      </c>
      <c r="I1725" s="451"/>
      <c r="J1725" s="245">
        <v>202</v>
      </c>
      <c r="K1725" s="197" t="s">
        <v>50</v>
      </c>
      <c r="L1725" s="277" t="s">
        <v>1424</v>
      </c>
      <c r="M1725" s="277" t="s">
        <v>1424</v>
      </c>
      <c r="N1725" s="276"/>
      <c r="O1725" s="277" t="s">
        <v>1425</v>
      </c>
      <c r="P1725" s="1257" t="s">
        <v>1828</v>
      </c>
      <c r="Q1725" s="442" t="s">
        <v>65</v>
      </c>
      <c r="R1725" s="995" t="s">
        <v>1423</v>
      </c>
      <c r="S1725" s="279">
        <v>29411</v>
      </c>
      <c r="T1725" s="443"/>
      <c r="U1725" s="251" t="s">
        <v>54</v>
      </c>
      <c r="V1725" s="280" t="s">
        <v>3959</v>
      </c>
      <c r="W1725" s="197" t="s">
        <v>70</v>
      </c>
      <c r="X1725" s="289" t="s">
        <v>71</v>
      </c>
      <c r="Y1725" s="280" t="s">
        <v>4352</v>
      </c>
      <c r="Z1725" s="486">
        <v>45226</v>
      </c>
      <c r="AA1725" s="252"/>
      <c r="AB1725" s="487"/>
      <c r="AC1725" s="488"/>
      <c r="AD1725" s="487"/>
      <c r="AE1725" s="494">
        <v>45097</v>
      </c>
      <c r="AF1725" s="494">
        <v>45096</v>
      </c>
      <c r="AG1725" s="476" t="s">
        <v>61</v>
      </c>
      <c r="AH1725" s="489"/>
      <c r="AI1725" s="490"/>
      <c r="AJ1725" s="755" t="s">
        <v>62</v>
      </c>
      <c r="AK1725" s="603">
        <v>1</v>
      </c>
      <c r="AL1725" s="798" t="s">
        <v>1422</v>
      </c>
      <c r="AM1725" s="798" t="s">
        <v>552</v>
      </c>
      <c r="AN1725" s="169"/>
      <c r="AO1725" s="878"/>
      <c r="AR1725" s="115"/>
    </row>
    <row r="1726" spans="1:46" ht="39" customHeight="1" x14ac:dyDescent="0.3">
      <c r="A1726" s="1468">
        <v>1725</v>
      </c>
      <c r="B1726" s="110">
        <v>16</v>
      </c>
      <c r="C1726" s="938" t="s">
        <v>553</v>
      </c>
      <c r="D1726" s="366"/>
      <c r="E1726" s="465" t="s">
        <v>47</v>
      </c>
      <c r="F1726" s="465" t="s">
        <v>362</v>
      </c>
      <c r="G1726" s="604" t="s">
        <v>91</v>
      </c>
      <c r="H1726" s="608" t="s">
        <v>92</v>
      </c>
      <c r="I1726" s="366"/>
      <c r="J1726" s="245">
        <v>204</v>
      </c>
      <c r="K1726" s="197" t="s">
        <v>50</v>
      </c>
      <c r="L1726" s="281" t="s">
        <v>1990</v>
      </c>
      <c r="M1726" s="281" t="s">
        <v>1990</v>
      </c>
      <c r="N1726" s="1278"/>
      <c r="O1726" s="277" t="s">
        <v>2017</v>
      </c>
      <c r="P1726" s="1257" t="s">
        <v>1828</v>
      </c>
      <c r="Q1726" s="442" t="s">
        <v>92</v>
      </c>
      <c r="R1726" s="995" t="s">
        <v>2094</v>
      </c>
      <c r="S1726" s="279">
        <v>28376</v>
      </c>
      <c r="T1726" s="1278"/>
      <c r="U1726" s="251" t="s">
        <v>54</v>
      </c>
      <c r="V1726" s="280" t="s">
        <v>3959</v>
      </c>
      <c r="W1726" s="197" t="s">
        <v>70</v>
      </c>
      <c r="X1726" s="289" t="s">
        <v>71</v>
      </c>
      <c r="Y1726" s="280" t="s">
        <v>4352</v>
      </c>
      <c r="Z1726" s="486">
        <v>45226</v>
      </c>
      <c r="AA1726" s="252"/>
      <c r="AB1726" s="1292"/>
      <c r="AC1726" s="1278"/>
      <c r="AD1726" s="1279"/>
      <c r="AE1726" s="494"/>
      <c r="AF1726" s="494"/>
      <c r="AG1726" s="1278"/>
      <c r="AH1726" s="1278"/>
      <c r="AI1726" s="1479"/>
      <c r="AJ1726" s="755" t="s">
        <v>62</v>
      </c>
      <c r="AK1726" s="465">
        <v>1</v>
      </c>
      <c r="AL1726" s="124" t="s">
        <v>1422</v>
      </c>
      <c r="AM1726" s="124" t="s">
        <v>552</v>
      </c>
      <c r="AN1726" s="121"/>
      <c r="AO1726" s="3"/>
      <c r="AR1726" s="115"/>
    </row>
    <row r="1727" spans="1:46" ht="39" customHeight="1" x14ac:dyDescent="0.3">
      <c r="A1727" s="1468">
        <v>1726</v>
      </c>
      <c r="B1727" s="110">
        <v>11</v>
      </c>
      <c r="C1727" s="938" t="s">
        <v>554</v>
      </c>
      <c r="D1727" s="366"/>
      <c r="E1727" s="465"/>
      <c r="F1727" s="465" t="s">
        <v>362</v>
      </c>
      <c r="G1727" s="607" t="s">
        <v>164</v>
      </c>
      <c r="H1727" s="244" t="s">
        <v>83</v>
      </c>
      <c r="I1727" s="366"/>
      <c r="J1727" s="245">
        <v>302</v>
      </c>
      <c r="K1727" s="216" t="s">
        <v>50</v>
      </c>
      <c r="L1727" s="281" t="s">
        <v>1322</v>
      </c>
      <c r="M1727" s="281"/>
      <c r="N1727" s="216"/>
      <c r="O1727" s="216" t="s">
        <v>1323</v>
      </c>
      <c r="P1727" s="247"/>
      <c r="Q1727" s="340" t="s">
        <v>119</v>
      </c>
      <c r="R1727" s="1179" t="s">
        <v>1324</v>
      </c>
      <c r="S1727" s="279">
        <v>32746</v>
      </c>
      <c r="T1727" s="250"/>
      <c r="U1727" s="251" t="s">
        <v>54</v>
      </c>
      <c r="V1727" s="1476" t="s">
        <v>5447</v>
      </c>
      <c r="W1727" s="197" t="s">
        <v>70</v>
      </c>
      <c r="X1727" s="289" t="s">
        <v>71</v>
      </c>
      <c r="Y1727" s="949" t="s">
        <v>4574</v>
      </c>
      <c r="Z1727" s="246">
        <v>45270</v>
      </c>
      <c r="AA1727" s="252"/>
      <c r="AB1727" s="281"/>
      <c r="AC1727" s="223" t="s">
        <v>946</v>
      </c>
      <c r="AD1727" s="224"/>
      <c r="AE1727" s="494">
        <v>44846</v>
      </c>
      <c r="AF1727" s="494">
        <v>45576</v>
      </c>
      <c r="AG1727" s="241" t="s">
        <v>61</v>
      </c>
      <c r="AH1727" s="281"/>
      <c r="AI1727" s="296"/>
      <c r="AJ1727" s="242" t="s">
        <v>62</v>
      </c>
      <c r="AK1727" s="465">
        <v>1</v>
      </c>
      <c r="AL1727" s="124" t="s">
        <v>1422</v>
      </c>
      <c r="AM1727" s="124" t="s">
        <v>552</v>
      </c>
      <c r="AN1727" s="121"/>
      <c r="AO1727" s="3"/>
      <c r="AR1727" s="115"/>
    </row>
    <row r="1728" spans="1:46" ht="39" customHeight="1" x14ac:dyDescent="0.3">
      <c r="A1728" s="1468">
        <v>1727</v>
      </c>
      <c r="B1728" s="110">
        <v>3</v>
      </c>
      <c r="C1728" s="939" t="s">
        <v>555</v>
      </c>
      <c r="D1728" s="404"/>
      <c r="E1728" s="622"/>
      <c r="F1728" s="622"/>
      <c r="G1728" s="623" t="s">
        <v>370</v>
      </c>
      <c r="H1728" s="262" t="s">
        <v>87</v>
      </c>
      <c r="I1728" s="404"/>
      <c r="J1728" s="245" t="s">
        <v>561</v>
      </c>
      <c r="K1728" s="684"/>
      <c r="L1728" s="281" t="s">
        <v>3567</v>
      </c>
      <c r="M1728" s="281" t="s">
        <v>3567</v>
      </c>
      <c r="N1728" s="684"/>
      <c r="O1728" s="216" t="s">
        <v>3575</v>
      </c>
      <c r="P1728" s="402" t="s">
        <v>1828</v>
      </c>
      <c r="Q1728" s="298" t="s">
        <v>87</v>
      </c>
      <c r="R1728" s="982" t="s">
        <v>3574</v>
      </c>
      <c r="S1728" s="279">
        <v>37097</v>
      </c>
      <c r="T1728" s="684"/>
      <c r="U1728" s="251" t="s">
        <v>886</v>
      </c>
      <c r="V1728" s="1488" t="s">
        <v>5896</v>
      </c>
      <c r="W1728" s="250" t="s">
        <v>886</v>
      </c>
      <c r="X1728" s="197" t="s">
        <v>886</v>
      </c>
      <c r="Y1728" s="949"/>
      <c r="Z1728" s="246">
        <v>45274</v>
      </c>
      <c r="AA1728" s="252"/>
      <c r="AB1728" s="1290"/>
      <c r="AC1728" s="684"/>
      <c r="AD1728" s="686"/>
      <c r="AE1728" s="494"/>
      <c r="AF1728" s="494"/>
      <c r="AG1728" s="684"/>
      <c r="AH1728" s="684"/>
      <c r="AI1728" s="685"/>
      <c r="AJ1728" s="379" t="s">
        <v>560</v>
      </c>
      <c r="AK1728" s="622">
        <v>4</v>
      </c>
      <c r="AL1728" s="877" t="s">
        <v>1422</v>
      </c>
      <c r="AM1728" s="179" t="s">
        <v>552</v>
      </c>
      <c r="AN1728" s="166"/>
      <c r="AO1728" s="875"/>
      <c r="AR1728" s="115"/>
    </row>
    <row r="1729" spans="1:46" s="827" customFormat="1" ht="39" customHeight="1" x14ac:dyDescent="0.3">
      <c r="A1729" s="1468">
        <v>1728</v>
      </c>
      <c r="B1729" s="110"/>
      <c r="C1729" s="596"/>
      <c r="D1729" s="578"/>
      <c r="E1729" s="597"/>
      <c r="F1729" s="597"/>
      <c r="G1729" s="598"/>
      <c r="H1729" s="599"/>
      <c r="I1729" s="578"/>
      <c r="J1729" s="598"/>
      <c r="K1729" s="578"/>
      <c r="L1729" s="602"/>
      <c r="M1729" s="602"/>
      <c r="N1729" s="578"/>
      <c r="O1729" s="602"/>
      <c r="P1729" s="600" t="s">
        <v>557</v>
      </c>
      <c r="Q1729" s="601"/>
      <c r="R1729" s="1008"/>
      <c r="S1729" s="279"/>
      <c r="T1729" s="578"/>
      <c r="U1729" s="250"/>
      <c r="V1729" s="578"/>
      <c r="W1729" s="602"/>
      <c r="X1729" s="602"/>
      <c r="Y1729" s="578"/>
      <c r="Z1729" s="578"/>
      <c r="AA1729" s="252"/>
      <c r="AB1729" s="1295"/>
      <c r="AC1729" s="578"/>
      <c r="AD1729" s="659"/>
      <c r="AE1729" s="494"/>
      <c r="AF1729" s="494"/>
      <c r="AG1729" s="578"/>
      <c r="AH1729" s="578"/>
      <c r="AI1729" s="602"/>
      <c r="AJ1729" s="602"/>
      <c r="AK1729" s="597"/>
      <c r="AL1729" s="191"/>
      <c r="AM1729" s="191"/>
      <c r="AN1729" s="748"/>
      <c r="AO1729" s="750"/>
      <c r="AP1729" s="192"/>
      <c r="AQ1729" s="192"/>
      <c r="AR1729" s="192"/>
      <c r="AS1729" s="192"/>
      <c r="AT1729" s="192"/>
    </row>
    <row r="1730" spans="1:46" ht="39" customHeight="1" x14ac:dyDescent="0.3">
      <c r="A1730" s="1468">
        <v>1729</v>
      </c>
      <c r="B1730" s="110">
        <v>14</v>
      </c>
      <c r="C1730" s="937" t="s">
        <v>277</v>
      </c>
      <c r="D1730" s="451"/>
      <c r="E1730" s="603"/>
      <c r="F1730" s="603"/>
      <c r="G1730" s="604" t="s">
        <v>91</v>
      </c>
      <c r="H1730" s="605" t="s">
        <v>78</v>
      </c>
      <c r="I1730" s="451"/>
      <c r="J1730" s="245">
        <v>300</v>
      </c>
      <c r="K1730" s="197" t="s">
        <v>50</v>
      </c>
      <c r="L1730" s="216" t="s">
        <v>1520</v>
      </c>
      <c r="M1730" s="216" t="s">
        <v>1520</v>
      </c>
      <c r="N1730" s="245"/>
      <c r="O1730" s="1476" t="s">
        <v>1519</v>
      </c>
      <c r="P1730" s="287"/>
      <c r="Q1730" s="326" t="s">
        <v>92</v>
      </c>
      <c r="R1730" s="990" t="s">
        <v>1522</v>
      </c>
      <c r="S1730" s="279">
        <v>28665</v>
      </c>
      <c r="T1730" s="197"/>
      <c r="U1730" s="251" t="s">
        <v>178</v>
      </c>
      <c r="V1730" s="280" t="s">
        <v>5830</v>
      </c>
      <c r="W1730" s="197" t="s">
        <v>1955</v>
      </c>
      <c r="X1730" s="289" t="s">
        <v>5845</v>
      </c>
      <c r="Y1730" s="981" t="s">
        <v>5846</v>
      </c>
      <c r="Z1730" s="486">
        <v>45294</v>
      </c>
      <c r="AA1730" s="252">
        <v>45303</v>
      </c>
      <c r="AB1730" s="282"/>
      <c r="AC1730" s="223"/>
      <c r="AD1730" s="282"/>
      <c r="AE1730" s="494"/>
      <c r="AF1730" s="494"/>
      <c r="AG1730" s="241"/>
      <c r="AH1730" s="283"/>
      <c r="AI1730" s="254"/>
      <c r="AJ1730" s="255" t="s">
        <v>62</v>
      </c>
      <c r="AK1730" s="603">
        <v>1</v>
      </c>
      <c r="AL1730" s="798" t="s">
        <v>558</v>
      </c>
      <c r="AM1730" s="798" t="s">
        <v>552</v>
      </c>
      <c r="AN1730" s="169"/>
      <c r="AO1730" s="878"/>
      <c r="AR1730" s="115"/>
    </row>
    <row r="1731" spans="1:46" ht="39" customHeight="1" x14ac:dyDescent="0.3">
      <c r="A1731" s="1468">
        <v>1730</v>
      </c>
      <c r="B1731" s="110">
        <v>12</v>
      </c>
      <c r="C1731" s="938" t="s">
        <v>279</v>
      </c>
      <c r="D1731" s="366"/>
      <c r="E1731" s="465"/>
      <c r="F1731" s="465"/>
      <c r="G1731" s="607" t="s">
        <v>280</v>
      </c>
      <c r="H1731" s="244" t="s">
        <v>83</v>
      </c>
      <c r="I1731" s="366"/>
      <c r="J1731" s="245">
        <v>302</v>
      </c>
      <c r="K1731" s="197" t="s">
        <v>50</v>
      </c>
      <c r="L1731" s="554" t="s">
        <v>2386</v>
      </c>
      <c r="M1731" s="554" t="s">
        <v>2386</v>
      </c>
      <c r="N1731" s="809"/>
      <c r="O1731" s="216" t="s">
        <v>2387</v>
      </c>
      <c r="P1731" s="372"/>
      <c r="Q1731" s="978" t="s">
        <v>83</v>
      </c>
      <c r="R1731" s="995" t="s">
        <v>2385</v>
      </c>
      <c r="S1731" s="279">
        <v>34606</v>
      </c>
      <c r="T1731" s="344"/>
      <c r="U1731" s="251" t="s">
        <v>54</v>
      </c>
      <c r="V1731" s="280" t="s">
        <v>3959</v>
      </c>
      <c r="W1731" s="197" t="s">
        <v>70</v>
      </c>
      <c r="X1731" s="289" t="s">
        <v>71</v>
      </c>
      <c r="Y1731" s="280" t="s">
        <v>4352</v>
      </c>
      <c r="Z1731" s="486">
        <v>45226</v>
      </c>
      <c r="AA1731" s="252"/>
      <c r="AB1731" s="282"/>
      <c r="AC1731" s="223"/>
      <c r="AD1731" s="282"/>
      <c r="AE1731" s="494"/>
      <c r="AF1731" s="494"/>
      <c r="AG1731" s="241"/>
      <c r="AH1731" s="465"/>
      <c r="AI1731" s="466"/>
      <c r="AJ1731" s="255" t="s">
        <v>62</v>
      </c>
      <c r="AK1731" s="465">
        <v>1</v>
      </c>
      <c r="AL1731" s="124" t="s">
        <v>558</v>
      </c>
      <c r="AM1731" s="124" t="s">
        <v>552</v>
      </c>
      <c r="AN1731" s="121"/>
      <c r="AO1731" s="3"/>
      <c r="AR1731" s="115"/>
    </row>
    <row r="1732" spans="1:46" ht="39" customHeight="1" x14ac:dyDescent="0.3">
      <c r="A1732" s="1468">
        <v>1731</v>
      </c>
      <c r="B1732" s="110">
        <v>9</v>
      </c>
      <c r="C1732" s="940" t="s">
        <v>281</v>
      </c>
      <c r="D1732" s="366"/>
      <c r="E1732" s="613" t="s">
        <v>47</v>
      </c>
      <c r="F1732" s="613" t="s">
        <v>362</v>
      </c>
      <c r="G1732" s="614" t="s">
        <v>282</v>
      </c>
      <c r="H1732" s="615" t="s">
        <v>283</v>
      </c>
      <c r="I1732" s="366"/>
      <c r="J1732" s="281">
        <v>410</v>
      </c>
      <c r="K1732" s="366"/>
      <c r="L1732" s="392"/>
      <c r="M1732" s="392"/>
      <c r="N1732" s="366"/>
      <c r="O1732" s="392" t="s">
        <v>3212</v>
      </c>
      <c r="P1732" s="616" t="s">
        <v>551</v>
      </c>
      <c r="Q1732" s="617" t="s">
        <v>283</v>
      </c>
      <c r="R1732" s="1175" t="s">
        <v>1427</v>
      </c>
      <c r="S1732" s="279">
        <v>26522</v>
      </c>
      <c r="T1732" s="366"/>
      <c r="U1732" s="251" t="s">
        <v>54</v>
      </c>
      <c r="V1732" s="280" t="s">
        <v>4003</v>
      </c>
      <c r="W1732" s="197" t="s">
        <v>70</v>
      </c>
      <c r="X1732" s="289" t="s">
        <v>71</v>
      </c>
      <c r="Y1732" s="280" t="s">
        <v>4574</v>
      </c>
      <c r="Z1732" s="486">
        <v>45227</v>
      </c>
      <c r="AA1732" s="252"/>
      <c r="AB1732" s="1289"/>
      <c r="AC1732" s="366"/>
      <c r="AD1732" s="658"/>
      <c r="AE1732" s="494"/>
      <c r="AF1732" s="494"/>
      <c r="AG1732" s="366"/>
      <c r="AH1732" s="366"/>
      <c r="AI1732" s="392"/>
      <c r="AJ1732" s="617" t="s">
        <v>47</v>
      </c>
      <c r="AK1732" s="613">
        <v>2</v>
      </c>
      <c r="AL1732" s="133" t="s">
        <v>558</v>
      </c>
      <c r="AM1732" s="133" t="s">
        <v>552</v>
      </c>
      <c r="AN1732" s="121"/>
      <c r="AO1732" s="3"/>
      <c r="AR1732" s="115"/>
    </row>
    <row r="1733" spans="1:46" ht="39" customHeight="1" x14ac:dyDescent="0.3">
      <c r="A1733" s="1468">
        <v>1732</v>
      </c>
      <c r="B1733" s="110">
        <v>9</v>
      </c>
      <c r="C1733" s="940" t="s">
        <v>284</v>
      </c>
      <c r="D1733" s="366"/>
      <c r="E1733" s="613" t="s">
        <v>47</v>
      </c>
      <c r="F1733" s="613"/>
      <c r="G1733" s="614" t="s">
        <v>285</v>
      </c>
      <c r="H1733" s="615" t="s">
        <v>283</v>
      </c>
      <c r="I1733" s="366"/>
      <c r="J1733" s="281">
        <v>410</v>
      </c>
      <c r="K1733" s="366"/>
      <c r="L1733" s="250" t="s">
        <v>1995</v>
      </c>
      <c r="M1733" s="250" t="s">
        <v>1995</v>
      </c>
      <c r="N1733" s="366"/>
      <c r="O1733" s="392" t="s">
        <v>1996</v>
      </c>
      <c r="P1733" s="616" t="s">
        <v>551</v>
      </c>
      <c r="Q1733" s="617" t="s">
        <v>119</v>
      </c>
      <c r="R1733" s="1175" t="s">
        <v>1994</v>
      </c>
      <c r="S1733" s="279">
        <v>31585</v>
      </c>
      <c r="T1733" s="366"/>
      <c r="U1733" s="197"/>
      <c r="V1733" s="250"/>
      <c r="W1733" s="392"/>
      <c r="X1733" s="392"/>
      <c r="Y1733" s="1126"/>
      <c r="Z1733" s="252"/>
      <c r="AA1733" s="252"/>
      <c r="AB1733" s="1289"/>
      <c r="AC1733" s="366"/>
      <c r="AD1733" s="658"/>
      <c r="AE1733" s="494"/>
      <c r="AF1733" s="494"/>
      <c r="AG1733" s="366"/>
      <c r="AH1733" s="366"/>
      <c r="AI1733" s="392"/>
      <c r="AJ1733" s="617" t="s">
        <v>47</v>
      </c>
      <c r="AK1733" s="613">
        <v>2</v>
      </c>
      <c r="AL1733" s="133" t="s">
        <v>558</v>
      </c>
      <c r="AM1733" s="133" t="s">
        <v>552</v>
      </c>
      <c r="AN1733" s="121"/>
      <c r="AO1733" s="3"/>
      <c r="AR1733" s="115"/>
    </row>
    <row r="1734" spans="1:46" ht="39" customHeight="1" x14ac:dyDescent="0.3">
      <c r="A1734" s="1468">
        <v>1733</v>
      </c>
      <c r="B1734" s="110">
        <v>6</v>
      </c>
      <c r="C1734" s="940" t="s">
        <v>286</v>
      </c>
      <c r="D1734" s="366"/>
      <c r="E1734" s="613" t="s">
        <v>47</v>
      </c>
      <c r="F1734" s="613" t="s">
        <v>362</v>
      </c>
      <c r="G1734" s="614" t="s">
        <v>287</v>
      </c>
      <c r="H1734" s="615" t="s">
        <v>153</v>
      </c>
      <c r="I1734" s="366"/>
      <c r="J1734" s="256">
        <v>400</v>
      </c>
      <c r="K1734" s="366"/>
      <c r="L1734" s="392"/>
      <c r="M1734" s="392"/>
      <c r="N1734" s="366"/>
      <c r="O1734" s="392"/>
      <c r="P1734" s="616" t="s">
        <v>551</v>
      </c>
      <c r="Q1734" s="611"/>
      <c r="R1734" s="683" t="s">
        <v>66</v>
      </c>
      <c r="S1734" s="279"/>
      <c r="T1734" s="366"/>
      <c r="U1734" s="197"/>
      <c r="V1734" s="366"/>
      <c r="W1734" s="392"/>
      <c r="X1734" s="392"/>
      <c r="Y1734" s="366"/>
      <c r="Z1734" s="366"/>
      <c r="AA1734" s="366"/>
      <c r="AB1734" s="1289"/>
      <c r="AC1734" s="366"/>
      <c r="AD1734" s="658"/>
      <c r="AE1734" s="494"/>
      <c r="AF1734" s="494"/>
      <c r="AG1734" s="366"/>
      <c r="AH1734" s="366"/>
      <c r="AI1734" s="392"/>
      <c r="AJ1734" s="392"/>
      <c r="AK1734" s="613">
        <v>2</v>
      </c>
      <c r="AL1734" s="133" t="s">
        <v>558</v>
      </c>
      <c r="AM1734" s="133" t="s">
        <v>552</v>
      </c>
      <c r="AN1734" s="121"/>
      <c r="AO1734" s="3"/>
      <c r="AR1734" s="115"/>
    </row>
    <row r="1735" spans="1:46" ht="39" customHeight="1" x14ac:dyDescent="0.3">
      <c r="A1735" s="1468">
        <v>1734</v>
      </c>
      <c r="B1735" s="110">
        <v>5</v>
      </c>
      <c r="C1735" s="941" t="s">
        <v>288</v>
      </c>
      <c r="D1735" s="366"/>
      <c r="E1735" s="618" t="s">
        <v>47</v>
      </c>
      <c r="F1735" s="618" t="s">
        <v>362</v>
      </c>
      <c r="G1735" s="619" t="s">
        <v>289</v>
      </c>
      <c r="H1735" s="620" t="s">
        <v>132</v>
      </c>
      <c r="I1735" s="344"/>
      <c r="J1735" s="256">
        <v>403</v>
      </c>
      <c r="K1735" s="451"/>
      <c r="L1735" s="1429" t="s">
        <v>5503</v>
      </c>
      <c r="M1735" s="1429" t="s">
        <v>5503</v>
      </c>
      <c r="N1735" s="451"/>
      <c r="O1735" s="265" t="s">
        <v>5690</v>
      </c>
      <c r="P1735" s="266"/>
      <c r="Q1735" s="375" t="s">
        <v>567</v>
      </c>
      <c r="R1735" s="834" t="s">
        <v>5689</v>
      </c>
      <c r="S1735" s="279">
        <v>32114</v>
      </c>
      <c r="T1735" s="451"/>
      <c r="U1735" s="251" t="s">
        <v>54</v>
      </c>
      <c r="V1735" s="280"/>
      <c r="W1735" s="1429" t="s">
        <v>56</v>
      </c>
      <c r="X1735" s="1429" t="s">
        <v>57</v>
      </c>
      <c r="Y1735" s="451"/>
      <c r="Z1735" s="451"/>
      <c r="AA1735" s="451"/>
      <c r="AB1735" s="1293"/>
      <c r="AC1735" s="451"/>
      <c r="AD1735" s="661"/>
      <c r="AE1735" s="494"/>
      <c r="AF1735" s="494"/>
      <c r="AG1735" s="451"/>
      <c r="AH1735" s="451"/>
      <c r="AI1735" s="1428"/>
      <c r="AJ1735" s="743" t="s">
        <v>560</v>
      </c>
      <c r="AK1735" s="618">
        <v>3</v>
      </c>
      <c r="AL1735" s="130" t="s">
        <v>558</v>
      </c>
      <c r="AM1735" s="130" t="s">
        <v>552</v>
      </c>
      <c r="AN1735" s="121"/>
      <c r="AO1735" s="3"/>
      <c r="AR1735" s="115"/>
    </row>
    <row r="1736" spans="1:46" ht="39" customHeight="1" x14ac:dyDescent="0.3">
      <c r="A1736" s="1468">
        <v>1735</v>
      </c>
      <c r="B1736" s="110">
        <v>4</v>
      </c>
      <c r="C1736" s="722" t="s">
        <v>382</v>
      </c>
      <c r="D1736" s="366"/>
      <c r="E1736" s="219"/>
      <c r="F1736" s="219" t="s">
        <v>362</v>
      </c>
      <c r="G1736" s="610" t="s">
        <v>310</v>
      </c>
      <c r="H1736" s="262" t="s">
        <v>85</v>
      </c>
      <c r="I1736" s="366"/>
      <c r="J1736" s="245" t="s">
        <v>556</v>
      </c>
      <c r="K1736" s="366"/>
      <c r="L1736" s="392"/>
      <c r="M1736" s="392"/>
      <c r="N1736" s="366"/>
      <c r="O1736" s="392"/>
      <c r="P1736" s="609"/>
      <c r="Q1736" s="298"/>
      <c r="R1736" s="683" t="s">
        <v>66</v>
      </c>
      <c r="S1736" s="279"/>
      <c r="T1736" s="366"/>
      <c r="U1736" s="197"/>
      <c r="V1736" s="366"/>
      <c r="W1736" s="197"/>
      <c r="X1736" s="197"/>
      <c r="Y1736" s="366"/>
      <c r="Z1736" s="366"/>
      <c r="AA1736" s="366"/>
      <c r="AB1736" s="1289"/>
      <c r="AC1736" s="366"/>
      <c r="AD1736" s="658"/>
      <c r="AE1736" s="494"/>
      <c r="AF1736" s="494"/>
      <c r="AG1736" s="366"/>
      <c r="AH1736" s="366"/>
      <c r="AI1736" s="392"/>
      <c r="AJ1736" s="348"/>
      <c r="AK1736" s="219">
        <v>4</v>
      </c>
      <c r="AL1736" s="110" t="s">
        <v>558</v>
      </c>
      <c r="AM1736" s="110" t="s">
        <v>552</v>
      </c>
      <c r="AN1736" s="121"/>
      <c r="AO1736" s="3"/>
      <c r="AR1736" s="115"/>
      <c r="AS1736" s="115"/>
      <c r="AT1736" s="115"/>
    </row>
    <row r="1737" spans="1:46" ht="39" customHeight="1" x14ac:dyDescent="0.3">
      <c r="A1737" s="1468">
        <v>1736</v>
      </c>
      <c r="B1737" s="110">
        <v>2</v>
      </c>
      <c r="C1737" s="722" t="s">
        <v>385</v>
      </c>
      <c r="D1737" s="366"/>
      <c r="E1737" s="219"/>
      <c r="F1737" s="219" t="s">
        <v>362</v>
      </c>
      <c r="G1737" s="610" t="s">
        <v>386</v>
      </c>
      <c r="H1737" s="262" t="s">
        <v>85</v>
      </c>
      <c r="I1737" s="366"/>
      <c r="J1737" s="245" t="s">
        <v>556</v>
      </c>
      <c r="K1737" s="366"/>
      <c r="L1737" s="1420" t="s">
        <v>5503</v>
      </c>
      <c r="M1737" s="1420" t="s">
        <v>5503</v>
      </c>
      <c r="N1737" s="366"/>
      <c r="O1737" s="216" t="s">
        <v>5707</v>
      </c>
      <c r="P1737" s="402"/>
      <c r="Q1737" s="298" t="s">
        <v>87</v>
      </c>
      <c r="R1737" s="982" t="s">
        <v>5706</v>
      </c>
      <c r="S1737" s="279">
        <v>30218</v>
      </c>
      <c r="T1737" s="366"/>
      <c r="U1737" s="251" t="s">
        <v>54</v>
      </c>
      <c r="V1737" s="366"/>
      <c r="W1737" s="1420" t="s">
        <v>56</v>
      </c>
      <c r="X1737" s="392" t="s">
        <v>57</v>
      </c>
      <c r="Y1737" s="366"/>
      <c r="Z1737" s="366"/>
      <c r="AA1737" s="366"/>
      <c r="AB1737" s="1289"/>
      <c r="AC1737" s="366"/>
      <c r="AD1737" s="658"/>
      <c r="AE1737" s="494"/>
      <c r="AF1737" s="494"/>
      <c r="AG1737" s="366"/>
      <c r="AH1737" s="366"/>
      <c r="AI1737" s="392"/>
      <c r="AJ1737" s="348" t="s">
        <v>560</v>
      </c>
      <c r="AK1737" s="219">
        <v>4</v>
      </c>
      <c r="AL1737" s="110" t="s">
        <v>558</v>
      </c>
      <c r="AM1737" s="110" t="s">
        <v>552</v>
      </c>
      <c r="AN1737" s="121"/>
      <c r="AO1737" s="3"/>
      <c r="AR1737" s="115"/>
      <c r="AS1737" s="115"/>
      <c r="AT1737" s="116"/>
    </row>
    <row r="1738" spans="1:46" ht="39" customHeight="1" x14ac:dyDescent="0.3">
      <c r="A1738" s="1468">
        <v>1737</v>
      </c>
      <c r="B1738" s="110">
        <v>2</v>
      </c>
      <c r="C1738" s="939" t="s">
        <v>299</v>
      </c>
      <c r="D1738" s="404"/>
      <c r="E1738" s="622"/>
      <c r="F1738" s="622" t="s">
        <v>362</v>
      </c>
      <c r="G1738" s="623" t="s">
        <v>300</v>
      </c>
      <c r="H1738" s="262" t="s">
        <v>87</v>
      </c>
      <c r="I1738" s="404"/>
      <c r="J1738" s="245" t="s">
        <v>561</v>
      </c>
      <c r="K1738" s="684"/>
      <c r="L1738" s="1420" t="s">
        <v>5503</v>
      </c>
      <c r="M1738" s="1420" t="s">
        <v>5503</v>
      </c>
      <c r="N1738" s="684"/>
      <c r="O1738" s="216" t="s">
        <v>5540</v>
      </c>
      <c r="P1738" s="402"/>
      <c r="Q1738" s="298" t="s">
        <v>87</v>
      </c>
      <c r="R1738" s="982" t="s">
        <v>5814</v>
      </c>
      <c r="S1738" s="279">
        <v>34367</v>
      </c>
      <c r="T1738" s="684"/>
      <c r="U1738" s="251" t="s">
        <v>54</v>
      </c>
      <c r="V1738" s="684"/>
      <c r="W1738" s="1420" t="s">
        <v>56</v>
      </c>
      <c r="X1738" s="1420" t="s">
        <v>57</v>
      </c>
      <c r="Y1738" s="684"/>
      <c r="Z1738" s="684"/>
      <c r="AA1738" s="684"/>
      <c r="AB1738" s="1290"/>
      <c r="AC1738" s="684"/>
      <c r="AD1738" s="686"/>
      <c r="AE1738" s="494"/>
      <c r="AF1738" s="494"/>
      <c r="AG1738" s="684"/>
      <c r="AH1738" s="684"/>
      <c r="AI1738" s="685"/>
      <c r="AJ1738" s="348" t="s">
        <v>560</v>
      </c>
      <c r="AK1738" s="622">
        <v>4</v>
      </c>
      <c r="AL1738" s="179" t="s">
        <v>558</v>
      </c>
      <c r="AM1738" s="179" t="s">
        <v>552</v>
      </c>
      <c r="AN1738" s="166"/>
      <c r="AO1738" s="875"/>
      <c r="AR1738" s="115"/>
    </row>
    <row r="1739" spans="1:46" s="827" customFormat="1" ht="39" customHeight="1" x14ac:dyDescent="0.3">
      <c r="A1739" s="1468">
        <v>1738</v>
      </c>
      <c r="B1739" s="110"/>
      <c r="C1739" s="596"/>
      <c r="D1739" s="578"/>
      <c r="E1739" s="597"/>
      <c r="F1739" s="597"/>
      <c r="G1739" s="598"/>
      <c r="H1739" s="599"/>
      <c r="I1739" s="578"/>
      <c r="J1739" s="598"/>
      <c r="K1739" s="578"/>
      <c r="L1739" s="602"/>
      <c r="M1739" s="602"/>
      <c r="N1739" s="578"/>
      <c r="O1739" s="602"/>
      <c r="P1739" s="600" t="s">
        <v>304</v>
      </c>
      <c r="Q1739" s="601"/>
      <c r="R1739" s="1008"/>
      <c r="S1739" s="279"/>
      <c r="T1739" s="578"/>
      <c r="U1739" s="250"/>
      <c r="V1739" s="578"/>
      <c r="W1739" s="602"/>
      <c r="X1739" s="602"/>
      <c r="Y1739" s="578"/>
      <c r="Z1739" s="578"/>
      <c r="AA1739" s="578"/>
      <c r="AB1739" s="1295"/>
      <c r="AC1739" s="578"/>
      <c r="AD1739" s="659"/>
      <c r="AE1739" s="494"/>
      <c r="AF1739" s="494"/>
      <c r="AG1739" s="578"/>
      <c r="AH1739" s="578"/>
      <c r="AI1739" s="602"/>
      <c r="AJ1739" s="602"/>
      <c r="AK1739" s="597"/>
      <c r="AL1739" s="191"/>
      <c r="AM1739" s="191"/>
      <c r="AN1739" s="748"/>
      <c r="AO1739" s="750"/>
      <c r="AP1739" s="192"/>
      <c r="AQ1739" s="192"/>
      <c r="AR1739" s="192"/>
      <c r="AS1739" s="192"/>
      <c r="AT1739" s="192"/>
    </row>
    <row r="1740" spans="1:46" ht="39" customHeight="1" x14ac:dyDescent="0.3">
      <c r="A1740" s="1468">
        <v>1739</v>
      </c>
      <c r="B1740" s="110">
        <v>10</v>
      </c>
      <c r="C1740" s="1134" t="s">
        <v>305</v>
      </c>
      <c r="D1740" s="366"/>
      <c r="E1740" s="465"/>
      <c r="F1740" s="465"/>
      <c r="G1740" s="607" t="s">
        <v>91</v>
      </c>
      <c r="H1740" s="244" t="s">
        <v>83</v>
      </c>
      <c r="I1740" s="366"/>
      <c r="J1740" s="245">
        <v>302</v>
      </c>
      <c r="K1740" s="216" t="s">
        <v>50</v>
      </c>
      <c r="L1740" s="216" t="s">
        <v>563</v>
      </c>
      <c r="M1740" s="216" t="s">
        <v>563</v>
      </c>
      <c r="N1740" s="245"/>
      <c r="O1740" s="216" t="s">
        <v>564</v>
      </c>
      <c r="P1740" s="304"/>
      <c r="Q1740" s="338" t="s">
        <v>83</v>
      </c>
      <c r="R1740" s="259" t="s">
        <v>565</v>
      </c>
      <c r="S1740" s="279">
        <v>34942</v>
      </c>
      <c r="T1740" s="250"/>
      <c r="U1740" s="251" t="s">
        <v>54</v>
      </c>
      <c r="V1740" s="280" t="s">
        <v>3959</v>
      </c>
      <c r="W1740" s="197" t="s">
        <v>70</v>
      </c>
      <c r="X1740" s="289" t="s">
        <v>71</v>
      </c>
      <c r="Y1740" s="280" t="s">
        <v>4352</v>
      </c>
      <c r="Z1740" s="486">
        <v>45226</v>
      </c>
      <c r="AA1740" s="197"/>
      <c r="AB1740" s="281"/>
      <c r="AC1740" s="223" t="s">
        <v>566</v>
      </c>
      <c r="AD1740" s="250"/>
      <c r="AE1740" s="494">
        <v>41927</v>
      </c>
      <c r="AF1740" s="494">
        <v>45099</v>
      </c>
      <c r="AG1740" s="241" t="s">
        <v>61</v>
      </c>
      <c r="AH1740" s="283"/>
      <c r="AI1740" s="254"/>
      <c r="AJ1740" s="255" t="s">
        <v>62</v>
      </c>
      <c r="AK1740" s="465">
        <v>1</v>
      </c>
      <c r="AL1740" s="124" t="s">
        <v>558</v>
      </c>
      <c r="AM1740" s="124" t="s">
        <v>552</v>
      </c>
      <c r="AN1740" s="882"/>
      <c r="AO1740" s="883"/>
      <c r="AR1740" s="115"/>
    </row>
    <row r="1741" spans="1:46" s="827" customFormat="1" ht="39" customHeight="1" x14ac:dyDescent="0.3">
      <c r="A1741" s="1468">
        <v>1740</v>
      </c>
      <c r="B1741" s="110"/>
      <c r="C1741" s="596"/>
      <c r="D1741" s="578"/>
      <c r="E1741" s="597"/>
      <c r="F1741" s="597"/>
      <c r="G1741" s="598"/>
      <c r="H1741" s="599"/>
      <c r="I1741" s="578"/>
      <c r="J1741" s="598"/>
      <c r="K1741" s="578"/>
      <c r="L1741" s="602"/>
      <c r="M1741" s="602"/>
      <c r="N1741" s="578"/>
      <c r="O1741" s="602"/>
      <c r="P1741" s="600" t="s">
        <v>306</v>
      </c>
      <c r="Q1741" s="601"/>
      <c r="R1741" s="1008"/>
      <c r="S1741" s="279"/>
      <c r="T1741" s="578"/>
      <c r="U1741" s="250"/>
      <c r="V1741" s="578"/>
      <c r="W1741" s="602"/>
      <c r="X1741" s="602"/>
      <c r="Y1741" s="578"/>
      <c r="Z1741" s="578"/>
      <c r="AA1741" s="578"/>
      <c r="AB1741" s="1295"/>
      <c r="AC1741" s="578"/>
      <c r="AD1741" s="659"/>
      <c r="AE1741" s="494"/>
      <c r="AF1741" s="494"/>
      <c r="AG1741" s="578"/>
      <c r="AH1741" s="578"/>
      <c r="AI1741" s="602"/>
      <c r="AJ1741" s="602"/>
      <c r="AK1741" s="597"/>
      <c r="AL1741" s="191"/>
      <c r="AM1741" s="191"/>
      <c r="AN1741" s="748"/>
      <c r="AO1741" s="750"/>
      <c r="AP1741" s="192"/>
      <c r="AQ1741" s="192"/>
      <c r="AR1741" s="192"/>
      <c r="AS1741" s="192"/>
      <c r="AT1741" s="192"/>
    </row>
    <row r="1742" spans="1:46" ht="39" customHeight="1" x14ac:dyDescent="0.3">
      <c r="A1742" s="1468">
        <v>1741</v>
      </c>
      <c r="B1742" s="110">
        <v>7</v>
      </c>
      <c r="C1742" s="943" t="s">
        <v>307</v>
      </c>
      <c r="D1742" s="451"/>
      <c r="E1742" s="884" t="s">
        <v>47</v>
      </c>
      <c r="F1742" s="884" t="s">
        <v>362</v>
      </c>
      <c r="G1742" s="885" t="s">
        <v>308</v>
      </c>
      <c r="H1742" s="886" t="s">
        <v>132</v>
      </c>
      <c r="I1742" s="371"/>
      <c r="J1742" s="256">
        <v>403</v>
      </c>
      <c r="K1742" s="277"/>
      <c r="L1742" s="1420" t="s">
        <v>5503</v>
      </c>
      <c r="M1742" s="1420" t="s">
        <v>5503</v>
      </c>
      <c r="N1742" s="443"/>
      <c r="O1742" s="216" t="s">
        <v>5644</v>
      </c>
      <c r="P1742" s="402"/>
      <c r="Q1742" s="298" t="s">
        <v>519</v>
      </c>
      <c r="R1742" s="982" t="s">
        <v>5643</v>
      </c>
      <c r="S1742" s="279">
        <v>31105</v>
      </c>
      <c r="T1742" s="443"/>
      <c r="U1742" s="251" t="s">
        <v>54</v>
      </c>
      <c r="V1742" s="197"/>
      <c r="W1742" s="1420" t="s">
        <v>56</v>
      </c>
      <c r="X1742" s="1420" t="s">
        <v>57</v>
      </c>
      <c r="Y1742" s="197"/>
      <c r="Z1742" s="246"/>
      <c r="AA1742" s="486"/>
      <c r="AB1742" s="487"/>
      <c r="AC1742" s="488"/>
      <c r="AD1742" s="441"/>
      <c r="AE1742" s="494"/>
      <c r="AF1742" s="494"/>
      <c r="AG1742" s="476"/>
      <c r="AH1742" s="489"/>
      <c r="AI1742" s="760"/>
      <c r="AJ1742" s="348" t="s">
        <v>560</v>
      </c>
      <c r="AK1742" s="884">
        <v>3</v>
      </c>
      <c r="AL1742" s="177" t="s">
        <v>558</v>
      </c>
      <c r="AM1742" s="177" t="s">
        <v>552</v>
      </c>
      <c r="AN1742" s="169"/>
      <c r="AO1742" s="878"/>
      <c r="AR1742" s="115"/>
    </row>
    <row r="1743" spans="1:46" ht="39" customHeight="1" x14ac:dyDescent="0.3">
      <c r="A1743" s="1468">
        <v>1742</v>
      </c>
      <c r="B1743" s="110">
        <v>3</v>
      </c>
      <c r="C1743" s="722" t="s">
        <v>382</v>
      </c>
      <c r="D1743" s="366"/>
      <c r="E1743" s="219"/>
      <c r="F1743" s="219" t="s">
        <v>362</v>
      </c>
      <c r="G1743" s="610" t="s">
        <v>310</v>
      </c>
      <c r="H1743" s="262" t="s">
        <v>85</v>
      </c>
      <c r="I1743" s="366"/>
      <c r="J1743" s="245" t="s">
        <v>556</v>
      </c>
      <c r="K1743" s="250"/>
      <c r="L1743" s="1420" t="s">
        <v>5503</v>
      </c>
      <c r="M1743" s="1420" t="s">
        <v>5503</v>
      </c>
      <c r="N1743" s="366"/>
      <c r="O1743" s="216" t="s">
        <v>5558</v>
      </c>
      <c r="P1743" s="402"/>
      <c r="Q1743" s="298" t="s">
        <v>87</v>
      </c>
      <c r="R1743" s="982" t="s">
        <v>5557</v>
      </c>
      <c r="S1743" s="279">
        <v>35786</v>
      </c>
      <c r="T1743" s="257"/>
      <c r="U1743" s="251" t="s">
        <v>54</v>
      </c>
      <c r="V1743" s="197"/>
      <c r="W1743" s="1420" t="s">
        <v>56</v>
      </c>
      <c r="X1743" s="1420" t="s">
        <v>57</v>
      </c>
      <c r="Y1743" s="197"/>
      <c r="Z1743" s="246"/>
      <c r="AA1743" s="252"/>
      <c r="AB1743" s="257"/>
      <c r="AC1743" s="223"/>
      <c r="AD1743" s="257"/>
      <c r="AE1743" s="494"/>
      <c r="AF1743" s="494"/>
      <c r="AG1743" s="392"/>
      <c r="AH1743" s="299"/>
      <c r="AI1743" s="254"/>
      <c r="AJ1743" s="348" t="s">
        <v>560</v>
      </c>
      <c r="AK1743" s="219">
        <v>4</v>
      </c>
      <c r="AL1743" s="110" t="s">
        <v>558</v>
      </c>
      <c r="AM1743" s="110" t="s">
        <v>552</v>
      </c>
      <c r="AN1743" s="121" t="s">
        <v>4184</v>
      </c>
      <c r="AO1743" s="3"/>
      <c r="AR1743" s="115"/>
      <c r="AS1743" s="115"/>
      <c r="AT1743" s="115"/>
    </row>
    <row r="1744" spans="1:46" ht="39" customHeight="1" x14ac:dyDescent="0.3">
      <c r="A1744" s="1468">
        <v>1743</v>
      </c>
      <c r="B1744" s="110">
        <v>2</v>
      </c>
      <c r="C1744" s="722" t="s">
        <v>385</v>
      </c>
      <c r="D1744" s="366"/>
      <c r="E1744" s="219"/>
      <c r="F1744" s="219"/>
      <c r="G1744" s="610" t="s">
        <v>386</v>
      </c>
      <c r="H1744" s="262" t="s">
        <v>85</v>
      </c>
      <c r="I1744" s="366"/>
      <c r="J1744" s="245" t="s">
        <v>556</v>
      </c>
      <c r="K1744" s="197"/>
      <c r="L1744" s="1420" t="s">
        <v>5503</v>
      </c>
      <c r="M1744" s="1420" t="s">
        <v>5503</v>
      </c>
      <c r="N1744" s="245"/>
      <c r="O1744" s="216" t="s">
        <v>5554</v>
      </c>
      <c r="P1744" s="402"/>
      <c r="Q1744" s="298" t="s">
        <v>87</v>
      </c>
      <c r="R1744" s="982" t="s">
        <v>5553</v>
      </c>
      <c r="S1744" s="279">
        <v>30580</v>
      </c>
      <c r="T1744" s="197"/>
      <c r="U1744" s="251" t="s">
        <v>54</v>
      </c>
      <c r="V1744" s="197"/>
      <c r="W1744" s="1420" t="s">
        <v>56</v>
      </c>
      <c r="X1744" s="1420" t="s">
        <v>57</v>
      </c>
      <c r="Y1744" s="197"/>
      <c r="Z1744" s="246"/>
      <c r="AA1744" s="252"/>
      <c r="AB1744" s="281"/>
      <c r="AC1744" s="281"/>
      <c r="AD1744" s="281"/>
      <c r="AE1744" s="494"/>
      <c r="AF1744" s="494"/>
      <c r="AG1744" s="282"/>
      <c r="AH1744" s="282"/>
      <c r="AI1744" s="296"/>
      <c r="AJ1744" s="348" t="s">
        <v>560</v>
      </c>
      <c r="AK1744" s="219">
        <v>4</v>
      </c>
      <c r="AL1744" s="110" t="s">
        <v>558</v>
      </c>
      <c r="AM1744" s="110" t="s">
        <v>552</v>
      </c>
      <c r="AN1744" s="121"/>
      <c r="AO1744" s="3"/>
      <c r="AR1744" s="115"/>
      <c r="AS1744" s="115"/>
      <c r="AT1744" s="116"/>
    </row>
    <row r="1745" spans="1:46" ht="39" customHeight="1" x14ac:dyDescent="0.3">
      <c r="A1745" s="1468">
        <v>1744</v>
      </c>
      <c r="B1745" s="141">
        <v>2</v>
      </c>
      <c r="C1745" s="722" t="s">
        <v>311</v>
      </c>
      <c r="D1745" s="366"/>
      <c r="E1745" s="219"/>
      <c r="F1745" s="219" t="s">
        <v>362</v>
      </c>
      <c r="G1745" s="610" t="s">
        <v>312</v>
      </c>
      <c r="H1745" s="262" t="s">
        <v>85</v>
      </c>
      <c r="I1745" s="366"/>
      <c r="J1745" s="245" t="s">
        <v>556</v>
      </c>
      <c r="K1745" s="684"/>
      <c r="L1745" s="1420" t="s">
        <v>5503</v>
      </c>
      <c r="M1745" s="1420" t="s">
        <v>5503</v>
      </c>
      <c r="N1745" s="684"/>
      <c r="O1745" s="216" t="s">
        <v>5592</v>
      </c>
      <c r="P1745" s="402"/>
      <c r="Q1745" s="298" t="s">
        <v>87</v>
      </c>
      <c r="R1745" s="982" t="s">
        <v>5591</v>
      </c>
      <c r="S1745" s="279">
        <v>38149</v>
      </c>
      <c r="T1745" s="684"/>
      <c r="U1745" s="251" t="s">
        <v>54</v>
      </c>
      <c r="V1745" s="684"/>
      <c r="W1745" s="1420" t="s">
        <v>56</v>
      </c>
      <c r="X1745" s="1420" t="s">
        <v>57</v>
      </c>
      <c r="Y1745" s="684"/>
      <c r="Z1745" s="684"/>
      <c r="AA1745" s="684"/>
      <c r="AB1745" s="1290"/>
      <c r="AC1745" s="684"/>
      <c r="AD1745" s="686"/>
      <c r="AE1745" s="494"/>
      <c r="AF1745" s="494"/>
      <c r="AG1745" s="684"/>
      <c r="AH1745" s="684"/>
      <c r="AI1745" s="685"/>
      <c r="AJ1745" s="348" t="s">
        <v>560</v>
      </c>
      <c r="AK1745" s="219">
        <v>4</v>
      </c>
      <c r="AL1745" s="110" t="s">
        <v>558</v>
      </c>
      <c r="AM1745" s="110" t="s">
        <v>552</v>
      </c>
      <c r="AN1745" s="121"/>
      <c r="AO1745" s="3"/>
      <c r="AR1745" s="115"/>
    </row>
    <row r="1746" spans="1:46" ht="39" customHeight="1" x14ac:dyDescent="0.3">
      <c r="A1746" s="1468">
        <v>1745</v>
      </c>
      <c r="B1746" s="110">
        <v>2</v>
      </c>
      <c r="C1746" s="722" t="s">
        <v>317</v>
      </c>
      <c r="D1746" s="366"/>
      <c r="E1746" s="219"/>
      <c r="F1746" s="219" t="s">
        <v>362</v>
      </c>
      <c r="G1746" s="610" t="s">
        <v>318</v>
      </c>
      <c r="H1746" s="262" t="s">
        <v>87</v>
      </c>
      <c r="I1746" s="366"/>
      <c r="J1746" s="245" t="s">
        <v>561</v>
      </c>
      <c r="K1746" s="257"/>
      <c r="L1746" s="1420" t="s">
        <v>5503</v>
      </c>
      <c r="M1746" s="1420" t="s">
        <v>5503</v>
      </c>
      <c r="N1746" s="299"/>
      <c r="O1746" s="216" t="s">
        <v>5588</v>
      </c>
      <c r="P1746" s="402"/>
      <c r="Q1746" s="298" t="s">
        <v>85</v>
      </c>
      <c r="R1746" s="982" t="s">
        <v>5587</v>
      </c>
      <c r="S1746" s="279">
        <v>31639</v>
      </c>
      <c r="T1746" s="197"/>
      <c r="U1746" s="251" t="s">
        <v>54</v>
      </c>
      <c r="V1746" s="197"/>
      <c r="W1746" s="1420" t="s">
        <v>56</v>
      </c>
      <c r="X1746" s="1420" t="s">
        <v>57</v>
      </c>
      <c r="Y1746" s="299"/>
      <c r="Z1746" s="299"/>
      <c r="AA1746" s="289"/>
      <c r="AB1746" s="299"/>
      <c r="AC1746" s="223"/>
      <c r="AD1746" s="299"/>
      <c r="AE1746" s="494"/>
      <c r="AF1746" s="494"/>
      <c r="AG1746" s="299"/>
      <c r="AH1746" s="299"/>
      <c r="AI1746" s="223"/>
      <c r="AJ1746" s="348" t="s">
        <v>560</v>
      </c>
      <c r="AK1746" s="219">
        <v>4</v>
      </c>
      <c r="AL1746" s="110" t="s">
        <v>558</v>
      </c>
      <c r="AM1746" s="110" t="s">
        <v>552</v>
      </c>
      <c r="AN1746" s="121"/>
      <c r="AO1746" s="3"/>
      <c r="AR1746" s="115"/>
    </row>
    <row r="1747" spans="1:46" ht="39" customHeight="1" x14ac:dyDescent="0.3">
      <c r="A1747" s="1468">
        <v>1746</v>
      </c>
      <c r="B1747" s="146">
        <v>2</v>
      </c>
      <c r="C1747" s="722" t="s">
        <v>319</v>
      </c>
      <c r="D1747" s="366"/>
      <c r="E1747" s="219"/>
      <c r="F1747" s="219"/>
      <c r="G1747" s="610" t="s">
        <v>320</v>
      </c>
      <c r="H1747" s="262" t="s">
        <v>87</v>
      </c>
      <c r="I1747" s="366"/>
      <c r="J1747" s="245" t="s">
        <v>561</v>
      </c>
      <c r="K1747" s="216"/>
      <c r="L1747" s="1420" t="s">
        <v>5503</v>
      </c>
      <c r="M1747" s="1420" t="s">
        <v>5503</v>
      </c>
      <c r="N1747" s="299"/>
      <c r="O1747" s="216" t="s">
        <v>5546</v>
      </c>
      <c r="P1747" s="402"/>
      <c r="Q1747" s="298" t="s">
        <v>87</v>
      </c>
      <c r="R1747" s="982" t="s">
        <v>5545</v>
      </c>
      <c r="S1747" s="279">
        <v>27908</v>
      </c>
      <c r="T1747" s="301"/>
      <c r="U1747" s="251" t="s">
        <v>54</v>
      </c>
      <c r="V1747" s="197"/>
      <c r="W1747" s="1420" t="s">
        <v>56</v>
      </c>
      <c r="X1747" s="1420" t="s">
        <v>57</v>
      </c>
      <c r="Y1747" s="197"/>
      <c r="Z1747" s="306"/>
      <c r="AA1747" s="252"/>
      <c r="AB1747" s="281"/>
      <c r="AC1747" s="223"/>
      <c r="AD1747" s="281"/>
      <c r="AE1747" s="494"/>
      <c r="AF1747" s="494"/>
      <c r="AG1747" s="282"/>
      <c r="AH1747" s="283"/>
      <c r="AI1747" s="296"/>
      <c r="AJ1747" s="348" t="s">
        <v>560</v>
      </c>
      <c r="AK1747" s="219">
        <v>4</v>
      </c>
      <c r="AL1747" s="110" t="s">
        <v>558</v>
      </c>
      <c r="AM1747" s="110" t="s">
        <v>552</v>
      </c>
      <c r="AN1747" s="121"/>
      <c r="AO1747" s="3"/>
      <c r="AR1747" s="115"/>
    </row>
    <row r="1748" spans="1:46" ht="39" customHeight="1" x14ac:dyDescent="0.3">
      <c r="A1748" s="1468">
        <v>1747</v>
      </c>
      <c r="B1748" s="141">
        <v>2</v>
      </c>
      <c r="C1748" s="722" t="s">
        <v>321</v>
      </c>
      <c r="D1748" s="366"/>
      <c r="E1748" s="219"/>
      <c r="F1748" s="219"/>
      <c r="G1748" s="610" t="s">
        <v>322</v>
      </c>
      <c r="H1748" s="262" t="s">
        <v>87</v>
      </c>
      <c r="I1748" s="366"/>
      <c r="J1748" s="245" t="s">
        <v>561</v>
      </c>
      <c r="K1748" s="684"/>
      <c r="L1748" s="1420" t="s">
        <v>5503</v>
      </c>
      <c r="M1748" s="1420" t="s">
        <v>5503</v>
      </c>
      <c r="N1748" s="684"/>
      <c r="O1748" s="277" t="s">
        <v>5535</v>
      </c>
      <c r="P1748" s="720"/>
      <c r="Q1748" s="709" t="s">
        <v>87</v>
      </c>
      <c r="R1748" s="998" t="s">
        <v>5534</v>
      </c>
      <c r="S1748" s="279">
        <v>36406</v>
      </c>
      <c r="T1748" s="684"/>
      <c r="U1748" s="251" t="s">
        <v>54</v>
      </c>
      <c r="V1748" s="684"/>
      <c r="W1748" s="1420" t="s">
        <v>56</v>
      </c>
      <c r="X1748" s="1420" t="s">
        <v>57</v>
      </c>
      <c r="Y1748" s="684"/>
      <c r="Z1748" s="684"/>
      <c r="AA1748" s="684"/>
      <c r="AB1748" s="1290"/>
      <c r="AC1748" s="684"/>
      <c r="AD1748" s="686"/>
      <c r="AE1748" s="494"/>
      <c r="AF1748" s="494"/>
      <c r="AG1748" s="684"/>
      <c r="AH1748" s="684"/>
      <c r="AI1748" s="685"/>
      <c r="AJ1748" s="348" t="s">
        <v>560</v>
      </c>
      <c r="AK1748" s="219">
        <v>4</v>
      </c>
      <c r="AL1748" s="110" t="s">
        <v>558</v>
      </c>
      <c r="AM1748" s="110" t="s">
        <v>552</v>
      </c>
      <c r="AN1748" s="121"/>
      <c r="AO1748" s="3"/>
      <c r="AR1748" s="115"/>
    </row>
    <row r="1749" spans="1:46" ht="39" customHeight="1" x14ac:dyDescent="0.3">
      <c r="A1749" s="1468">
        <v>1748</v>
      </c>
      <c r="B1749" s="141">
        <v>1</v>
      </c>
      <c r="C1749" s="939" t="s">
        <v>323</v>
      </c>
      <c r="D1749" s="404"/>
      <c r="E1749" s="622"/>
      <c r="F1749" s="622"/>
      <c r="G1749" s="623" t="s">
        <v>324</v>
      </c>
      <c r="H1749" s="262" t="s">
        <v>87</v>
      </c>
      <c r="I1749" s="404"/>
      <c r="J1749" s="245" t="s">
        <v>561</v>
      </c>
      <c r="K1749" s="216"/>
      <c r="L1749" s="1420" t="s">
        <v>5503</v>
      </c>
      <c r="M1749" s="1420" t="s">
        <v>5503</v>
      </c>
      <c r="N1749" s="366"/>
      <c r="O1749" s="277" t="s">
        <v>5542</v>
      </c>
      <c r="P1749" s="720"/>
      <c r="Q1749" s="709" t="s">
        <v>87</v>
      </c>
      <c r="R1749" s="998" t="s">
        <v>5541</v>
      </c>
      <c r="S1749" s="279">
        <v>37440</v>
      </c>
      <c r="T1749" s="289"/>
      <c r="U1749" s="251" t="s">
        <v>54</v>
      </c>
      <c r="V1749" s="197"/>
      <c r="W1749" s="1420" t="s">
        <v>56</v>
      </c>
      <c r="X1749" s="1420" t="s">
        <v>57</v>
      </c>
      <c r="Y1749" s="197"/>
      <c r="Z1749" s="246"/>
      <c r="AA1749" s="252"/>
      <c r="AB1749" s="301"/>
      <c r="AC1749" s="223"/>
      <c r="AD1749" s="301"/>
      <c r="AE1749" s="494"/>
      <c r="AF1749" s="494"/>
      <c r="AG1749" s="305"/>
      <c r="AH1749" s="301"/>
      <c r="AI1749" s="254"/>
      <c r="AJ1749" s="348" t="s">
        <v>560</v>
      </c>
      <c r="AK1749" s="622">
        <v>4</v>
      </c>
      <c r="AL1749" s="179" t="s">
        <v>558</v>
      </c>
      <c r="AM1749" s="179" t="s">
        <v>552</v>
      </c>
      <c r="AN1749" s="166"/>
      <c r="AO1749" s="875"/>
      <c r="AR1749" s="115"/>
    </row>
    <row r="1750" spans="1:46" ht="39" customHeight="1" x14ac:dyDescent="0.3">
      <c r="A1750" s="1468">
        <v>1749</v>
      </c>
      <c r="B1750" s="110">
        <v>1</v>
      </c>
      <c r="C1750" s="939" t="s">
        <v>325</v>
      </c>
      <c r="D1750" s="404"/>
      <c r="E1750" s="622"/>
      <c r="F1750" s="622"/>
      <c r="G1750" s="623" t="s">
        <v>324</v>
      </c>
      <c r="H1750" s="262" t="s">
        <v>87</v>
      </c>
      <c r="I1750" s="404"/>
      <c r="J1750" s="245" t="s">
        <v>561</v>
      </c>
      <c r="K1750" s="257"/>
      <c r="L1750" s="299" t="s">
        <v>3596</v>
      </c>
      <c r="M1750" s="299" t="s">
        <v>3596</v>
      </c>
      <c r="N1750" s="245"/>
      <c r="O1750" s="392" t="s">
        <v>3600</v>
      </c>
      <c r="P1750" s="706" t="s">
        <v>1828</v>
      </c>
      <c r="Q1750" s="373" t="s">
        <v>87</v>
      </c>
      <c r="R1750" s="982" t="s">
        <v>3599</v>
      </c>
      <c r="S1750" s="279">
        <v>28139</v>
      </c>
      <c r="T1750" s="289"/>
      <c r="U1750" s="251" t="s">
        <v>54</v>
      </c>
      <c r="V1750" s="197" t="s">
        <v>5512</v>
      </c>
      <c r="W1750" s="250" t="s">
        <v>56</v>
      </c>
      <c r="X1750" s="197" t="s">
        <v>57</v>
      </c>
      <c r="Y1750" s="197" t="s">
        <v>5726</v>
      </c>
      <c r="Z1750" s="246">
        <v>45272</v>
      </c>
      <c r="AA1750" s="281"/>
      <c r="AB1750" s="245"/>
      <c r="AC1750" s="223"/>
      <c r="AD1750" s="245"/>
      <c r="AE1750" s="494"/>
      <c r="AF1750" s="494"/>
      <c r="AG1750" s="241"/>
      <c r="AH1750" s="253"/>
      <c r="AI1750" s="284"/>
      <c r="AJ1750" s="348" t="s">
        <v>560</v>
      </c>
      <c r="AK1750" s="622">
        <v>4</v>
      </c>
      <c r="AL1750" s="179" t="s">
        <v>558</v>
      </c>
      <c r="AM1750" s="179" t="s">
        <v>552</v>
      </c>
      <c r="AN1750" s="166"/>
      <c r="AO1750" s="875"/>
      <c r="AR1750" s="115"/>
    </row>
    <row r="1751" spans="1:46" s="827" customFormat="1" ht="39" customHeight="1" x14ac:dyDescent="0.3">
      <c r="A1751" s="1468">
        <v>1750</v>
      </c>
      <c r="B1751" s="110"/>
      <c r="C1751" s="596"/>
      <c r="D1751" s="578"/>
      <c r="E1751" s="597"/>
      <c r="F1751" s="597"/>
      <c r="G1751" s="598"/>
      <c r="H1751" s="599"/>
      <c r="I1751" s="578"/>
      <c r="J1751" s="598"/>
      <c r="K1751" s="578"/>
      <c r="L1751" s="602"/>
      <c r="M1751" s="602"/>
      <c r="N1751" s="578"/>
      <c r="O1751" s="602"/>
      <c r="P1751" s="600" t="s">
        <v>326</v>
      </c>
      <c r="Q1751" s="601"/>
      <c r="R1751" s="1008"/>
      <c r="S1751" s="279"/>
      <c r="T1751" s="578"/>
      <c r="U1751" s="250"/>
      <c r="V1751" s="578"/>
      <c r="W1751" s="602"/>
      <c r="X1751" s="602"/>
      <c r="Y1751" s="578"/>
      <c r="Z1751" s="578"/>
      <c r="AA1751" s="578"/>
      <c r="AB1751" s="1295"/>
      <c r="AC1751" s="578"/>
      <c r="AD1751" s="659"/>
      <c r="AE1751" s="494"/>
      <c r="AF1751" s="494"/>
      <c r="AG1751" s="578"/>
      <c r="AH1751" s="578"/>
      <c r="AI1751" s="602"/>
      <c r="AJ1751" s="602"/>
      <c r="AK1751" s="597"/>
      <c r="AL1751" s="191"/>
      <c r="AM1751" s="191"/>
      <c r="AN1751" s="748"/>
      <c r="AO1751" s="750"/>
      <c r="AP1751" s="192"/>
      <c r="AQ1751" s="192"/>
      <c r="AR1751" s="192"/>
      <c r="AS1751" s="192"/>
      <c r="AT1751" s="192"/>
    </row>
    <row r="1752" spans="1:46" ht="39" customHeight="1" x14ac:dyDescent="0.3">
      <c r="A1752" s="1468">
        <v>1751</v>
      </c>
      <c r="B1752" s="110">
        <v>5</v>
      </c>
      <c r="C1752" s="943" t="s">
        <v>288</v>
      </c>
      <c r="D1752" s="451"/>
      <c r="E1752" s="884" t="s">
        <v>47</v>
      </c>
      <c r="F1752" s="884" t="s">
        <v>362</v>
      </c>
      <c r="G1752" s="885" t="s">
        <v>289</v>
      </c>
      <c r="H1752" s="886" t="s">
        <v>132</v>
      </c>
      <c r="I1752" s="344"/>
      <c r="J1752" s="256">
        <v>403</v>
      </c>
      <c r="K1752" s="277" t="s">
        <v>144</v>
      </c>
      <c r="L1752" s="277" t="s">
        <v>1040</v>
      </c>
      <c r="M1752" s="277" t="s">
        <v>1040</v>
      </c>
      <c r="N1752" s="888"/>
      <c r="O1752" s="277" t="s">
        <v>1041</v>
      </c>
      <c r="P1752" s="720"/>
      <c r="Q1752" s="709" t="s">
        <v>1042</v>
      </c>
      <c r="R1752" s="998" t="s">
        <v>3294</v>
      </c>
      <c r="S1752" s="279">
        <v>36428</v>
      </c>
      <c r="T1752" s="280"/>
      <c r="U1752" s="251" t="s">
        <v>54</v>
      </c>
      <c r="V1752" s="280" t="s">
        <v>1415</v>
      </c>
      <c r="W1752" s="280" t="s">
        <v>6173</v>
      </c>
      <c r="X1752" s="280" t="s">
        <v>57</v>
      </c>
      <c r="Y1752" s="280" t="s">
        <v>1416</v>
      </c>
      <c r="Z1752" s="486">
        <v>45097</v>
      </c>
      <c r="AA1752" s="398"/>
      <c r="AB1752" s="487"/>
      <c r="AC1752" s="488" t="s">
        <v>946</v>
      </c>
      <c r="AD1752" s="487"/>
      <c r="AE1752" s="494">
        <v>44555</v>
      </c>
      <c r="AF1752" s="494">
        <v>45650</v>
      </c>
      <c r="AG1752" s="476" t="s">
        <v>61</v>
      </c>
      <c r="AH1752" s="489"/>
      <c r="AI1752" s="721"/>
      <c r="AJ1752" s="491" t="s">
        <v>560</v>
      </c>
      <c r="AK1752" s="884">
        <v>3</v>
      </c>
      <c r="AL1752" s="177" t="s">
        <v>558</v>
      </c>
      <c r="AM1752" s="177" t="s">
        <v>552</v>
      </c>
      <c r="AN1752" s="169"/>
      <c r="AO1752" s="878"/>
      <c r="AR1752" s="115"/>
    </row>
    <row r="1753" spans="1:46" ht="39" customHeight="1" x14ac:dyDescent="0.3">
      <c r="A1753" s="1468">
        <v>1752</v>
      </c>
      <c r="B1753" s="110">
        <v>3</v>
      </c>
      <c r="C1753" s="722" t="s">
        <v>569</v>
      </c>
      <c r="D1753" s="366"/>
      <c r="E1753" s="219"/>
      <c r="F1753" s="219" t="s">
        <v>362</v>
      </c>
      <c r="G1753" s="610" t="s">
        <v>291</v>
      </c>
      <c r="H1753" s="262" t="s">
        <v>85</v>
      </c>
      <c r="I1753" s="366"/>
      <c r="J1753" s="245" t="s">
        <v>556</v>
      </c>
      <c r="K1753" s="366"/>
      <c r="L1753" s="1420" t="s">
        <v>5503</v>
      </c>
      <c r="M1753" s="1420" t="s">
        <v>5503</v>
      </c>
      <c r="N1753" s="366"/>
      <c r="O1753" s="277" t="s">
        <v>5570</v>
      </c>
      <c r="P1753" s="720"/>
      <c r="Q1753" s="709" t="s">
        <v>87</v>
      </c>
      <c r="R1753" s="998" t="s">
        <v>5569</v>
      </c>
      <c r="S1753" s="279">
        <v>35932</v>
      </c>
      <c r="T1753" s="366"/>
      <c r="U1753" s="251" t="s">
        <v>54</v>
      </c>
      <c r="V1753" s="366"/>
      <c r="W1753" s="1420" t="s">
        <v>56</v>
      </c>
      <c r="X1753" s="1420" t="s">
        <v>57</v>
      </c>
      <c r="Y1753" s="366"/>
      <c r="Z1753" s="366"/>
      <c r="AA1753" s="366"/>
      <c r="AB1753" s="1289"/>
      <c r="AC1753" s="366"/>
      <c r="AD1753" s="658"/>
      <c r="AE1753" s="494"/>
      <c r="AF1753" s="494"/>
      <c r="AG1753" s="366"/>
      <c r="AH1753" s="366"/>
      <c r="AI1753" s="392"/>
      <c r="AJ1753" s="491" t="s">
        <v>560</v>
      </c>
      <c r="AK1753" s="219">
        <v>4</v>
      </c>
      <c r="AL1753" s="110" t="s">
        <v>558</v>
      </c>
      <c r="AM1753" s="110" t="s">
        <v>552</v>
      </c>
      <c r="AN1753" s="121" t="s">
        <v>4184</v>
      </c>
      <c r="AO1753" s="3"/>
      <c r="AR1753" s="115"/>
      <c r="AS1753" s="115"/>
      <c r="AT1753" s="115"/>
    </row>
    <row r="1754" spans="1:46" ht="39" customHeight="1" x14ac:dyDescent="0.3">
      <c r="A1754" s="1468">
        <v>1753</v>
      </c>
      <c r="B1754" s="110">
        <v>2</v>
      </c>
      <c r="C1754" s="722" t="s">
        <v>385</v>
      </c>
      <c r="D1754" s="366"/>
      <c r="E1754" s="219"/>
      <c r="F1754" s="219"/>
      <c r="G1754" s="610" t="s">
        <v>386</v>
      </c>
      <c r="H1754" s="262" t="s">
        <v>85</v>
      </c>
      <c r="I1754" s="366"/>
      <c r="J1754" s="245" t="s">
        <v>556</v>
      </c>
      <c r="K1754" s="216"/>
      <c r="L1754" s="1420" t="s">
        <v>5503</v>
      </c>
      <c r="M1754" s="1420" t="s">
        <v>5503</v>
      </c>
      <c r="N1754" s="366"/>
      <c r="O1754" s="277" t="s">
        <v>5568</v>
      </c>
      <c r="P1754" s="720"/>
      <c r="Q1754" s="709" t="s">
        <v>87</v>
      </c>
      <c r="R1754" s="998" t="s">
        <v>5567</v>
      </c>
      <c r="S1754" s="279">
        <v>35908</v>
      </c>
      <c r="T1754" s="223"/>
      <c r="U1754" s="251" t="s">
        <v>54</v>
      </c>
      <c r="V1754" s="197"/>
      <c r="W1754" s="1420" t="s">
        <v>56</v>
      </c>
      <c r="X1754" s="1420" t="s">
        <v>57</v>
      </c>
      <c r="Y1754" s="197"/>
      <c r="Z1754" s="246"/>
      <c r="AA1754" s="374"/>
      <c r="AB1754" s="223"/>
      <c r="AC1754" s="223"/>
      <c r="AD1754" s="257"/>
      <c r="AE1754" s="494"/>
      <c r="AF1754" s="494"/>
      <c r="AG1754" s="241"/>
      <c r="AH1754" s="299"/>
      <c r="AI1754" s="254"/>
      <c r="AJ1754" s="491" t="s">
        <v>560</v>
      </c>
      <c r="AK1754" s="219">
        <v>4</v>
      </c>
      <c r="AL1754" s="110" t="s">
        <v>558</v>
      </c>
      <c r="AM1754" s="110" t="s">
        <v>552</v>
      </c>
      <c r="AN1754" s="121"/>
      <c r="AO1754" s="3"/>
      <c r="AR1754" s="115"/>
      <c r="AS1754" s="115"/>
      <c r="AT1754" s="116"/>
    </row>
    <row r="1755" spans="1:46" ht="39" customHeight="1" x14ac:dyDescent="0.3">
      <c r="A1755" s="1468">
        <v>1754</v>
      </c>
      <c r="B1755" s="141">
        <v>2</v>
      </c>
      <c r="C1755" s="722" t="s">
        <v>311</v>
      </c>
      <c r="D1755" s="366"/>
      <c r="E1755" s="219"/>
      <c r="F1755" s="219" t="s">
        <v>362</v>
      </c>
      <c r="G1755" s="610" t="s">
        <v>312</v>
      </c>
      <c r="H1755" s="262" t="s">
        <v>85</v>
      </c>
      <c r="I1755" s="366"/>
      <c r="J1755" s="245" t="s">
        <v>556</v>
      </c>
      <c r="K1755" s="684"/>
      <c r="L1755" s="1420" t="s">
        <v>5503</v>
      </c>
      <c r="M1755" s="1420" t="s">
        <v>5503</v>
      </c>
      <c r="N1755" s="684"/>
      <c r="O1755" s="277" t="s">
        <v>5594</v>
      </c>
      <c r="P1755" s="720"/>
      <c r="Q1755" s="709" t="s">
        <v>87</v>
      </c>
      <c r="R1755" s="998" t="s">
        <v>5593</v>
      </c>
      <c r="S1755" s="279">
        <v>30374</v>
      </c>
      <c r="T1755" s="684"/>
      <c r="U1755" s="251" t="s">
        <v>54</v>
      </c>
      <c r="V1755" s="684"/>
      <c r="W1755" s="1420" t="s">
        <v>56</v>
      </c>
      <c r="X1755" s="1420" t="s">
        <v>57</v>
      </c>
      <c r="Y1755" s="684"/>
      <c r="Z1755" s="684"/>
      <c r="AA1755" s="684"/>
      <c r="AB1755" s="1290"/>
      <c r="AC1755" s="684"/>
      <c r="AD1755" s="686"/>
      <c r="AE1755" s="494"/>
      <c r="AF1755" s="494"/>
      <c r="AG1755" s="684"/>
      <c r="AH1755" s="684"/>
      <c r="AI1755" s="685"/>
      <c r="AJ1755" s="491" t="s">
        <v>560</v>
      </c>
      <c r="AK1755" s="219">
        <v>4</v>
      </c>
      <c r="AL1755" s="110" t="s">
        <v>558</v>
      </c>
      <c r="AM1755" s="110" t="s">
        <v>552</v>
      </c>
      <c r="AN1755" s="121"/>
      <c r="AO1755" s="3"/>
      <c r="AR1755" s="115"/>
    </row>
    <row r="1756" spans="1:46" ht="39" customHeight="1" x14ac:dyDescent="0.3">
      <c r="A1756" s="1468">
        <v>1755</v>
      </c>
      <c r="B1756" s="110">
        <v>2</v>
      </c>
      <c r="C1756" s="722" t="s">
        <v>317</v>
      </c>
      <c r="D1756" s="366"/>
      <c r="E1756" s="219"/>
      <c r="F1756" s="219" t="s">
        <v>362</v>
      </c>
      <c r="G1756" s="610" t="s">
        <v>318</v>
      </c>
      <c r="H1756" s="262" t="s">
        <v>87</v>
      </c>
      <c r="I1756" s="366"/>
      <c r="J1756" s="245" t="s">
        <v>561</v>
      </c>
      <c r="K1756" s="197"/>
      <c r="L1756" s="1420" t="s">
        <v>5503</v>
      </c>
      <c r="M1756" s="1420" t="s">
        <v>5503</v>
      </c>
      <c r="N1756" s="245"/>
      <c r="O1756" s="277" t="s">
        <v>5626</v>
      </c>
      <c r="P1756" s="720"/>
      <c r="Q1756" s="709" t="s">
        <v>87</v>
      </c>
      <c r="R1756" s="998" t="s">
        <v>5625</v>
      </c>
      <c r="S1756" s="279">
        <v>29392</v>
      </c>
      <c r="T1756" s="250"/>
      <c r="U1756" s="251" t="s">
        <v>54</v>
      </c>
      <c r="V1756" s="197"/>
      <c r="W1756" s="1420" t="s">
        <v>56</v>
      </c>
      <c r="X1756" s="1420" t="s">
        <v>57</v>
      </c>
      <c r="Y1756" s="197"/>
      <c r="Z1756" s="246"/>
      <c r="AA1756" s="252"/>
      <c r="AB1756" s="281"/>
      <c r="AC1756" s="281"/>
      <c r="AD1756" s="281"/>
      <c r="AE1756" s="494"/>
      <c r="AF1756" s="494"/>
      <c r="AG1756" s="282"/>
      <c r="AH1756" s="282"/>
      <c r="AI1756" s="296"/>
      <c r="AJ1756" s="491" t="s">
        <v>560</v>
      </c>
      <c r="AK1756" s="219">
        <v>4</v>
      </c>
      <c r="AL1756" s="110" t="s">
        <v>558</v>
      </c>
      <c r="AM1756" s="110" t="s">
        <v>552</v>
      </c>
      <c r="AN1756" s="121"/>
      <c r="AO1756" s="3"/>
      <c r="AR1756" s="115"/>
    </row>
    <row r="1757" spans="1:46" ht="39" customHeight="1" x14ac:dyDescent="0.3">
      <c r="A1757" s="1468">
        <v>1756</v>
      </c>
      <c r="B1757" s="146">
        <v>2</v>
      </c>
      <c r="C1757" s="722" t="s">
        <v>319</v>
      </c>
      <c r="D1757" s="366"/>
      <c r="E1757" s="219"/>
      <c r="F1757" s="219"/>
      <c r="G1757" s="610" t="s">
        <v>320</v>
      </c>
      <c r="H1757" s="262" t="s">
        <v>87</v>
      </c>
      <c r="I1757" s="366"/>
      <c r="J1757" s="245" t="s">
        <v>561</v>
      </c>
      <c r="K1757" s="216"/>
      <c r="L1757" s="1420" t="s">
        <v>5503</v>
      </c>
      <c r="M1757" s="1420" t="s">
        <v>5503</v>
      </c>
      <c r="N1757" s="366"/>
      <c r="O1757" s="277" t="s">
        <v>5586</v>
      </c>
      <c r="P1757" s="720"/>
      <c r="Q1757" s="709" t="s">
        <v>87</v>
      </c>
      <c r="R1757" s="998" t="s">
        <v>5585</v>
      </c>
      <c r="S1757" s="279">
        <v>33938</v>
      </c>
      <c r="T1757" s="250"/>
      <c r="U1757" s="251" t="s">
        <v>54</v>
      </c>
      <c r="V1757" s="250"/>
      <c r="W1757" s="1420" t="s">
        <v>56</v>
      </c>
      <c r="X1757" s="1420" t="s">
        <v>57</v>
      </c>
      <c r="Y1757" s="299"/>
      <c r="Z1757" s="299"/>
      <c r="AA1757" s="289"/>
      <c r="AB1757" s="299"/>
      <c r="AC1757" s="223"/>
      <c r="AD1757" s="299"/>
      <c r="AE1757" s="494"/>
      <c r="AF1757" s="494"/>
      <c r="AG1757" s="299"/>
      <c r="AH1757" s="299"/>
      <c r="AI1757" s="296"/>
      <c r="AJ1757" s="491" t="s">
        <v>560</v>
      </c>
      <c r="AK1757" s="219">
        <v>4</v>
      </c>
      <c r="AL1757" s="110" t="s">
        <v>558</v>
      </c>
      <c r="AM1757" s="110" t="s">
        <v>552</v>
      </c>
      <c r="AN1757" s="121"/>
      <c r="AO1757" s="3"/>
      <c r="AR1757" s="115"/>
    </row>
    <row r="1758" spans="1:46" ht="39" customHeight="1" x14ac:dyDescent="0.3">
      <c r="A1758" s="1468">
        <v>1757</v>
      </c>
      <c r="B1758" s="141">
        <v>2</v>
      </c>
      <c r="C1758" s="722" t="s">
        <v>321</v>
      </c>
      <c r="D1758" s="366"/>
      <c r="E1758" s="219"/>
      <c r="F1758" s="219"/>
      <c r="G1758" s="610" t="s">
        <v>322</v>
      </c>
      <c r="H1758" s="262" t="s">
        <v>87</v>
      </c>
      <c r="I1758" s="366"/>
      <c r="J1758" s="245" t="s">
        <v>561</v>
      </c>
      <c r="K1758" s="216" t="s">
        <v>313</v>
      </c>
      <c r="L1758" s="250" t="s">
        <v>314</v>
      </c>
      <c r="M1758" s="250" t="s">
        <v>314</v>
      </c>
      <c r="N1758" s="366"/>
      <c r="O1758" s="951" t="s">
        <v>2198</v>
      </c>
      <c r="P1758" s="304"/>
      <c r="Q1758" s="344" t="s">
        <v>293</v>
      </c>
      <c r="R1758" s="982" t="s">
        <v>1405</v>
      </c>
      <c r="S1758" s="279">
        <v>38298</v>
      </c>
      <c r="T1758" s="250"/>
      <c r="U1758" s="251" t="s">
        <v>54</v>
      </c>
      <c r="V1758" s="197" t="s">
        <v>315</v>
      </c>
      <c r="W1758" s="197" t="s">
        <v>56</v>
      </c>
      <c r="X1758" s="197" t="s">
        <v>302</v>
      </c>
      <c r="Y1758" s="197" t="s">
        <v>316</v>
      </c>
      <c r="Z1758" s="246">
        <v>44954</v>
      </c>
      <c r="AA1758" s="252"/>
      <c r="AB1758" s="288"/>
      <c r="AC1758" s="223"/>
      <c r="AD1758" s="288"/>
      <c r="AE1758" s="494">
        <v>44898</v>
      </c>
      <c r="AF1758" s="494">
        <v>45262</v>
      </c>
      <c r="AG1758" s="282" t="s">
        <v>61</v>
      </c>
      <c r="AH1758" s="283"/>
      <c r="AI1758" s="393"/>
      <c r="AJ1758" s="348" t="s">
        <v>560</v>
      </c>
      <c r="AK1758" s="219">
        <v>4</v>
      </c>
      <c r="AL1758" s="110" t="s">
        <v>558</v>
      </c>
      <c r="AM1758" s="110" t="s">
        <v>552</v>
      </c>
      <c r="AN1758" s="121"/>
      <c r="AO1758" s="3"/>
      <c r="AR1758" s="115"/>
    </row>
    <row r="1759" spans="1:46" ht="39" customHeight="1" x14ac:dyDescent="0.3">
      <c r="A1759" s="1468">
        <v>1758</v>
      </c>
      <c r="B1759" s="141">
        <v>1</v>
      </c>
      <c r="C1759" s="722" t="s">
        <v>323</v>
      </c>
      <c r="D1759" s="366"/>
      <c r="E1759" s="219"/>
      <c r="F1759" s="219"/>
      <c r="G1759" s="610" t="s">
        <v>324</v>
      </c>
      <c r="H1759" s="262" t="s">
        <v>87</v>
      </c>
      <c r="I1759" s="366"/>
      <c r="J1759" s="245" t="s">
        <v>561</v>
      </c>
      <c r="K1759" s="216"/>
      <c r="L1759" s="299"/>
      <c r="M1759" s="299"/>
      <c r="N1759" s="245"/>
      <c r="O1759" s="385" t="s">
        <v>3470</v>
      </c>
      <c r="P1759" s="247" t="s">
        <v>1828</v>
      </c>
      <c r="Q1759" s="344" t="s">
        <v>570</v>
      </c>
      <c r="R1759" s="982" t="s">
        <v>3469</v>
      </c>
      <c r="S1759" s="279">
        <v>28470</v>
      </c>
      <c r="T1759" s="289"/>
      <c r="U1759" s="251" t="s">
        <v>54</v>
      </c>
      <c r="V1759" s="197" t="s">
        <v>5512</v>
      </c>
      <c r="W1759" s="250" t="s">
        <v>56</v>
      </c>
      <c r="X1759" s="197" t="s">
        <v>57</v>
      </c>
      <c r="Y1759" s="197" t="s">
        <v>5726</v>
      </c>
      <c r="Z1759" s="246">
        <v>45272</v>
      </c>
      <c r="AA1759" s="281"/>
      <c r="AB1759" s="245"/>
      <c r="AC1759" s="223"/>
      <c r="AD1759" s="245"/>
      <c r="AE1759" s="494"/>
      <c r="AF1759" s="494"/>
      <c r="AG1759" s="241"/>
      <c r="AH1759" s="253"/>
      <c r="AI1759" s="284"/>
      <c r="AJ1759" s="348" t="s">
        <v>560</v>
      </c>
      <c r="AK1759" s="219">
        <v>4</v>
      </c>
      <c r="AL1759" s="110" t="s">
        <v>558</v>
      </c>
      <c r="AM1759" s="110" t="s">
        <v>552</v>
      </c>
      <c r="AN1759" s="121"/>
      <c r="AO1759" s="3"/>
      <c r="AR1759" s="115"/>
    </row>
    <row r="1760" spans="1:46" ht="39" customHeight="1" x14ac:dyDescent="0.3">
      <c r="A1760" s="1468">
        <v>1759</v>
      </c>
      <c r="B1760" s="110">
        <v>1</v>
      </c>
      <c r="C1760" s="939" t="s">
        <v>325</v>
      </c>
      <c r="D1760" s="404"/>
      <c r="E1760" s="622"/>
      <c r="F1760" s="622"/>
      <c r="G1760" s="623" t="s">
        <v>324</v>
      </c>
      <c r="H1760" s="262" t="s">
        <v>87</v>
      </c>
      <c r="I1760" s="404"/>
      <c r="J1760" s="245" t="s">
        <v>561</v>
      </c>
      <c r="K1760" s="305"/>
      <c r="L1760" s="281" t="s">
        <v>3596</v>
      </c>
      <c r="M1760" s="281" t="s">
        <v>3596</v>
      </c>
      <c r="N1760" s="366"/>
      <c r="O1760" s="392" t="s">
        <v>3598</v>
      </c>
      <c r="P1760" s="247" t="s">
        <v>1828</v>
      </c>
      <c r="Q1760" s="373" t="s">
        <v>87</v>
      </c>
      <c r="R1760" s="982" t="s">
        <v>3597</v>
      </c>
      <c r="S1760" s="279">
        <v>29876</v>
      </c>
      <c r="T1760" s="197"/>
      <c r="U1760" s="251" t="s">
        <v>54</v>
      </c>
      <c r="V1760" s="197" t="s">
        <v>5512</v>
      </c>
      <c r="W1760" s="250" t="s">
        <v>56</v>
      </c>
      <c r="X1760" s="197" t="s">
        <v>57</v>
      </c>
      <c r="Y1760" s="197" t="s">
        <v>5726</v>
      </c>
      <c r="Z1760" s="246">
        <v>45272</v>
      </c>
      <c r="AA1760" s="246"/>
      <c r="AB1760" s="361"/>
      <c r="AC1760" s="223"/>
      <c r="AD1760" s="376"/>
      <c r="AE1760" s="494"/>
      <c r="AF1760" s="494"/>
      <c r="AG1760" s="241"/>
      <c r="AH1760" s="283"/>
      <c r="AI1760" s="254"/>
      <c r="AJ1760" s="348" t="s">
        <v>560</v>
      </c>
      <c r="AK1760" s="622">
        <v>4</v>
      </c>
      <c r="AL1760" s="179" t="s">
        <v>558</v>
      </c>
      <c r="AM1760" s="179" t="s">
        <v>552</v>
      </c>
      <c r="AN1760" s="166"/>
      <c r="AO1760" s="875"/>
      <c r="AR1760" s="115"/>
    </row>
    <row r="1761" spans="1:46" s="827" customFormat="1" ht="39" customHeight="1" x14ac:dyDescent="0.3">
      <c r="A1761" s="1468">
        <v>1760</v>
      </c>
      <c r="B1761" s="110"/>
      <c r="C1761" s="596"/>
      <c r="D1761" s="578"/>
      <c r="E1761" s="597"/>
      <c r="F1761" s="597"/>
      <c r="G1761" s="598"/>
      <c r="H1761" s="599"/>
      <c r="I1761" s="578"/>
      <c r="J1761" s="598"/>
      <c r="K1761" s="578"/>
      <c r="L1761" s="602"/>
      <c r="M1761" s="602"/>
      <c r="N1761" s="578"/>
      <c r="O1761" s="602"/>
      <c r="P1761" s="600" t="s">
        <v>327</v>
      </c>
      <c r="Q1761" s="601"/>
      <c r="R1761" s="1008"/>
      <c r="S1761" s="279"/>
      <c r="T1761" s="578"/>
      <c r="U1761" s="250"/>
      <c r="V1761" s="578"/>
      <c r="W1761" s="602"/>
      <c r="X1761" s="602"/>
      <c r="Y1761" s="578"/>
      <c r="Z1761" s="578"/>
      <c r="AA1761" s="578"/>
      <c r="AB1761" s="1295"/>
      <c r="AC1761" s="578"/>
      <c r="AD1761" s="659"/>
      <c r="AE1761" s="494"/>
      <c r="AF1761" s="494"/>
      <c r="AG1761" s="578"/>
      <c r="AH1761" s="578"/>
      <c r="AI1761" s="602"/>
      <c r="AJ1761" s="602"/>
      <c r="AK1761" s="597"/>
      <c r="AL1761" s="191"/>
      <c r="AM1761" s="191"/>
      <c r="AN1761" s="748"/>
      <c r="AO1761" s="750"/>
      <c r="AP1761" s="192"/>
      <c r="AQ1761" s="192"/>
      <c r="AR1761" s="192"/>
      <c r="AS1761" s="192"/>
      <c r="AT1761" s="192"/>
    </row>
    <row r="1762" spans="1:46" ht="39" customHeight="1" x14ac:dyDescent="0.3">
      <c r="A1762" s="1468">
        <v>1761</v>
      </c>
      <c r="B1762" s="110">
        <v>5</v>
      </c>
      <c r="C1762" s="943" t="s">
        <v>288</v>
      </c>
      <c r="D1762" s="451"/>
      <c r="E1762" s="884" t="s">
        <v>47</v>
      </c>
      <c r="F1762" s="884" t="s">
        <v>362</v>
      </c>
      <c r="G1762" s="885" t="s">
        <v>289</v>
      </c>
      <c r="H1762" s="886" t="s">
        <v>132</v>
      </c>
      <c r="I1762" s="344"/>
      <c r="J1762" s="256">
        <v>403</v>
      </c>
      <c r="K1762" s="277"/>
      <c r="L1762" s="1420" t="s">
        <v>5503</v>
      </c>
      <c r="M1762" s="1420" t="s">
        <v>5503</v>
      </c>
      <c r="N1762" s="441"/>
      <c r="O1762" s="1420" t="s">
        <v>5525</v>
      </c>
      <c r="P1762" s="247"/>
      <c r="Q1762" s="373" t="s">
        <v>567</v>
      </c>
      <c r="R1762" s="982" t="s">
        <v>5524</v>
      </c>
      <c r="S1762" s="279">
        <v>35158</v>
      </c>
      <c r="T1762" s="280"/>
      <c r="U1762" s="251" t="s">
        <v>54</v>
      </c>
      <c r="V1762" s="452"/>
      <c r="W1762" s="1420" t="s">
        <v>56</v>
      </c>
      <c r="X1762" s="1420" t="s">
        <v>57</v>
      </c>
      <c r="Y1762" s="452"/>
      <c r="Z1762" s="452"/>
      <c r="AA1762" s="398"/>
      <c r="AB1762" s="487"/>
      <c r="AC1762" s="488"/>
      <c r="AD1762" s="487"/>
      <c r="AE1762" s="494"/>
      <c r="AF1762" s="494"/>
      <c r="AG1762" s="476"/>
      <c r="AH1762" s="489"/>
      <c r="AI1762" s="712"/>
      <c r="AJ1762" s="348" t="s">
        <v>560</v>
      </c>
      <c r="AK1762" s="884">
        <v>3</v>
      </c>
      <c r="AL1762" s="177" t="s">
        <v>558</v>
      </c>
      <c r="AM1762" s="177" t="s">
        <v>552</v>
      </c>
      <c r="AN1762" s="169"/>
      <c r="AO1762" s="878"/>
      <c r="AR1762" s="115"/>
    </row>
    <row r="1763" spans="1:46" ht="39" customHeight="1" x14ac:dyDescent="0.3">
      <c r="A1763" s="1468">
        <v>1762</v>
      </c>
      <c r="B1763" s="110">
        <v>3</v>
      </c>
      <c r="C1763" s="722" t="s">
        <v>569</v>
      </c>
      <c r="D1763" s="366"/>
      <c r="E1763" s="219"/>
      <c r="F1763" s="219" t="s">
        <v>362</v>
      </c>
      <c r="G1763" s="610" t="s">
        <v>291</v>
      </c>
      <c r="H1763" s="262" t="s">
        <v>85</v>
      </c>
      <c r="I1763" s="366"/>
      <c r="J1763" s="245" t="s">
        <v>556</v>
      </c>
      <c r="K1763" s="257"/>
      <c r="L1763" s="1420" t="s">
        <v>5503</v>
      </c>
      <c r="M1763" s="1420" t="s">
        <v>5503</v>
      </c>
      <c r="N1763" s="299"/>
      <c r="O1763" s="1420" t="s">
        <v>5650</v>
      </c>
      <c r="P1763" s="247"/>
      <c r="Q1763" s="373" t="s">
        <v>87</v>
      </c>
      <c r="R1763" s="982" t="s">
        <v>5649</v>
      </c>
      <c r="S1763" s="279">
        <v>26680</v>
      </c>
      <c r="T1763" s="289"/>
      <c r="U1763" s="251" t="s">
        <v>54</v>
      </c>
      <c r="V1763" s="299"/>
      <c r="W1763" s="1420" t="s">
        <v>56</v>
      </c>
      <c r="X1763" s="1420" t="s">
        <v>57</v>
      </c>
      <c r="Y1763" s="299"/>
      <c r="Z1763" s="299"/>
      <c r="AA1763" s="289"/>
      <c r="AB1763" s="299"/>
      <c r="AC1763" s="223"/>
      <c r="AD1763" s="299"/>
      <c r="AE1763" s="494"/>
      <c r="AF1763" s="494"/>
      <c r="AG1763" s="299"/>
      <c r="AH1763" s="299"/>
      <c r="AI1763" s="223"/>
      <c r="AJ1763" s="348" t="s">
        <v>560</v>
      </c>
      <c r="AK1763" s="219">
        <v>4</v>
      </c>
      <c r="AL1763" s="110" t="s">
        <v>558</v>
      </c>
      <c r="AM1763" s="110" t="s">
        <v>552</v>
      </c>
      <c r="AN1763" s="121" t="s">
        <v>4184</v>
      </c>
      <c r="AO1763" s="3"/>
      <c r="AR1763" s="115"/>
      <c r="AS1763" s="115"/>
      <c r="AT1763" s="115"/>
    </row>
    <row r="1764" spans="1:46" ht="39" customHeight="1" x14ac:dyDescent="0.3">
      <c r="A1764" s="1468">
        <v>1763</v>
      </c>
      <c r="B1764" s="110">
        <v>2</v>
      </c>
      <c r="C1764" s="722" t="s">
        <v>385</v>
      </c>
      <c r="D1764" s="366"/>
      <c r="E1764" s="219"/>
      <c r="F1764" s="219"/>
      <c r="G1764" s="610" t="s">
        <v>386</v>
      </c>
      <c r="H1764" s="262" t="s">
        <v>85</v>
      </c>
      <c r="I1764" s="366"/>
      <c r="J1764" s="245" t="s">
        <v>556</v>
      </c>
      <c r="K1764" s="216"/>
      <c r="L1764" s="1420" t="s">
        <v>5503</v>
      </c>
      <c r="M1764" s="1420" t="s">
        <v>5503</v>
      </c>
      <c r="N1764" s="366"/>
      <c r="O1764" s="1420" t="s">
        <v>5580</v>
      </c>
      <c r="P1764" s="247"/>
      <c r="Q1764" s="373" t="s">
        <v>87</v>
      </c>
      <c r="R1764" s="982" t="s">
        <v>5579</v>
      </c>
      <c r="S1764" s="279">
        <v>29602</v>
      </c>
      <c r="T1764" s="197"/>
      <c r="U1764" s="251" t="s">
        <v>54</v>
      </c>
      <c r="V1764" s="197"/>
      <c r="W1764" s="1420" t="s">
        <v>56</v>
      </c>
      <c r="X1764" s="1420" t="s">
        <v>57</v>
      </c>
      <c r="Y1764" s="197"/>
      <c r="Z1764" s="246"/>
      <c r="AA1764" s="252"/>
      <c r="AB1764" s="245"/>
      <c r="AC1764" s="223"/>
      <c r="AD1764" s="245"/>
      <c r="AE1764" s="494"/>
      <c r="AF1764" s="494"/>
      <c r="AG1764" s="385"/>
      <c r="AH1764" s="253"/>
      <c r="AI1764" s="386"/>
      <c r="AJ1764" s="348" t="s">
        <v>560</v>
      </c>
      <c r="AK1764" s="219">
        <v>4</v>
      </c>
      <c r="AL1764" s="110" t="s">
        <v>558</v>
      </c>
      <c r="AM1764" s="110" t="s">
        <v>552</v>
      </c>
      <c r="AN1764" s="121"/>
      <c r="AO1764" s="3"/>
      <c r="AR1764" s="115"/>
      <c r="AS1764" s="115"/>
      <c r="AT1764" s="116"/>
    </row>
    <row r="1765" spans="1:46" ht="39" customHeight="1" x14ac:dyDescent="0.3">
      <c r="A1765" s="1468">
        <v>1764</v>
      </c>
      <c r="B1765" s="141">
        <v>2</v>
      </c>
      <c r="C1765" s="722" t="s">
        <v>311</v>
      </c>
      <c r="D1765" s="366"/>
      <c r="E1765" s="219"/>
      <c r="F1765" s="219" t="s">
        <v>362</v>
      </c>
      <c r="G1765" s="610" t="s">
        <v>312</v>
      </c>
      <c r="H1765" s="262" t="s">
        <v>85</v>
      </c>
      <c r="I1765" s="366"/>
      <c r="J1765" s="245" t="s">
        <v>556</v>
      </c>
      <c r="K1765" s="216"/>
      <c r="L1765" s="1420" t="s">
        <v>5503</v>
      </c>
      <c r="M1765" s="1420" t="s">
        <v>5503</v>
      </c>
      <c r="N1765" s="245"/>
      <c r="O1765" s="1420" t="s">
        <v>5642</v>
      </c>
      <c r="P1765" s="247"/>
      <c r="Q1765" s="373" t="s">
        <v>87</v>
      </c>
      <c r="R1765" s="982" t="s">
        <v>5641</v>
      </c>
      <c r="S1765" s="279">
        <v>34541</v>
      </c>
      <c r="T1765" s="197"/>
      <c r="U1765" s="251" t="s">
        <v>54</v>
      </c>
      <c r="V1765" s="197"/>
      <c r="W1765" s="1420" t="s">
        <v>56</v>
      </c>
      <c r="X1765" s="1420" t="s">
        <v>57</v>
      </c>
      <c r="Y1765" s="197"/>
      <c r="Z1765" s="246"/>
      <c r="AA1765" s="252"/>
      <c r="AB1765" s="282"/>
      <c r="AC1765" s="223"/>
      <c r="AD1765" s="282"/>
      <c r="AE1765" s="494"/>
      <c r="AF1765" s="494"/>
      <c r="AG1765" s="282"/>
      <c r="AH1765" s="283"/>
      <c r="AI1765" s="401"/>
      <c r="AJ1765" s="348" t="s">
        <v>560</v>
      </c>
      <c r="AK1765" s="219">
        <v>4</v>
      </c>
      <c r="AL1765" s="110" t="s">
        <v>558</v>
      </c>
      <c r="AM1765" s="110" t="s">
        <v>552</v>
      </c>
      <c r="AN1765" s="121"/>
      <c r="AO1765" s="3"/>
      <c r="AR1765" s="115"/>
    </row>
    <row r="1766" spans="1:46" ht="39" customHeight="1" x14ac:dyDescent="0.3">
      <c r="A1766" s="1468">
        <v>1765</v>
      </c>
      <c r="B1766" s="110">
        <v>2</v>
      </c>
      <c r="C1766" s="722" t="s">
        <v>317</v>
      </c>
      <c r="D1766" s="366"/>
      <c r="E1766" s="219"/>
      <c r="F1766" s="219" t="s">
        <v>362</v>
      </c>
      <c r="G1766" s="610" t="s">
        <v>318</v>
      </c>
      <c r="H1766" s="262" t="s">
        <v>87</v>
      </c>
      <c r="I1766" s="366"/>
      <c r="J1766" s="245" t="s">
        <v>561</v>
      </c>
      <c r="K1766" s="216"/>
      <c r="L1766" s="1420" t="s">
        <v>5503</v>
      </c>
      <c r="M1766" s="1420" t="s">
        <v>5503</v>
      </c>
      <c r="N1766" s="366"/>
      <c r="O1766" s="1420" t="s">
        <v>5628</v>
      </c>
      <c r="P1766" s="247"/>
      <c r="Q1766" s="373" t="s">
        <v>87</v>
      </c>
      <c r="R1766" s="982" t="s">
        <v>5627</v>
      </c>
      <c r="S1766" s="279">
        <v>29885</v>
      </c>
      <c r="T1766" s="306"/>
      <c r="U1766" s="251" t="s">
        <v>54</v>
      </c>
      <c r="V1766" s="197"/>
      <c r="W1766" s="1420" t="s">
        <v>56</v>
      </c>
      <c r="X1766" s="1420" t="s">
        <v>57</v>
      </c>
      <c r="Y1766" s="197"/>
      <c r="Z1766" s="246"/>
      <c r="AA1766" s="246"/>
      <c r="AB1766" s="250"/>
      <c r="AC1766" s="223"/>
      <c r="AD1766" s="281"/>
      <c r="AE1766" s="494"/>
      <c r="AF1766" s="494"/>
      <c r="AG1766" s="282"/>
      <c r="AH1766" s="283"/>
      <c r="AI1766" s="296"/>
      <c r="AJ1766" s="348" t="s">
        <v>560</v>
      </c>
      <c r="AK1766" s="219">
        <v>4</v>
      </c>
      <c r="AL1766" s="110" t="s">
        <v>558</v>
      </c>
      <c r="AM1766" s="110" t="s">
        <v>552</v>
      </c>
      <c r="AN1766" s="121"/>
      <c r="AO1766" s="3"/>
      <c r="AR1766" s="115"/>
    </row>
    <row r="1767" spans="1:46" ht="39" customHeight="1" x14ac:dyDescent="0.3">
      <c r="A1767" s="1468">
        <v>1766</v>
      </c>
      <c r="B1767" s="146">
        <v>2</v>
      </c>
      <c r="C1767" s="722" t="s">
        <v>319</v>
      </c>
      <c r="D1767" s="366"/>
      <c r="E1767" s="219"/>
      <c r="F1767" s="219"/>
      <c r="G1767" s="610" t="s">
        <v>320</v>
      </c>
      <c r="H1767" s="262" t="s">
        <v>87</v>
      </c>
      <c r="I1767" s="366"/>
      <c r="J1767" s="245" t="s">
        <v>561</v>
      </c>
      <c r="K1767" s="684"/>
      <c r="L1767" s="1420" t="s">
        <v>5503</v>
      </c>
      <c r="M1767" s="1420" t="s">
        <v>5503</v>
      </c>
      <c r="N1767" s="684"/>
      <c r="O1767" s="1420" t="s">
        <v>5646</v>
      </c>
      <c r="P1767" s="247"/>
      <c r="Q1767" s="373" t="s">
        <v>87</v>
      </c>
      <c r="R1767" s="982" t="s">
        <v>5645</v>
      </c>
      <c r="S1767" s="279">
        <v>28669</v>
      </c>
      <c r="T1767" s="684"/>
      <c r="U1767" s="251" t="s">
        <v>54</v>
      </c>
      <c r="V1767" s="684"/>
      <c r="W1767" s="1420" t="s">
        <v>56</v>
      </c>
      <c r="X1767" s="1420" t="s">
        <v>57</v>
      </c>
      <c r="Y1767" s="684"/>
      <c r="Z1767" s="684"/>
      <c r="AA1767" s="684"/>
      <c r="AB1767" s="1290"/>
      <c r="AC1767" s="684"/>
      <c r="AD1767" s="686"/>
      <c r="AE1767" s="494"/>
      <c r="AF1767" s="494"/>
      <c r="AG1767" s="684"/>
      <c r="AH1767" s="684"/>
      <c r="AI1767" s="685"/>
      <c r="AJ1767" s="348" t="s">
        <v>560</v>
      </c>
      <c r="AK1767" s="219">
        <v>4</v>
      </c>
      <c r="AL1767" s="110" t="s">
        <v>558</v>
      </c>
      <c r="AM1767" s="110" t="s">
        <v>552</v>
      </c>
      <c r="AN1767" s="121"/>
      <c r="AO1767" s="3"/>
      <c r="AR1767" s="115"/>
    </row>
    <row r="1768" spans="1:46" ht="39" customHeight="1" x14ac:dyDescent="0.3">
      <c r="A1768" s="1468">
        <v>1767</v>
      </c>
      <c r="B1768" s="141">
        <v>2</v>
      </c>
      <c r="C1768" s="722" t="s">
        <v>321</v>
      </c>
      <c r="D1768" s="366"/>
      <c r="E1768" s="219"/>
      <c r="F1768" s="219"/>
      <c r="G1768" s="610" t="s">
        <v>322</v>
      </c>
      <c r="H1768" s="262" t="s">
        <v>87</v>
      </c>
      <c r="I1768" s="366"/>
      <c r="J1768" s="245" t="s">
        <v>561</v>
      </c>
      <c r="K1768" s="216" t="s">
        <v>313</v>
      </c>
      <c r="L1768" s="245" t="s">
        <v>1249</v>
      </c>
      <c r="M1768" s="216" t="s">
        <v>1250</v>
      </c>
      <c r="N1768" s="245"/>
      <c r="O1768" s="216" t="s">
        <v>1251</v>
      </c>
      <c r="P1768" s="304"/>
      <c r="Q1768" s="375" t="s">
        <v>293</v>
      </c>
      <c r="R1768" s="982" t="s">
        <v>1252</v>
      </c>
      <c r="S1768" s="279">
        <v>37182</v>
      </c>
      <c r="T1768" s="250"/>
      <c r="U1768" s="251" t="s">
        <v>54</v>
      </c>
      <c r="V1768" s="197" t="s">
        <v>55</v>
      </c>
      <c r="W1768" s="197" t="s">
        <v>56</v>
      </c>
      <c r="X1768" s="197" t="s">
        <v>57</v>
      </c>
      <c r="Y1768" s="197" t="s">
        <v>58</v>
      </c>
      <c r="Z1768" s="246">
        <v>44783</v>
      </c>
      <c r="AA1768" s="252"/>
      <c r="AB1768" s="281"/>
      <c r="AC1768" s="223" t="s">
        <v>946</v>
      </c>
      <c r="AD1768" s="657"/>
      <c r="AE1768" s="494">
        <v>44540</v>
      </c>
      <c r="AF1768" s="494">
        <v>45269</v>
      </c>
      <c r="AG1768" s="305" t="s">
        <v>61</v>
      </c>
      <c r="AH1768" s="283"/>
      <c r="AI1768" s="296"/>
      <c r="AJ1768" s="348" t="s">
        <v>560</v>
      </c>
      <c r="AK1768" s="219">
        <v>4</v>
      </c>
      <c r="AL1768" s="110" t="s">
        <v>558</v>
      </c>
      <c r="AM1768" s="110" t="s">
        <v>552</v>
      </c>
      <c r="AN1768" s="121"/>
      <c r="AO1768" s="3"/>
      <c r="AR1768" s="115"/>
    </row>
    <row r="1769" spans="1:46" ht="39" customHeight="1" x14ac:dyDescent="0.3">
      <c r="A1769" s="1468">
        <v>1768</v>
      </c>
      <c r="B1769" s="141">
        <v>1</v>
      </c>
      <c r="C1769" s="722" t="s">
        <v>323</v>
      </c>
      <c r="D1769" s="366"/>
      <c r="E1769" s="219"/>
      <c r="F1769" s="219"/>
      <c r="G1769" s="610" t="s">
        <v>324</v>
      </c>
      <c r="H1769" s="262" t="s">
        <v>87</v>
      </c>
      <c r="I1769" s="366"/>
      <c r="J1769" s="245" t="s">
        <v>561</v>
      </c>
      <c r="K1769" s="216"/>
      <c r="L1769" s="1420"/>
      <c r="M1769" s="1420"/>
      <c r="N1769" s="366"/>
      <c r="O1769" s="250"/>
      <c r="P1769" s="247"/>
      <c r="Q1769" s="375"/>
      <c r="R1769" s="982" t="s">
        <v>66</v>
      </c>
      <c r="S1769" s="279"/>
      <c r="T1769" s="289"/>
      <c r="U1769" s="197"/>
      <c r="V1769" s="197"/>
      <c r="W1769" s="250"/>
      <c r="X1769" s="197"/>
      <c r="Y1769" s="197"/>
      <c r="Z1769" s="246"/>
      <c r="AA1769" s="252"/>
      <c r="AB1769" s="301"/>
      <c r="AC1769" s="223"/>
      <c r="AD1769" s="301"/>
      <c r="AE1769" s="494"/>
      <c r="AF1769" s="494"/>
      <c r="AG1769" s="301"/>
      <c r="AH1769" s="301"/>
      <c r="AI1769" s="223"/>
      <c r="AJ1769" s="348"/>
      <c r="AK1769" s="219">
        <v>4</v>
      </c>
      <c r="AL1769" s="110" t="s">
        <v>558</v>
      </c>
      <c r="AM1769" s="110" t="s">
        <v>552</v>
      </c>
      <c r="AN1769" s="121"/>
      <c r="AO1769" s="3"/>
      <c r="AR1769" s="115"/>
    </row>
    <row r="1770" spans="1:46" ht="39" customHeight="1" x14ac:dyDescent="0.3">
      <c r="A1770" s="1468">
        <v>1769</v>
      </c>
      <c r="B1770" s="110">
        <v>1</v>
      </c>
      <c r="C1770" s="939" t="s">
        <v>325</v>
      </c>
      <c r="D1770" s="404"/>
      <c r="E1770" s="622"/>
      <c r="F1770" s="622"/>
      <c r="G1770" s="623" t="s">
        <v>324</v>
      </c>
      <c r="H1770" s="262" t="s">
        <v>87</v>
      </c>
      <c r="I1770" s="404"/>
      <c r="J1770" s="245" t="s">
        <v>561</v>
      </c>
      <c r="K1770" s="288"/>
      <c r="L1770" s="216"/>
      <c r="M1770" s="216"/>
      <c r="N1770" s="366"/>
      <c r="O1770" s="216"/>
      <c r="P1770" s="247"/>
      <c r="Q1770" s="375"/>
      <c r="R1770" s="982" t="s">
        <v>66</v>
      </c>
      <c r="S1770" s="279"/>
      <c r="T1770" s="414"/>
      <c r="U1770" s="197"/>
      <c r="V1770" s="268"/>
      <c r="W1770" s="250"/>
      <c r="X1770" s="197"/>
      <c r="Y1770" s="197"/>
      <c r="Z1770" s="246"/>
      <c r="AA1770" s="250"/>
      <c r="AB1770" s="288"/>
      <c r="AC1770" s="223"/>
      <c r="AD1770" s="288"/>
      <c r="AE1770" s="494"/>
      <c r="AF1770" s="494"/>
      <c r="AG1770" s="241"/>
      <c r="AH1770" s="281"/>
      <c r="AI1770" s="254"/>
      <c r="AJ1770" s="348"/>
      <c r="AK1770" s="622">
        <v>4</v>
      </c>
      <c r="AL1770" s="179" t="s">
        <v>558</v>
      </c>
      <c r="AM1770" s="179" t="s">
        <v>552</v>
      </c>
      <c r="AN1770" s="166"/>
      <c r="AO1770" s="875"/>
      <c r="AR1770" s="115"/>
    </row>
    <row r="1771" spans="1:46" s="827" customFormat="1" ht="39" customHeight="1" x14ac:dyDescent="0.3">
      <c r="A1771" s="1468">
        <v>1770</v>
      </c>
      <c r="B1771" s="110"/>
      <c r="C1771" s="596"/>
      <c r="D1771" s="578"/>
      <c r="E1771" s="597"/>
      <c r="F1771" s="597"/>
      <c r="G1771" s="598"/>
      <c r="H1771" s="599"/>
      <c r="I1771" s="578"/>
      <c r="J1771" s="598"/>
      <c r="K1771" s="578"/>
      <c r="L1771" s="602"/>
      <c r="M1771" s="602"/>
      <c r="N1771" s="578"/>
      <c r="O1771" s="602"/>
      <c r="P1771" s="600" t="s">
        <v>328</v>
      </c>
      <c r="Q1771" s="601"/>
      <c r="R1771" s="1008"/>
      <c r="S1771" s="279"/>
      <c r="T1771" s="578"/>
      <c r="U1771" s="250"/>
      <c r="V1771" s="1438"/>
      <c r="W1771" s="602"/>
      <c r="X1771" s="602"/>
      <c r="Y1771" s="578"/>
      <c r="Z1771" s="578"/>
      <c r="AA1771" s="578"/>
      <c r="AB1771" s="1295"/>
      <c r="AC1771" s="578"/>
      <c r="AD1771" s="659"/>
      <c r="AE1771" s="494"/>
      <c r="AF1771" s="494"/>
      <c r="AG1771" s="578"/>
      <c r="AH1771" s="578"/>
      <c r="AI1771" s="602"/>
      <c r="AJ1771" s="602"/>
      <c r="AK1771" s="597"/>
      <c r="AL1771" s="191"/>
      <c r="AM1771" s="191"/>
      <c r="AN1771" s="748"/>
      <c r="AO1771" s="750"/>
      <c r="AP1771" s="192"/>
      <c r="AQ1771" s="192"/>
      <c r="AR1771" s="192"/>
      <c r="AS1771" s="192"/>
      <c r="AT1771" s="192"/>
    </row>
    <row r="1772" spans="1:46" ht="39" customHeight="1" x14ac:dyDescent="0.3">
      <c r="A1772" s="1468">
        <v>1771</v>
      </c>
      <c r="B1772" s="110">
        <v>10</v>
      </c>
      <c r="C1772" s="942" t="s">
        <v>305</v>
      </c>
      <c r="D1772" s="628"/>
      <c r="E1772" s="879"/>
      <c r="F1772" s="879"/>
      <c r="G1772" s="880" t="s">
        <v>91</v>
      </c>
      <c r="H1772" s="244" t="s">
        <v>83</v>
      </c>
      <c r="I1772" s="628"/>
      <c r="J1772" s="245">
        <v>302</v>
      </c>
      <c r="K1772" s="197" t="s">
        <v>50</v>
      </c>
      <c r="L1772" s="809"/>
      <c r="M1772" s="809"/>
      <c r="N1772" s="890"/>
      <c r="O1772" s="816" t="s">
        <v>1429</v>
      </c>
      <c r="P1772" s="855"/>
      <c r="Q1772" s="744" t="s">
        <v>83</v>
      </c>
      <c r="R1772" s="1007" t="s">
        <v>1428</v>
      </c>
      <c r="S1772" s="279">
        <v>35052</v>
      </c>
      <c r="T1772" s="280"/>
      <c r="U1772" s="251" t="s">
        <v>54</v>
      </c>
      <c r="V1772" s="280" t="s">
        <v>2425</v>
      </c>
      <c r="W1772" s="197" t="s">
        <v>56</v>
      </c>
      <c r="X1772" s="197" t="s">
        <v>2382</v>
      </c>
      <c r="Y1772" s="197" t="s">
        <v>1416</v>
      </c>
      <c r="Z1772" s="246">
        <v>45178</v>
      </c>
      <c r="AA1772" s="841"/>
      <c r="AB1772" s="809"/>
      <c r="AC1772" s="822"/>
      <c r="AD1772" s="809"/>
      <c r="AE1772" s="494"/>
      <c r="AF1772" s="494"/>
      <c r="AG1772" s="805"/>
      <c r="AH1772" s="891"/>
      <c r="AI1772" s="857"/>
      <c r="AJ1772" s="824" t="s">
        <v>62</v>
      </c>
      <c r="AK1772" s="465">
        <v>1</v>
      </c>
      <c r="AL1772" s="124" t="s">
        <v>558</v>
      </c>
      <c r="AM1772" s="124" t="s">
        <v>552</v>
      </c>
      <c r="AN1772" s="882"/>
      <c r="AO1772" s="883"/>
      <c r="AR1772" s="115"/>
    </row>
    <row r="1773" spans="1:46" s="827" customFormat="1" ht="39" customHeight="1" x14ac:dyDescent="0.3">
      <c r="A1773" s="1468">
        <v>1772</v>
      </c>
      <c r="B1773" s="110"/>
      <c r="C1773" s="596"/>
      <c r="D1773" s="578"/>
      <c r="E1773" s="597"/>
      <c r="F1773" s="597"/>
      <c r="G1773" s="598"/>
      <c r="H1773" s="599"/>
      <c r="I1773" s="578"/>
      <c r="J1773" s="598"/>
      <c r="K1773" s="578"/>
      <c r="L1773" s="602"/>
      <c r="M1773" s="602"/>
      <c r="N1773" s="578"/>
      <c r="O1773" s="602"/>
      <c r="P1773" s="600" t="s">
        <v>306</v>
      </c>
      <c r="Q1773" s="601"/>
      <c r="R1773" s="1008"/>
      <c r="S1773" s="279"/>
      <c r="T1773" s="578"/>
      <c r="U1773" s="250"/>
      <c r="V1773" s="578"/>
      <c r="W1773" s="602"/>
      <c r="X1773" s="602"/>
      <c r="Y1773" s="578"/>
      <c r="Z1773" s="578"/>
      <c r="AA1773" s="578"/>
      <c r="AB1773" s="1295"/>
      <c r="AC1773" s="578"/>
      <c r="AD1773" s="659"/>
      <c r="AE1773" s="494"/>
      <c r="AF1773" s="494"/>
      <c r="AG1773" s="578"/>
      <c r="AH1773" s="578"/>
      <c r="AI1773" s="602"/>
      <c r="AJ1773" s="602"/>
      <c r="AK1773" s="597"/>
      <c r="AL1773" s="191"/>
      <c r="AM1773" s="191"/>
      <c r="AN1773" s="748"/>
      <c r="AO1773" s="750"/>
      <c r="AP1773" s="192"/>
      <c r="AQ1773" s="192"/>
      <c r="AR1773" s="192"/>
      <c r="AS1773" s="192"/>
      <c r="AT1773" s="192"/>
    </row>
    <row r="1774" spans="1:46" ht="39" customHeight="1" x14ac:dyDescent="0.3">
      <c r="A1774" s="1468">
        <v>1773</v>
      </c>
      <c r="B1774" s="110">
        <v>7</v>
      </c>
      <c r="C1774" s="943" t="s">
        <v>307</v>
      </c>
      <c r="D1774" s="451"/>
      <c r="E1774" s="884" t="s">
        <v>47</v>
      </c>
      <c r="F1774" s="884" t="s">
        <v>362</v>
      </c>
      <c r="G1774" s="885" t="s">
        <v>308</v>
      </c>
      <c r="H1774" s="886" t="s">
        <v>132</v>
      </c>
      <c r="I1774" s="371"/>
      <c r="J1774" s="256">
        <v>403</v>
      </c>
      <c r="K1774" s="451"/>
      <c r="L1774" s="1420" t="s">
        <v>5503</v>
      </c>
      <c r="M1774" s="1420" t="s">
        <v>5503</v>
      </c>
      <c r="N1774" s="451"/>
      <c r="O1774" s="216" t="s">
        <v>5552</v>
      </c>
      <c r="P1774" s="247"/>
      <c r="Q1774" s="375" t="s">
        <v>87</v>
      </c>
      <c r="R1774" s="982" t="s">
        <v>5551</v>
      </c>
      <c r="S1774" s="279">
        <v>27813</v>
      </c>
      <c r="T1774" s="451"/>
      <c r="U1774" s="251" t="s">
        <v>54</v>
      </c>
      <c r="V1774" s="451"/>
      <c r="W1774" s="1420" t="s">
        <v>56</v>
      </c>
      <c r="X1774" s="1420" t="s">
        <v>57</v>
      </c>
      <c r="Y1774" s="451"/>
      <c r="Z1774" s="451"/>
      <c r="AA1774" s="451"/>
      <c r="AB1774" s="1293"/>
      <c r="AC1774" s="451"/>
      <c r="AD1774" s="661"/>
      <c r="AE1774" s="494"/>
      <c r="AF1774" s="494"/>
      <c r="AG1774" s="451"/>
      <c r="AH1774" s="451"/>
      <c r="AI1774" s="625"/>
      <c r="AJ1774" s="348" t="s">
        <v>560</v>
      </c>
      <c r="AK1774" s="884">
        <v>3</v>
      </c>
      <c r="AL1774" s="177" t="s">
        <v>558</v>
      </c>
      <c r="AM1774" s="177" t="s">
        <v>552</v>
      </c>
      <c r="AN1774" s="169"/>
      <c r="AO1774" s="878"/>
      <c r="AR1774" s="115"/>
    </row>
    <row r="1775" spans="1:46" ht="39" customHeight="1" x14ac:dyDescent="0.3">
      <c r="A1775" s="1468">
        <v>1774</v>
      </c>
      <c r="B1775" s="110">
        <v>3</v>
      </c>
      <c r="C1775" s="722" t="s">
        <v>382</v>
      </c>
      <c r="D1775" s="366"/>
      <c r="E1775" s="219"/>
      <c r="F1775" s="219" t="s">
        <v>362</v>
      </c>
      <c r="G1775" s="610" t="s">
        <v>310</v>
      </c>
      <c r="H1775" s="262" t="s">
        <v>85</v>
      </c>
      <c r="I1775" s="366"/>
      <c r="J1775" s="245" t="s">
        <v>556</v>
      </c>
      <c r="K1775" s="216"/>
      <c r="L1775" s="1420" t="s">
        <v>5503</v>
      </c>
      <c r="M1775" s="1420" t="s">
        <v>5503</v>
      </c>
      <c r="N1775" s="374"/>
      <c r="O1775" s="216" t="s">
        <v>5574</v>
      </c>
      <c r="P1775" s="247"/>
      <c r="Q1775" s="375" t="s">
        <v>87</v>
      </c>
      <c r="R1775" s="982" t="s">
        <v>5573</v>
      </c>
      <c r="S1775" s="279">
        <v>30439</v>
      </c>
      <c r="T1775" s="250"/>
      <c r="U1775" s="251" t="s">
        <v>54</v>
      </c>
      <c r="V1775" s="197"/>
      <c r="W1775" s="1420" t="s">
        <v>56</v>
      </c>
      <c r="X1775" s="1420" t="s">
        <v>57</v>
      </c>
      <c r="Y1775" s="197"/>
      <c r="Z1775" s="246"/>
      <c r="AA1775" s="374"/>
      <c r="AB1775" s="257"/>
      <c r="AC1775" s="223"/>
      <c r="AD1775" s="257"/>
      <c r="AE1775" s="494"/>
      <c r="AF1775" s="494"/>
      <c r="AG1775" s="241"/>
      <c r="AH1775" s="299"/>
      <c r="AI1775" s="254"/>
      <c r="AJ1775" s="348" t="s">
        <v>560</v>
      </c>
      <c r="AK1775" s="219">
        <v>4</v>
      </c>
      <c r="AL1775" s="110" t="s">
        <v>558</v>
      </c>
      <c r="AM1775" s="110" t="s">
        <v>552</v>
      </c>
      <c r="AN1775" s="121" t="s">
        <v>4184</v>
      </c>
      <c r="AO1775" s="3"/>
      <c r="AR1775" s="115"/>
      <c r="AS1775" s="115"/>
      <c r="AT1775" s="115"/>
    </row>
    <row r="1776" spans="1:46" ht="39" customHeight="1" x14ac:dyDescent="0.3">
      <c r="A1776" s="1468">
        <v>1775</v>
      </c>
      <c r="B1776" s="110">
        <v>2</v>
      </c>
      <c r="C1776" s="722" t="s">
        <v>385</v>
      </c>
      <c r="D1776" s="366"/>
      <c r="E1776" s="219"/>
      <c r="F1776" s="219"/>
      <c r="G1776" s="610" t="s">
        <v>386</v>
      </c>
      <c r="H1776" s="262" t="s">
        <v>85</v>
      </c>
      <c r="I1776" s="366"/>
      <c r="J1776" s="245" t="s">
        <v>556</v>
      </c>
      <c r="K1776" s="257"/>
      <c r="L1776" s="1420" t="s">
        <v>5503</v>
      </c>
      <c r="M1776" s="1420" t="s">
        <v>5503</v>
      </c>
      <c r="N1776" s="299"/>
      <c r="O1776" s="216" t="s">
        <v>5598</v>
      </c>
      <c r="P1776" s="247"/>
      <c r="Q1776" s="375" t="s">
        <v>87</v>
      </c>
      <c r="R1776" s="982" t="s">
        <v>5597</v>
      </c>
      <c r="S1776" s="279">
        <v>28886</v>
      </c>
      <c r="T1776" s="289"/>
      <c r="U1776" s="251" t="s">
        <v>54</v>
      </c>
      <c r="V1776" s="299"/>
      <c r="W1776" s="1420" t="s">
        <v>56</v>
      </c>
      <c r="X1776" s="1420" t="s">
        <v>57</v>
      </c>
      <c r="Y1776" s="299"/>
      <c r="Z1776" s="299"/>
      <c r="AA1776" s="289"/>
      <c r="AB1776" s="299"/>
      <c r="AC1776" s="223"/>
      <c r="AD1776" s="299"/>
      <c r="AE1776" s="494"/>
      <c r="AF1776" s="494"/>
      <c r="AG1776" s="299"/>
      <c r="AH1776" s="299"/>
      <c r="AI1776" s="223"/>
      <c r="AJ1776" s="348" t="s">
        <v>560</v>
      </c>
      <c r="AK1776" s="219">
        <v>4</v>
      </c>
      <c r="AL1776" s="110" t="s">
        <v>558</v>
      </c>
      <c r="AM1776" s="110" t="s">
        <v>552</v>
      </c>
      <c r="AN1776" s="121"/>
      <c r="AO1776" s="3"/>
      <c r="AR1776" s="115"/>
      <c r="AS1776" s="115"/>
      <c r="AT1776" s="116"/>
    </row>
    <row r="1777" spans="1:46" ht="39" customHeight="1" x14ac:dyDescent="0.3">
      <c r="A1777" s="1468">
        <v>1776</v>
      </c>
      <c r="B1777" s="141">
        <v>2</v>
      </c>
      <c r="C1777" s="722" t="s">
        <v>311</v>
      </c>
      <c r="D1777" s="366"/>
      <c r="E1777" s="219"/>
      <c r="F1777" s="219" t="s">
        <v>362</v>
      </c>
      <c r="G1777" s="610" t="s">
        <v>312</v>
      </c>
      <c r="H1777" s="262" t="s">
        <v>85</v>
      </c>
      <c r="I1777" s="366"/>
      <c r="J1777" s="245" t="s">
        <v>556</v>
      </c>
      <c r="K1777" s="216"/>
      <c r="L1777" s="1420" t="s">
        <v>5503</v>
      </c>
      <c r="M1777" s="1420" t="s">
        <v>5503</v>
      </c>
      <c r="N1777" s="404"/>
      <c r="O1777" s="216" t="s">
        <v>5699</v>
      </c>
      <c r="P1777" s="247"/>
      <c r="Q1777" s="375" t="s">
        <v>132</v>
      </c>
      <c r="R1777" s="982" t="s">
        <v>5698</v>
      </c>
      <c r="S1777" s="279">
        <v>28055</v>
      </c>
      <c r="T1777" s="268"/>
      <c r="U1777" s="251" t="s">
        <v>54</v>
      </c>
      <c r="V1777" s="197"/>
      <c r="W1777" s="1420" t="s">
        <v>56</v>
      </c>
      <c r="X1777" s="1420" t="s">
        <v>57</v>
      </c>
      <c r="Y1777" s="197"/>
      <c r="Z1777" s="246"/>
      <c r="AA1777" s="246"/>
      <c r="AB1777" s="306"/>
      <c r="AC1777" s="223"/>
      <c r="AD1777" s="306"/>
      <c r="AE1777" s="494"/>
      <c r="AF1777" s="494"/>
      <c r="AG1777" s="301"/>
      <c r="AH1777" s="281"/>
      <c r="AI1777" s="254"/>
      <c r="AJ1777" s="348" t="s">
        <v>560</v>
      </c>
      <c r="AK1777" s="219">
        <v>4</v>
      </c>
      <c r="AL1777" s="110" t="s">
        <v>558</v>
      </c>
      <c r="AM1777" s="110" t="s">
        <v>552</v>
      </c>
      <c r="AN1777" s="121"/>
      <c r="AO1777" s="3"/>
      <c r="AR1777" s="115"/>
    </row>
    <row r="1778" spans="1:46" ht="39" customHeight="1" x14ac:dyDescent="0.3">
      <c r="A1778" s="1468">
        <v>1777</v>
      </c>
      <c r="B1778" s="110">
        <v>2</v>
      </c>
      <c r="C1778" s="722" t="s">
        <v>317</v>
      </c>
      <c r="D1778" s="366"/>
      <c r="E1778" s="219"/>
      <c r="F1778" s="219" t="s">
        <v>362</v>
      </c>
      <c r="G1778" s="610" t="s">
        <v>318</v>
      </c>
      <c r="H1778" s="262" t="s">
        <v>87</v>
      </c>
      <c r="I1778" s="366"/>
      <c r="J1778" s="245" t="s">
        <v>561</v>
      </c>
      <c r="K1778" s="216"/>
      <c r="L1778" s="1420" t="s">
        <v>5503</v>
      </c>
      <c r="M1778" s="1420" t="s">
        <v>5503</v>
      </c>
      <c r="N1778" s="366"/>
      <c r="O1778" s="216" t="s">
        <v>5656</v>
      </c>
      <c r="P1778" s="247"/>
      <c r="Q1778" s="375" t="s">
        <v>567</v>
      </c>
      <c r="R1778" s="982" t="s">
        <v>5655</v>
      </c>
      <c r="S1778" s="279">
        <v>32605</v>
      </c>
      <c r="T1778" s="223"/>
      <c r="U1778" s="251" t="s">
        <v>54</v>
      </c>
      <c r="V1778" s="197"/>
      <c r="W1778" s="1420" t="s">
        <v>56</v>
      </c>
      <c r="X1778" s="1420" t="s">
        <v>57</v>
      </c>
      <c r="Y1778" s="197"/>
      <c r="Z1778" s="246"/>
      <c r="AA1778" s="388"/>
      <c r="AB1778" s="223"/>
      <c r="AC1778" s="223"/>
      <c r="AD1778" s="257"/>
      <c r="AE1778" s="494"/>
      <c r="AF1778" s="494"/>
      <c r="AG1778" s="392"/>
      <c r="AH1778" s="299"/>
      <c r="AI1778" s="254"/>
      <c r="AJ1778" s="348" t="s">
        <v>560</v>
      </c>
      <c r="AK1778" s="219">
        <v>4</v>
      </c>
      <c r="AL1778" s="110" t="s">
        <v>558</v>
      </c>
      <c r="AM1778" s="110" t="s">
        <v>552</v>
      </c>
      <c r="AN1778" s="121"/>
      <c r="AO1778" s="3"/>
      <c r="AR1778" s="115"/>
    </row>
    <row r="1779" spans="1:46" ht="39" customHeight="1" x14ac:dyDescent="0.3">
      <c r="A1779" s="1468">
        <v>1778</v>
      </c>
      <c r="B1779" s="146">
        <v>2</v>
      </c>
      <c r="C1779" s="722" t="s">
        <v>319</v>
      </c>
      <c r="D1779" s="366"/>
      <c r="E1779" s="219"/>
      <c r="F1779" s="219"/>
      <c r="G1779" s="610" t="s">
        <v>320</v>
      </c>
      <c r="H1779" s="262" t="s">
        <v>87</v>
      </c>
      <c r="I1779" s="366"/>
      <c r="J1779" s="245" t="s">
        <v>561</v>
      </c>
      <c r="K1779" s="216"/>
      <c r="L1779" s="216"/>
      <c r="M1779" s="216"/>
      <c r="N1779" s="245"/>
      <c r="O1779" s="216" t="s">
        <v>2847</v>
      </c>
      <c r="P1779" s="402" t="s">
        <v>1828</v>
      </c>
      <c r="Q1779" s="298" t="s">
        <v>87</v>
      </c>
      <c r="R1779" s="982" t="s">
        <v>2846</v>
      </c>
      <c r="S1779" s="279">
        <v>30174</v>
      </c>
      <c r="T1779" s="250"/>
      <c r="U1779" s="251" t="s">
        <v>54</v>
      </c>
      <c r="V1779" s="280" t="s">
        <v>3959</v>
      </c>
      <c r="W1779" s="197" t="s">
        <v>70</v>
      </c>
      <c r="X1779" s="289" t="s">
        <v>71</v>
      </c>
      <c r="Y1779" s="280" t="s">
        <v>4351</v>
      </c>
      <c r="Z1779" s="486">
        <v>45226</v>
      </c>
      <c r="AA1779" s="252"/>
      <c r="AB1779" s="281"/>
      <c r="AC1779" s="223"/>
      <c r="AD1779" s="281"/>
      <c r="AE1779" s="494"/>
      <c r="AF1779" s="494"/>
      <c r="AG1779" s="282"/>
      <c r="AH1779" s="283"/>
      <c r="AI1779" s="296"/>
      <c r="AJ1779" s="348" t="s">
        <v>560</v>
      </c>
      <c r="AK1779" s="219">
        <v>4</v>
      </c>
      <c r="AL1779" s="110" t="s">
        <v>558</v>
      </c>
      <c r="AM1779" s="110" t="s">
        <v>552</v>
      </c>
      <c r="AN1779" s="121"/>
      <c r="AO1779" s="3"/>
      <c r="AR1779" s="115"/>
    </row>
    <row r="1780" spans="1:46" ht="39" customHeight="1" x14ac:dyDescent="0.3">
      <c r="A1780" s="1468">
        <v>1779</v>
      </c>
      <c r="B1780" s="141">
        <v>2</v>
      </c>
      <c r="C1780" s="722" t="s">
        <v>321</v>
      </c>
      <c r="D1780" s="366"/>
      <c r="E1780" s="219"/>
      <c r="F1780" s="219"/>
      <c r="G1780" s="610" t="s">
        <v>322</v>
      </c>
      <c r="H1780" s="262" t="s">
        <v>87</v>
      </c>
      <c r="I1780" s="366"/>
      <c r="J1780" s="245" t="s">
        <v>561</v>
      </c>
      <c r="K1780" s="265" t="s">
        <v>158</v>
      </c>
      <c r="L1780" s="265" t="s">
        <v>1256</v>
      </c>
      <c r="M1780" s="265" t="s">
        <v>1257</v>
      </c>
      <c r="N1780" s="268"/>
      <c r="O1780" s="265" t="s">
        <v>1264</v>
      </c>
      <c r="P1780" s="266"/>
      <c r="Q1780" s="876" t="s">
        <v>293</v>
      </c>
      <c r="R1780" s="834" t="s">
        <v>1265</v>
      </c>
      <c r="S1780" s="279">
        <v>37006</v>
      </c>
      <c r="T1780" s="396"/>
      <c r="U1780" s="251" t="s">
        <v>886</v>
      </c>
      <c r="V1780" s="395" t="s">
        <v>6099</v>
      </c>
      <c r="W1780" s="268" t="s">
        <v>6100</v>
      </c>
      <c r="X1780" s="268" t="s">
        <v>886</v>
      </c>
      <c r="Y1780" s="268"/>
      <c r="Z1780" s="395">
        <v>45289</v>
      </c>
      <c r="AA1780" s="395"/>
      <c r="AB1780" s="394" t="s">
        <v>115</v>
      </c>
      <c r="AC1780" s="474" t="s">
        <v>946</v>
      </c>
      <c r="AD1780" s="396" t="s">
        <v>1266</v>
      </c>
      <c r="AE1780" s="494">
        <v>44495</v>
      </c>
      <c r="AF1780" s="494">
        <v>45224</v>
      </c>
      <c r="AG1780" s="394" t="s">
        <v>61</v>
      </c>
      <c r="AH1780" s="394"/>
      <c r="AI1780" s="474"/>
      <c r="AJ1780" s="743" t="s">
        <v>560</v>
      </c>
      <c r="AK1780" s="219">
        <v>4</v>
      </c>
      <c r="AL1780" s="110" t="s">
        <v>558</v>
      </c>
      <c r="AM1780" s="110" t="s">
        <v>552</v>
      </c>
      <c r="AN1780" s="121"/>
      <c r="AO1780" s="3"/>
      <c r="AR1780" s="115"/>
    </row>
    <row r="1781" spans="1:46" ht="39" customHeight="1" x14ac:dyDescent="0.3">
      <c r="A1781" s="1468">
        <v>1780</v>
      </c>
      <c r="B1781" s="141">
        <v>1</v>
      </c>
      <c r="C1781" s="722" t="s">
        <v>323</v>
      </c>
      <c r="D1781" s="366"/>
      <c r="E1781" s="219"/>
      <c r="F1781" s="219"/>
      <c r="G1781" s="610" t="s">
        <v>324</v>
      </c>
      <c r="H1781" s="262" t="s">
        <v>87</v>
      </c>
      <c r="I1781" s="366"/>
      <c r="J1781" s="245" t="s">
        <v>561</v>
      </c>
      <c r="K1781" s="216"/>
      <c r="L1781" s="250"/>
      <c r="M1781" s="250"/>
      <c r="N1781" s="366"/>
      <c r="O1781" s="216"/>
      <c r="P1781" s="374"/>
      <c r="Q1781" s="876"/>
      <c r="R1781" s="834" t="s">
        <v>66</v>
      </c>
      <c r="S1781" s="279"/>
      <c r="T1781" s="257"/>
      <c r="U1781" s="197"/>
      <c r="V1781" s="197"/>
      <c r="W1781" s="250"/>
      <c r="X1781" s="197"/>
      <c r="Y1781" s="197"/>
      <c r="Z1781" s="246"/>
      <c r="AA1781" s="252"/>
      <c r="AB1781" s="257"/>
      <c r="AC1781" s="223"/>
      <c r="AD1781" s="257"/>
      <c r="AE1781" s="494"/>
      <c r="AF1781" s="494"/>
      <c r="AG1781" s="241"/>
      <c r="AH1781" s="299"/>
      <c r="AI1781" s="254"/>
      <c r="AJ1781" s="743"/>
      <c r="AK1781" s="219">
        <v>4</v>
      </c>
      <c r="AL1781" s="110" t="s">
        <v>558</v>
      </c>
      <c r="AM1781" s="110" t="s">
        <v>552</v>
      </c>
      <c r="AN1781" s="121"/>
      <c r="AO1781" s="3"/>
      <c r="AR1781" s="115"/>
    </row>
    <row r="1782" spans="1:46" ht="39" customHeight="1" x14ac:dyDescent="0.3">
      <c r="A1782" s="1468">
        <v>1781</v>
      </c>
      <c r="B1782" s="110">
        <v>1</v>
      </c>
      <c r="C1782" s="939" t="s">
        <v>325</v>
      </c>
      <c r="D1782" s="404"/>
      <c r="E1782" s="622"/>
      <c r="F1782" s="622"/>
      <c r="G1782" s="623" t="s">
        <v>324</v>
      </c>
      <c r="H1782" s="262" t="s">
        <v>87</v>
      </c>
      <c r="I1782" s="404"/>
      <c r="J1782" s="245" t="s">
        <v>561</v>
      </c>
      <c r="K1782" s="257"/>
      <c r="L1782" s="299"/>
      <c r="M1782" s="299"/>
      <c r="N1782" s="299"/>
      <c r="O1782" s="216" t="s">
        <v>3939</v>
      </c>
      <c r="P1782" s="247" t="s">
        <v>1828</v>
      </c>
      <c r="Q1782" s="876" t="s">
        <v>293</v>
      </c>
      <c r="R1782" s="834" t="s">
        <v>3938</v>
      </c>
      <c r="S1782" s="279">
        <v>28660</v>
      </c>
      <c r="T1782" s="289"/>
      <c r="U1782" s="251" t="s">
        <v>54</v>
      </c>
      <c r="V1782" s="197" t="s">
        <v>5512</v>
      </c>
      <c r="W1782" s="250" t="s">
        <v>56</v>
      </c>
      <c r="X1782" s="197" t="s">
        <v>57</v>
      </c>
      <c r="Y1782" s="197" t="s">
        <v>5726</v>
      </c>
      <c r="Z1782" s="246">
        <v>45272</v>
      </c>
      <c r="AA1782" s="289"/>
      <c r="AB1782" s="299"/>
      <c r="AC1782" s="223"/>
      <c r="AD1782" s="299"/>
      <c r="AE1782" s="494"/>
      <c r="AF1782" s="494"/>
      <c r="AG1782" s="299"/>
      <c r="AH1782" s="299"/>
      <c r="AI1782" s="223"/>
      <c r="AJ1782" s="743" t="s">
        <v>560</v>
      </c>
      <c r="AK1782" s="622">
        <v>4</v>
      </c>
      <c r="AL1782" s="179" t="s">
        <v>558</v>
      </c>
      <c r="AM1782" s="179" t="s">
        <v>552</v>
      </c>
      <c r="AN1782" s="166"/>
      <c r="AO1782" s="875"/>
      <c r="AR1782" s="115"/>
    </row>
    <row r="1783" spans="1:46" s="827" customFormat="1" ht="39" customHeight="1" x14ac:dyDescent="0.3">
      <c r="A1783" s="1468">
        <v>1782</v>
      </c>
      <c r="B1783" s="110"/>
      <c r="C1783" s="596"/>
      <c r="D1783" s="578"/>
      <c r="E1783" s="597"/>
      <c r="F1783" s="597"/>
      <c r="G1783" s="598"/>
      <c r="H1783" s="599"/>
      <c r="I1783" s="578"/>
      <c r="J1783" s="598"/>
      <c r="K1783" s="578"/>
      <c r="L1783" s="602"/>
      <c r="M1783" s="602"/>
      <c r="N1783" s="578"/>
      <c r="O1783" s="602"/>
      <c r="P1783" s="600" t="s">
        <v>326</v>
      </c>
      <c r="Q1783" s="601"/>
      <c r="R1783" s="1008"/>
      <c r="S1783" s="279"/>
      <c r="T1783" s="578"/>
      <c r="U1783" s="250"/>
      <c r="V1783" s="578"/>
      <c r="W1783" s="602"/>
      <c r="X1783" s="602"/>
      <c r="Y1783" s="578"/>
      <c r="Z1783" s="578"/>
      <c r="AA1783" s="578"/>
      <c r="AB1783" s="1295"/>
      <c r="AC1783" s="578"/>
      <c r="AD1783" s="659"/>
      <c r="AE1783" s="494"/>
      <c r="AF1783" s="494"/>
      <c r="AG1783" s="578"/>
      <c r="AH1783" s="578"/>
      <c r="AI1783" s="602"/>
      <c r="AJ1783" s="602"/>
      <c r="AK1783" s="597"/>
      <c r="AL1783" s="191"/>
      <c r="AM1783" s="191"/>
      <c r="AN1783" s="748"/>
      <c r="AO1783" s="750"/>
      <c r="AP1783" s="192"/>
      <c r="AQ1783" s="192"/>
      <c r="AR1783" s="192"/>
      <c r="AS1783" s="192"/>
      <c r="AT1783" s="192"/>
    </row>
    <row r="1784" spans="1:46" ht="39" customHeight="1" x14ac:dyDescent="0.3">
      <c r="A1784" s="1468">
        <v>1783</v>
      </c>
      <c r="B1784" s="110">
        <v>5</v>
      </c>
      <c r="C1784" s="943" t="s">
        <v>288</v>
      </c>
      <c r="D1784" s="451"/>
      <c r="E1784" s="884" t="s">
        <v>47</v>
      </c>
      <c r="F1784" s="884" t="s">
        <v>362</v>
      </c>
      <c r="G1784" s="885" t="s">
        <v>289</v>
      </c>
      <c r="H1784" s="886" t="s">
        <v>132</v>
      </c>
      <c r="I1784" s="344"/>
      <c r="J1784" s="256">
        <v>403</v>
      </c>
      <c r="K1784" s="451"/>
      <c r="L1784" s="1420" t="s">
        <v>5503</v>
      </c>
      <c r="M1784" s="1420" t="s">
        <v>5503</v>
      </c>
      <c r="N1784" s="451"/>
      <c r="O1784" s="216" t="s">
        <v>5531</v>
      </c>
      <c r="P1784" s="247"/>
      <c r="Q1784" s="876" t="s">
        <v>567</v>
      </c>
      <c r="R1784" s="834" t="s">
        <v>5530</v>
      </c>
      <c r="S1784" s="279">
        <v>34990</v>
      </c>
      <c r="T1784" s="451"/>
      <c r="U1784" s="251" t="s">
        <v>54</v>
      </c>
      <c r="V1784" s="197"/>
      <c r="W1784" s="1420" t="s">
        <v>56</v>
      </c>
      <c r="X1784" s="1420" t="s">
        <v>57</v>
      </c>
      <c r="Y1784" s="451"/>
      <c r="Z1784" s="451"/>
      <c r="AA1784" s="451"/>
      <c r="AB1784" s="1293"/>
      <c r="AC1784" s="451"/>
      <c r="AD1784" s="661"/>
      <c r="AE1784" s="494"/>
      <c r="AF1784" s="494"/>
      <c r="AG1784" s="451"/>
      <c r="AH1784" s="451"/>
      <c r="AI1784" s="625"/>
      <c r="AJ1784" s="743" t="s">
        <v>560</v>
      </c>
      <c r="AK1784" s="884">
        <v>3</v>
      </c>
      <c r="AL1784" s="177" t="s">
        <v>558</v>
      </c>
      <c r="AM1784" s="177" t="s">
        <v>552</v>
      </c>
      <c r="AN1784" s="169"/>
      <c r="AO1784" s="878"/>
      <c r="AR1784" s="115"/>
    </row>
    <row r="1785" spans="1:46" ht="39" customHeight="1" x14ac:dyDescent="0.3">
      <c r="A1785" s="1468">
        <v>1784</v>
      </c>
      <c r="B1785" s="110">
        <v>3</v>
      </c>
      <c r="C1785" s="722" t="s">
        <v>569</v>
      </c>
      <c r="D1785" s="366"/>
      <c r="E1785" s="219"/>
      <c r="F1785" s="219" t="s">
        <v>362</v>
      </c>
      <c r="G1785" s="610" t="s">
        <v>291</v>
      </c>
      <c r="H1785" s="262" t="s">
        <v>85</v>
      </c>
      <c r="I1785" s="366"/>
      <c r="J1785" s="245" t="s">
        <v>556</v>
      </c>
      <c r="K1785" s="257"/>
      <c r="L1785" s="1420" t="s">
        <v>5503</v>
      </c>
      <c r="M1785" s="1420" t="s">
        <v>5503</v>
      </c>
      <c r="N1785" s="299"/>
      <c r="O1785" s="216" t="s">
        <v>5533</v>
      </c>
      <c r="P1785" s="247"/>
      <c r="Q1785" s="876" t="s">
        <v>570</v>
      </c>
      <c r="R1785" s="834" t="s">
        <v>5532</v>
      </c>
      <c r="S1785" s="279">
        <v>36162</v>
      </c>
      <c r="T1785" s="289"/>
      <c r="U1785" s="251" t="s">
        <v>54</v>
      </c>
      <c r="V1785" s="299"/>
      <c r="W1785" s="1420" t="s">
        <v>56</v>
      </c>
      <c r="X1785" s="1420" t="s">
        <v>57</v>
      </c>
      <c r="Y1785" s="299"/>
      <c r="Z1785" s="299"/>
      <c r="AA1785" s="289"/>
      <c r="AB1785" s="299"/>
      <c r="AC1785" s="223"/>
      <c r="AD1785" s="299"/>
      <c r="AE1785" s="494"/>
      <c r="AF1785" s="494"/>
      <c r="AG1785" s="299"/>
      <c r="AH1785" s="299"/>
      <c r="AI1785" s="223"/>
      <c r="AJ1785" s="743" t="s">
        <v>560</v>
      </c>
      <c r="AK1785" s="219">
        <v>4</v>
      </c>
      <c r="AL1785" s="110" t="s">
        <v>558</v>
      </c>
      <c r="AM1785" s="110" t="s">
        <v>552</v>
      </c>
      <c r="AN1785" s="121" t="s">
        <v>4184</v>
      </c>
      <c r="AO1785" s="3"/>
      <c r="AR1785" s="115"/>
      <c r="AS1785" s="115"/>
      <c r="AT1785" s="115"/>
    </row>
    <row r="1786" spans="1:46" ht="39" customHeight="1" x14ac:dyDescent="0.3">
      <c r="A1786" s="1468">
        <v>1785</v>
      </c>
      <c r="B1786" s="110">
        <v>2</v>
      </c>
      <c r="C1786" s="722" t="s">
        <v>385</v>
      </c>
      <c r="D1786" s="366"/>
      <c r="E1786" s="219"/>
      <c r="F1786" s="219"/>
      <c r="G1786" s="610" t="s">
        <v>386</v>
      </c>
      <c r="H1786" s="262" t="s">
        <v>85</v>
      </c>
      <c r="I1786" s="366"/>
      <c r="J1786" s="245" t="s">
        <v>556</v>
      </c>
      <c r="K1786" s="257"/>
      <c r="L1786" s="1420" t="s">
        <v>5503</v>
      </c>
      <c r="M1786" s="1420" t="s">
        <v>5503</v>
      </c>
      <c r="N1786" s="299"/>
      <c r="O1786" s="216" t="s">
        <v>5600</v>
      </c>
      <c r="P1786" s="247"/>
      <c r="Q1786" s="876" t="s">
        <v>87</v>
      </c>
      <c r="R1786" s="834" t="s">
        <v>5599</v>
      </c>
      <c r="S1786" s="279">
        <v>35476</v>
      </c>
      <c r="T1786" s="289"/>
      <c r="U1786" s="251" t="s">
        <v>54</v>
      </c>
      <c r="V1786" s="197"/>
      <c r="W1786" s="1420" t="s">
        <v>56</v>
      </c>
      <c r="X1786" s="1420" t="s">
        <v>57</v>
      </c>
      <c r="Y1786" s="299"/>
      <c r="Z1786" s="299"/>
      <c r="AA1786" s="289"/>
      <c r="AB1786" s="299"/>
      <c r="AC1786" s="223"/>
      <c r="AD1786" s="299"/>
      <c r="AE1786" s="494"/>
      <c r="AF1786" s="494"/>
      <c r="AG1786" s="299"/>
      <c r="AH1786" s="299"/>
      <c r="AI1786" s="223"/>
      <c r="AJ1786" s="743" t="s">
        <v>560</v>
      </c>
      <c r="AK1786" s="219">
        <v>4</v>
      </c>
      <c r="AL1786" s="110" t="s">
        <v>558</v>
      </c>
      <c r="AM1786" s="110" t="s">
        <v>552</v>
      </c>
      <c r="AN1786" s="121"/>
      <c r="AO1786" s="3"/>
      <c r="AR1786" s="115"/>
      <c r="AS1786" s="115"/>
      <c r="AT1786" s="116"/>
    </row>
    <row r="1787" spans="1:46" ht="39" customHeight="1" x14ac:dyDescent="0.3">
      <c r="A1787" s="1468">
        <v>1786</v>
      </c>
      <c r="B1787" s="141">
        <v>2</v>
      </c>
      <c r="C1787" s="722" t="s">
        <v>311</v>
      </c>
      <c r="D1787" s="366"/>
      <c r="E1787" s="219"/>
      <c r="F1787" s="219" t="s">
        <v>362</v>
      </c>
      <c r="G1787" s="610" t="s">
        <v>312</v>
      </c>
      <c r="H1787" s="262" t="s">
        <v>85</v>
      </c>
      <c r="I1787" s="366"/>
      <c r="J1787" s="245" t="s">
        <v>556</v>
      </c>
      <c r="K1787" s="257"/>
      <c r="L1787" s="299" t="s">
        <v>6225</v>
      </c>
      <c r="M1787" s="299" t="s">
        <v>6225</v>
      </c>
      <c r="N1787" s="299"/>
      <c r="O1787" s="216" t="s">
        <v>6224</v>
      </c>
      <c r="P1787" s="300"/>
      <c r="Q1787" s="876" t="s">
        <v>87</v>
      </c>
      <c r="R1787" s="834" t="s">
        <v>6223</v>
      </c>
      <c r="S1787" s="279">
        <v>25883</v>
      </c>
      <c r="T1787" s="289"/>
      <c r="U1787" s="250" t="s">
        <v>391</v>
      </c>
      <c r="V1787" s="299" t="s">
        <v>6226</v>
      </c>
      <c r="W1787" s="1461" t="s">
        <v>5831</v>
      </c>
      <c r="X1787" s="299" t="s">
        <v>559</v>
      </c>
      <c r="Y1787" s="1461" t="s">
        <v>6230</v>
      </c>
      <c r="Z1787" s="289">
        <v>45328</v>
      </c>
      <c r="AA1787" s="289"/>
      <c r="AB1787" s="299"/>
      <c r="AC1787" s="223"/>
      <c r="AD1787" s="299"/>
      <c r="AE1787" s="494"/>
      <c r="AF1787" s="494"/>
      <c r="AG1787" s="299"/>
      <c r="AH1787" s="299"/>
      <c r="AI1787" s="223"/>
      <c r="AJ1787" s="743" t="s">
        <v>560</v>
      </c>
      <c r="AK1787" s="219">
        <v>4</v>
      </c>
      <c r="AL1787" s="110" t="s">
        <v>558</v>
      </c>
      <c r="AM1787" s="110" t="s">
        <v>552</v>
      </c>
      <c r="AN1787" s="121"/>
      <c r="AO1787" s="3"/>
      <c r="AR1787" s="115"/>
    </row>
    <row r="1788" spans="1:46" ht="39" customHeight="1" x14ac:dyDescent="0.3">
      <c r="A1788" s="1468">
        <v>1787</v>
      </c>
      <c r="B1788" s="110">
        <v>2</v>
      </c>
      <c r="C1788" s="722" t="s">
        <v>317</v>
      </c>
      <c r="D1788" s="366"/>
      <c r="E1788" s="219"/>
      <c r="F1788" s="219" t="s">
        <v>362</v>
      </c>
      <c r="G1788" s="610" t="s">
        <v>318</v>
      </c>
      <c r="H1788" s="262" t="s">
        <v>87</v>
      </c>
      <c r="I1788" s="366"/>
      <c r="J1788" s="245" t="s">
        <v>561</v>
      </c>
      <c r="K1788" s="216"/>
      <c r="L1788" s="1420" t="s">
        <v>5503</v>
      </c>
      <c r="M1788" s="1420" t="s">
        <v>5503</v>
      </c>
      <c r="N1788" s="366"/>
      <c r="O1788" s="216" t="s">
        <v>5662</v>
      </c>
      <c r="P1788" s="247"/>
      <c r="Q1788" s="876" t="s">
        <v>85</v>
      </c>
      <c r="R1788" s="834" t="s">
        <v>5661</v>
      </c>
      <c r="S1788" s="279">
        <v>28998</v>
      </c>
      <c r="T1788" s="396"/>
      <c r="U1788" s="251" t="s">
        <v>54</v>
      </c>
      <c r="V1788" s="197"/>
      <c r="W1788" s="1420" t="s">
        <v>56</v>
      </c>
      <c r="X1788" s="1420" t="s">
        <v>57</v>
      </c>
      <c r="Y1788" s="197"/>
      <c r="Z1788" s="246"/>
      <c r="AA1788" s="252"/>
      <c r="AB1788" s="307"/>
      <c r="AC1788" s="223"/>
      <c r="AD1788" s="281"/>
      <c r="AE1788" s="494"/>
      <c r="AF1788" s="494"/>
      <c r="AG1788" s="282"/>
      <c r="AH1788" s="283"/>
      <c r="AI1788" s="386"/>
      <c r="AJ1788" s="743" t="s">
        <v>560</v>
      </c>
      <c r="AK1788" s="219">
        <v>4</v>
      </c>
      <c r="AL1788" s="110" t="s">
        <v>558</v>
      </c>
      <c r="AM1788" s="110" t="s">
        <v>552</v>
      </c>
      <c r="AN1788" s="121"/>
      <c r="AO1788" s="3"/>
      <c r="AR1788" s="115"/>
    </row>
    <row r="1789" spans="1:46" ht="39" customHeight="1" x14ac:dyDescent="0.3">
      <c r="A1789" s="1468">
        <v>1788</v>
      </c>
      <c r="B1789" s="146">
        <v>2</v>
      </c>
      <c r="C1789" s="722" t="s">
        <v>319</v>
      </c>
      <c r="D1789" s="366"/>
      <c r="E1789" s="219"/>
      <c r="F1789" s="219"/>
      <c r="G1789" s="610" t="s">
        <v>320</v>
      </c>
      <c r="H1789" s="262" t="s">
        <v>87</v>
      </c>
      <c r="I1789" s="366"/>
      <c r="J1789" s="245" t="s">
        <v>561</v>
      </c>
      <c r="K1789" s="216"/>
      <c r="L1789" s="245"/>
      <c r="M1789" s="256"/>
      <c r="N1789" s="366"/>
      <c r="O1789" s="216" t="s">
        <v>5975</v>
      </c>
      <c r="P1789" s="247" t="s">
        <v>1411</v>
      </c>
      <c r="Q1789" s="876" t="s">
        <v>87</v>
      </c>
      <c r="R1789" s="834" t="s">
        <v>5974</v>
      </c>
      <c r="S1789" s="279">
        <v>35409</v>
      </c>
      <c r="T1789" s="306"/>
      <c r="U1789" s="251" t="s">
        <v>886</v>
      </c>
      <c r="V1789" s="197" t="s">
        <v>5976</v>
      </c>
      <c r="W1789" s="197" t="s">
        <v>886</v>
      </c>
      <c r="X1789" s="197" t="s">
        <v>886</v>
      </c>
      <c r="Y1789" s="197"/>
      <c r="Z1789" s="246">
        <v>45310</v>
      </c>
      <c r="AA1789" s="252"/>
      <c r="AB1789" s="301"/>
      <c r="AC1789" s="223"/>
      <c r="AD1789" s="301"/>
      <c r="AE1789" s="494"/>
      <c r="AF1789" s="494"/>
      <c r="AG1789" s="305"/>
      <c r="AH1789" s="301"/>
      <c r="AI1789" s="401"/>
      <c r="AJ1789" s="409" t="s">
        <v>560</v>
      </c>
      <c r="AK1789" s="219">
        <v>4</v>
      </c>
      <c r="AL1789" s="110" t="s">
        <v>558</v>
      </c>
      <c r="AM1789" s="110" t="s">
        <v>552</v>
      </c>
      <c r="AN1789" s="121"/>
      <c r="AO1789" s="3"/>
      <c r="AR1789" s="115"/>
    </row>
    <row r="1790" spans="1:46" ht="39" customHeight="1" x14ac:dyDescent="0.3">
      <c r="A1790" s="1468">
        <v>1789</v>
      </c>
      <c r="B1790" s="141">
        <v>2</v>
      </c>
      <c r="C1790" s="722" t="s">
        <v>321</v>
      </c>
      <c r="D1790" s="366"/>
      <c r="E1790" s="219"/>
      <c r="F1790" s="219"/>
      <c r="G1790" s="610" t="s">
        <v>322</v>
      </c>
      <c r="H1790" s="262" t="s">
        <v>87</v>
      </c>
      <c r="I1790" s="366"/>
      <c r="J1790" s="245" t="s">
        <v>561</v>
      </c>
      <c r="K1790" s="216" t="s">
        <v>158</v>
      </c>
      <c r="L1790" s="216" t="s">
        <v>1256</v>
      </c>
      <c r="M1790" s="216" t="s">
        <v>194</v>
      </c>
      <c r="N1790" s="281"/>
      <c r="O1790" s="216" t="s">
        <v>1272</v>
      </c>
      <c r="P1790" s="247"/>
      <c r="Q1790" s="375" t="s">
        <v>293</v>
      </c>
      <c r="R1790" s="982" t="s">
        <v>1273</v>
      </c>
      <c r="S1790" s="279">
        <v>37440</v>
      </c>
      <c r="T1790" s="306"/>
      <c r="U1790" s="251" t="s">
        <v>886</v>
      </c>
      <c r="V1790" s="197" t="s">
        <v>2616</v>
      </c>
      <c r="W1790" s="197" t="s">
        <v>886</v>
      </c>
      <c r="X1790" s="197" t="s">
        <v>886</v>
      </c>
      <c r="Y1790" s="197"/>
      <c r="Z1790" s="246">
        <v>45180</v>
      </c>
      <c r="AA1790" s="246"/>
      <c r="AB1790" s="301" t="s">
        <v>1274</v>
      </c>
      <c r="AC1790" s="223" t="s">
        <v>946</v>
      </c>
      <c r="AD1790" s="301" t="s">
        <v>1275</v>
      </c>
      <c r="AE1790" s="494">
        <v>44511</v>
      </c>
      <c r="AF1790" s="494">
        <v>45268</v>
      </c>
      <c r="AG1790" s="301" t="s">
        <v>61</v>
      </c>
      <c r="AH1790" s="301"/>
      <c r="AI1790" s="223"/>
      <c r="AJ1790" s="348" t="s">
        <v>560</v>
      </c>
      <c r="AK1790" s="219">
        <v>4</v>
      </c>
      <c r="AL1790" s="110" t="s">
        <v>558</v>
      </c>
      <c r="AM1790" s="110" t="s">
        <v>552</v>
      </c>
      <c r="AN1790" s="121"/>
      <c r="AO1790" s="3"/>
      <c r="AR1790" s="115"/>
    </row>
    <row r="1791" spans="1:46" ht="39" customHeight="1" x14ac:dyDescent="0.3">
      <c r="A1791" s="1468">
        <v>1790</v>
      </c>
      <c r="B1791" s="141">
        <v>1</v>
      </c>
      <c r="C1791" s="722" t="s">
        <v>323</v>
      </c>
      <c r="D1791" s="366"/>
      <c r="E1791" s="219"/>
      <c r="F1791" s="219"/>
      <c r="G1791" s="610" t="s">
        <v>324</v>
      </c>
      <c r="H1791" s="262" t="s">
        <v>87</v>
      </c>
      <c r="I1791" s="366"/>
      <c r="J1791" s="245" t="s">
        <v>561</v>
      </c>
      <c r="K1791" s="216"/>
      <c r="L1791" s="1420" t="s">
        <v>5503</v>
      </c>
      <c r="M1791" s="1420" t="s">
        <v>5503</v>
      </c>
      <c r="N1791" s="366"/>
      <c r="O1791" s="216" t="s">
        <v>5602</v>
      </c>
      <c r="P1791" s="247"/>
      <c r="Q1791" s="375" t="s">
        <v>87</v>
      </c>
      <c r="R1791" s="982" t="s">
        <v>5601</v>
      </c>
      <c r="S1791" s="279">
        <v>30697</v>
      </c>
      <c r="T1791" s="197"/>
      <c r="U1791" s="251" t="s">
        <v>54</v>
      </c>
      <c r="V1791" s="197"/>
      <c r="W1791" s="1420" t="s">
        <v>56</v>
      </c>
      <c r="X1791" s="1420" t="s">
        <v>57</v>
      </c>
      <c r="Y1791" s="197"/>
      <c r="Z1791" s="246"/>
      <c r="AA1791" s="374"/>
      <c r="AB1791" s="257"/>
      <c r="AC1791" s="223"/>
      <c r="AD1791" s="257"/>
      <c r="AE1791" s="494"/>
      <c r="AF1791" s="494"/>
      <c r="AG1791" s="282"/>
      <c r="AH1791" s="299"/>
      <c r="AI1791" s="386"/>
      <c r="AJ1791" s="348" t="s">
        <v>560</v>
      </c>
      <c r="AK1791" s="219">
        <v>4</v>
      </c>
      <c r="AL1791" s="110" t="s">
        <v>558</v>
      </c>
      <c r="AM1791" s="110" t="s">
        <v>552</v>
      </c>
      <c r="AN1791" s="121"/>
      <c r="AO1791" s="3"/>
      <c r="AR1791" s="115"/>
    </row>
    <row r="1792" spans="1:46" ht="39" customHeight="1" x14ac:dyDescent="0.3">
      <c r="A1792" s="1468">
        <v>1791</v>
      </c>
      <c r="B1792" s="110">
        <v>1</v>
      </c>
      <c r="C1792" s="939" t="s">
        <v>325</v>
      </c>
      <c r="D1792" s="404"/>
      <c r="E1792" s="622"/>
      <c r="F1792" s="622"/>
      <c r="G1792" s="623" t="s">
        <v>324</v>
      </c>
      <c r="H1792" s="262" t="s">
        <v>87</v>
      </c>
      <c r="I1792" s="404"/>
      <c r="J1792" s="245" t="s">
        <v>561</v>
      </c>
      <c r="K1792" s="216"/>
      <c r="L1792" s="245"/>
      <c r="M1792" s="245"/>
      <c r="N1792" s="366"/>
      <c r="O1792" s="245"/>
      <c r="P1792" s="247"/>
      <c r="Q1792" s="375"/>
      <c r="R1792" s="982" t="s">
        <v>66</v>
      </c>
      <c r="S1792" s="279"/>
      <c r="T1792" s="197"/>
      <c r="U1792" s="197"/>
      <c r="V1792" s="197"/>
      <c r="W1792" s="250"/>
      <c r="X1792" s="197"/>
      <c r="Y1792" s="197"/>
      <c r="Z1792" s="246"/>
      <c r="AA1792" s="246"/>
      <c r="AB1792" s="241"/>
      <c r="AC1792" s="223"/>
      <c r="AD1792" s="257"/>
      <c r="AE1792" s="494"/>
      <c r="AF1792" s="494"/>
      <c r="AG1792" s="301"/>
      <c r="AH1792" s="253"/>
      <c r="AI1792" s="254"/>
      <c r="AJ1792" s="348"/>
      <c r="AK1792" s="622">
        <v>4</v>
      </c>
      <c r="AL1792" s="179" t="s">
        <v>558</v>
      </c>
      <c r="AM1792" s="179" t="s">
        <v>552</v>
      </c>
      <c r="AN1792" s="166"/>
      <c r="AO1792" s="875"/>
      <c r="AR1792" s="115"/>
    </row>
    <row r="1793" spans="1:46" s="827" customFormat="1" ht="39" customHeight="1" x14ac:dyDescent="0.3">
      <c r="A1793" s="1468">
        <v>1792</v>
      </c>
      <c r="B1793" s="110"/>
      <c r="C1793" s="596"/>
      <c r="D1793" s="578"/>
      <c r="E1793" s="597"/>
      <c r="F1793" s="597"/>
      <c r="G1793" s="598"/>
      <c r="H1793" s="599"/>
      <c r="I1793" s="578"/>
      <c r="J1793" s="598"/>
      <c r="K1793" s="578"/>
      <c r="L1793" s="602"/>
      <c r="M1793" s="602"/>
      <c r="N1793" s="578"/>
      <c r="O1793" s="602"/>
      <c r="P1793" s="600" t="s">
        <v>327</v>
      </c>
      <c r="Q1793" s="601"/>
      <c r="R1793" s="982"/>
      <c r="S1793" s="279"/>
      <c r="T1793" s="578"/>
      <c r="U1793" s="250"/>
      <c r="V1793" s="578"/>
      <c r="W1793" s="602"/>
      <c r="X1793" s="602"/>
      <c r="Y1793" s="578"/>
      <c r="Z1793" s="578"/>
      <c r="AA1793" s="578"/>
      <c r="AB1793" s="1295"/>
      <c r="AC1793" s="578"/>
      <c r="AD1793" s="659"/>
      <c r="AE1793" s="494"/>
      <c r="AF1793" s="494"/>
      <c r="AG1793" s="578"/>
      <c r="AH1793" s="578"/>
      <c r="AI1793" s="602"/>
      <c r="AJ1793" s="602"/>
      <c r="AK1793" s="597"/>
      <c r="AL1793" s="191"/>
      <c r="AM1793" s="191"/>
      <c r="AN1793" s="748"/>
      <c r="AO1793" s="750"/>
      <c r="AP1793" s="192"/>
      <c r="AQ1793" s="192"/>
      <c r="AR1793" s="192"/>
      <c r="AS1793" s="192"/>
      <c r="AT1793" s="192"/>
    </row>
    <row r="1794" spans="1:46" ht="39" customHeight="1" x14ac:dyDescent="0.3">
      <c r="A1794" s="1468">
        <v>1793</v>
      </c>
      <c r="B1794" s="110">
        <v>5</v>
      </c>
      <c r="C1794" s="943" t="s">
        <v>288</v>
      </c>
      <c r="D1794" s="451"/>
      <c r="E1794" s="884" t="s">
        <v>47</v>
      </c>
      <c r="F1794" s="884" t="s">
        <v>362</v>
      </c>
      <c r="G1794" s="885" t="s">
        <v>289</v>
      </c>
      <c r="H1794" s="886" t="s">
        <v>132</v>
      </c>
      <c r="I1794" s="451"/>
      <c r="J1794" s="256">
        <v>403</v>
      </c>
      <c r="K1794" s="257"/>
      <c r="L1794" s="1420" t="s">
        <v>5503</v>
      </c>
      <c r="M1794" s="1420" t="s">
        <v>5503</v>
      </c>
      <c r="N1794" s="299"/>
      <c r="O1794" s="245" t="s">
        <v>5539</v>
      </c>
      <c r="P1794" s="247"/>
      <c r="Q1794" s="375" t="s">
        <v>87</v>
      </c>
      <c r="R1794" s="982" t="s">
        <v>5538</v>
      </c>
      <c r="S1794" s="279">
        <v>37545</v>
      </c>
      <c r="T1794" s="289"/>
      <c r="U1794" s="251" t="s">
        <v>54</v>
      </c>
      <c r="V1794" s="250"/>
      <c r="W1794" s="1420" t="s">
        <v>56</v>
      </c>
      <c r="X1794" s="1420" t="s">
        <v>57</v>
      </c>
      <c r="Y1794" s="252"/>
      <c r="Z1794" s="252"/>
      <c r="AA1794" s="289"/>
      <c r="AB1794" s="299"/>
      <c r="AC1794" s="223"/>
      <c r="AD1794" s="299"/>
      <c r="AE1794" s="494"/>
      <c r="AF1794" s="494"/>
      <c r="AG1794" s="299"/>
      <c r="AH1794" s="299"/>
      <c r="AI1794" s="254"/>
      <c r="AJ1794" s="348" t="s">
        <v>560</v>
      </c>
      <c r="AK1794" s="618">
        <v>3</v>
      </c>
      <c r="AL1794" s="130" t="s">
        <v>558</v>
      </c>
      <c r="AM1794" s="130" t="s">
        <v>552</v>
      </c>
      <c r="AN1794" s="169"/>
      <c r="AO1794" s="878"/>
      <c r="AR1794" s="115"/>
    </row>
    <row r="1795" spans="1:46" ht="39" customHeight="1" x14ac:dyDescent="0.3">
      <c r="A1795" s="1468">
        <v>1794</v>
      </c>
      <c r="B1795" s="110">
        <v>3</v>
      </c>
      <c r="C1795" s="722" t="s">
        <v>569</v>
      </c>
      <c r="D1795" s="366"/>
      <c r="E1795" s="219"/>
      <c r="F1795" s="219" t="s">
        <v>362</v>
      </c>
      <c r="G1795" s="610" t="s">
        <v>291</v>
      </c>
      <c r="H1795" s="262" t="s">
        <v>85</v>
      </c>
      <c r="I1795" s="366"/>
      <c r="J1795" s="245" t="s">
        <v>556</v>
      </c>
      <c r="K1795" s="265"/>
      <c r="L1795" s="268"/>
      <c r="M1795" s="268"/>
      <c r="N1795" s="428"/>
      <c r="O1795" s="414"/>
      <c r="P1795" s="428"/>
      <c r="Q1795" s="268"/>
      <c r="R1795" s="982" t="s">
        <v>66</v>
      </c>
      <c r="S1795" s="279"/>
      <c r="T1795" s="496"/>
      <c r="U1795" s="250"/>
      <c r="V1795" s="268"/>
      <c r="W1795" s="268"/>
      <c r="X1795" s="268"/>
      <c r="Y1795" s="268"/>
      <c r="Z1795" s="405"/>
      <c r="AA1795" s="428"/>
      <c r="AB1795" s="496"/>
      <c r="AC1795" s="474"/>
      <c r="AD1795" s="836"/>
      <c r="AE1795" s="494"/>
      <c r="AF1795" s="494"/>
      <c r="AG1795" s="471"/>
      <c r="AH1795" s="496"/>
      <c r="AI1795" s="719"/>
      <c r="AJ1795" s="470"/>
      <c r="AK1795" s="219">
        <v>4</v>
      </c>
      <c r="AL1795" s="110" t="s">
        <v>558</v>
      </c>
      <c r="AM1795" s="110" t="s">
        <v>552</v>
      </c>
      <c r="AN1795" s="121" t="s">
        <v>4184</v>
      </c>
      <c r="AO1795" s="3"/>
      <c r="AR1795" s="115"/>
      <c r="AS1795" s="115"/>
      <c r="AT1795" s="115"/>
    </row>
    <row r="1796" spans="1:46" ht="39" customHeight="1" x14ac:dyDescent="0.3">
      <c r="A1796" s="1468">
        <v>1795</v>
      </c>
      <c r="B1796" s="110">
        <v>2</v>
      </c>
      <c r="C1796" s="722" t="s">
        <v>385</v>
      </c>
      <c r="D1796" s="366"/>
      <c r="E1796" s="219"/>
      <c r="F1796" s="219"/>
      <c r="G1796" s="610" t="s">
        <v>386</v>
      </c>
      <c r="H1796" s="262" t="s">
        <v>85</v>
      </c>
      <c r="I1796" s="366"/>
      <c r="J1796" s="245" t="s">
        <v>556</v>
      </c>
      <c r="K1796" s="257"/>
      <c r="L1796" s="1420" t="s">
        <v>5503</v>
      </c>
      <c r="M1796" s="1420" t="s">
        <v>5503</v>
      </c>
      <c r="N1796" s="299"/>
      <c r="O1796" s="245" t="s">
        <v>5652</v>
      </c>
      <c r="P1796" s="247"/>
      <c r="Q1796" s="375" t="s">
        <v>85</v>
      </c>
      <c r="R1796" s="982" t="s">
        <v>5651</v>
      </c>
      <c r="S1796" s="279">
        <v>30972</v>
      </c>
      <c r="T1796" s="289"/>
      <c r="U1796" s="251" t="s">
        <v>54</v>
      </c>
      <c r="V1796" s="299"/>
      <c r="W1796" s="1420" t="s">
        <v>56</v>
      </c>
      <c r="X1796" s="1420" t="s">
        <v>57</v>
      </c>
      <c r="Y1796" s="299"/>
      <c r="Z1796" s="299"/>
      <c r="AA1796" s="289"/>
      <c r="AB1796" s="299"/>
      <c r="AC1796" s="223"/>
      <c r="AD1796" s="299"/>
      <c r="AE1796" s="494"/>
      <c r="AF1796" s="494"/>
      <c r="AG1796" s="299"/>
      <c r="AH1796" s="299"/>
      <c r="AI1796" s="223"/>
      <c r="AJ1796" s="348" t="s">
        <v>560</v>
      </c>
      <c r="AK1796" s="219">
        <v>4</v>
      </c>
      <c r="AL1796" s="110" t="s">
        <v>558</v>
      </c>
      <c r="AM1796" s="110" t="s">
        <v>552</v>
      </c>
      <c r="AN1796" s="121"/>
      <c r="AO1796" s="3"/>
      <c r="AR1796" s="115"/>
      <c r="AS1796" s="115"/>
      <c r="AT1796" s="116"/>
    </row>
    <row r="1797" spans="1:46" ht="39" customHeight="1" x14ac:dyDescent="0.3">
      <c r="A1797" s="1468">
        <v>1796</v>
      </c>
      <c r="B1797" s="141">
        <v>2</v>
      </c>
      <c r="C1797" s="722" t="s">
        <v>311</v>
      </c>
      <c r="D1797" s="366"/>
      <c r="E1797" s="219"/>
      <c r="F1797" s="219" t="s">
        <v>362</v>
      </c>
      <c r="G1797" s="610" t="s">
        <v>312</v>
      </c>
      <c r="H1797" s="262" t="s">
        <v>85</v>
      </c>
      <c r="I1797" s="366"/>
      <c r="J1797" s="245" t="s">
        <v>556</v>
      </c>
      <c r="K1797" s="216"/>
      <c r="L1797" s="281"/>
      <c r="M1797" s="281"/>
      <c r="N1797" s="366"/>
      <c r="O1797" s="216"/>
      <c r="P1797" s="402"/>
      <c r="Q1797" s="301"/>
      <c r="R1797" s="982" t="s">
        <v>66</v>
      </c>
      <c r="S1797" s="279"/>
      <c r="T1797" s="197"/>
      <c r="U1797" s="250"/>
      <c r="V1797" s="197"/>
      <c r="W1797" s="197"/>
      <c r="X1797" s="197"/>
      <c r="Y1797" s="197"/>
      <c r="Z1797" s="246"/>
      <c r="AA1797" s="246"/>
      <c r="AB1797" s="301"/>
      <c r="AC1797" s="223"/>
      <c r="AD1797" s="301"/>
      <c r="AE1797" s="494"/>
      <c r="AF1797" s="494"/>
      <c r="AG1797" s="282"/>
      <c r="AH1797" s="301"/>
      <c r="AI1797" s="223"/>
      <c r="AJ1797" s="303"/>
      <c r="AK1797" s="219">
        <v>4</v>
      </c>
      <c r="AL1797" s="110" t="s">
        <v>558</v>
      </c>
      <c r="AM1797" s="110" t="s">
        <v>552</v>
      </c>
      <c r="AN1797" s="121"/>
      <c r="AO1797" s="3"/>
      <c r="AR1797" s="115"/>
    </row>
    <row r="1798" spans="1:46" ht="39" customHeight="1" x14ac:dyDescent="0.3">
      <c r="A1798" s="1468">
        <v>1797</v>
      </c>
      <c r="B1798" s="110">
        <v>2</v>
      </c>
      <c r="C1798" s="722" t="s">
        <v>317</v>
      </c>
      <c r="D1798" s="366"/>
      <c r="E1798" s="219"/>
      <c r="F1798" s="219" t="s">
        <v>362</v>
      </c>
      <c r="G1798" s="610" t="s">
        <v>318</v>
      </c>
      <c r="H1798" s="262" t="s">
        <v>87</v>
      </c>
      <c r="I1798" s="366"/>
      <c r="J1798" s="245" t="s">
        <v>561</v>
      </c>
      <c r="K1798" s="216"/>
      <c r="L1798" s="1420" t="s">
        <v>5503</v>
      </c>
      <c r="M1798" s="1420" t="s">
        <v>5503</v>
      </c>
      <c r="N1798" s="366"/>
      <c r="O1798" s="245" t="s">
        <v>5664</v>
      </c>
      <c r="P1798" s="247"/>
      <c r="Q1798" s="375" t="s">
        <v>87</v>
      </c>
      <c r="R1798" s="982" t="s">
        <v>5663</v>
      </c>
      <c r="S1798" s="279">
        <v>25942</v>
      </c>
      <c r="T1798" s="299"/>
      <c r="U1798" s="251" t="s">
        <v>54</v>
      </c>
      <c r="V1798" s="197"/>
      <c r="W1798" s="1420" t="s">
        <v>56</v>
      </c>
      <c r="X1798" s="1420" t="s">
        <v>57</v>
      </c>
      <c r="Y1798" s="197"/>
      <c r="Z1798" s="246"/>
      <c r="AA1798" s="252"/>
      <c r="AB1798" s="299"/>
      <c r="AC1798" s="223"/>
      <c r="AD1798" s="299"/>
      <c r="AE1798" s="494"/>
      <c r="AF1798" s="494"/>
      <c r="AG1798" s="241"/>
      <c r="AH1798" s="283"/>
      <c r="AI1798" s="254"/>
      <c r="AJ1798" s="348" t="s">
        <v>560</v>
      </c>
      <c r="AK1798" s="219">
        <v>4</v>
      </c>
      <c r="AL1798" s="110" t="s">
        <v>558</v>
      </c>
      <c r="AM1798" s="110" t="s">
        <v>552</v>
      </c>
      <c r="AN1798" s="121"/>
      <c r="AO1798" s="3"/>
      <c r="AR1798" s="115"/>
    </row>
    <row r="1799" spans="1:46" ht="39" customHeight="1" x14ac:dyDescent="0.3">
      <c r="A1799" s="1468">
        <v>1798</v>
      </c>
      <c r="B1799" s="146">
        <v>2</v>
      </c>
      <c r="C1799" s="722" t="s">
        <v>319</v>
      </c>
      <c r="D1799" s="366"/>
      <c r="E1799" s="219"/>
      <c r="F1799" s="219"/>
      <c r="G1799" s="610" t="s">
        <v>320</v>
      </c>
      <c r="H1799" s="262" t="s">
        <v>87</v>
      </c>
      <c r="I1799" s="366"/>
      <c r="J1799" s="245" t="s">
        <v>561</v>
      </c>
      <c r="K1799" s="216"/>
      <c r="L1799" s="216"/>
      <c r="M1799" s="216"/>
      <c r="N1799" s="366"/>
      <c r="O1799" s="401"/>
      <c r="P1799" s="247"/>
      <c r="Q1799" s="301"/>
      <c r="R1799" s="982" t="s">
        <v>66</v>
      </c>
      <c r="S1799" s="279"/>
      <c r="T1799" s="289"/>
      <c r="U1799" s="250"/>
      <c r="V1799" s="197"/>
      <c r="W1799" s="197"/>
      <c r="X1799" s="197"/>
      <c r="Y1799" s="197"/>
      <c r="Z1799" s="246"/>
      <c r="AA1799" s="252"/>
      <c r="AB1799" s="301"/>
      <c r="AC1799" s="223"/>
      <c r="AD1799" s="301"/>
      <c r="AE1799" s="494"/>
      <c r="AF1799" s="494"/>
      <c r="AG1799" s="385"/>
      <c r="AH1799" s="301"/>
      <c r="AI1799" s="254"/>
      <c r="AJ1799" s="303"/>
      <c r="AK1799" s="219">
        <v>4</v>
      </c>
      <c r="AL1799" s="110" t="s">
        <v>558</v>
      </c>
      <c r="AM1799" s="110" t="s">
        <v>552</v>
      </c>
      <c r="AN1799" s="121"/>
      <c r="AO1799" s="3"/>
      <c r="AR1799" s="115"/>
    </row>
    <row r="1800" spans="1:46" ht="39" customHeight="1" x14ac:dyDescent="0.3">
      <c r="A1800" s="1468">
        <v>1799</v>
      </c>
      <c r="B1800" s="141">
        <v>2</v>
      </c>
      <c r="C1800" s="722" t="s">
        <v>321</v>
      </c>
      <c r="D1800" s="366"/>
      <c r="E1800" s="219"/>
      <c r="F1800" s="219"/>
      <c r="G1800" s="610" t="s">
        <v>322</v>
      </c>
      <c r="H1800" s="262" t="s">
        <v>87</v>
      </c>
      <c r="I1800" s="366"/>
      <c r="J1800" s="245" t="s">
        <v>561</v>
      </c>
      <c r="K1800" s="216"/>
      <c r="L1800" s="1420" t="s">
        <v>5503</v>
      </c>
      <c r="M1800" s="1420" t="s">
        <v>5503</v>
      </c>
      <c r="N1800" s="281"/>
      <c r="O1800" s="245" t="s">
        <v>5572</v>
      </c>
      <c r="P1800" s="247"/>
      <c r="Q1800" s="375" t="s">
        <v>87</v>
      </c>
      <c r="R1800" s="982" t="s">
        <v>5571</v>
      </c>
      <c r="S1800" s="279">
        <v>30891</v>
      </c>
      <c r="T1800" s="250"/>
      <c r="U1800" s="251" t="s">
        <v>54</v>
      </c>
      <c r="V1800" s="197"/>
      <c r="W1800" s="1420" t="s">
        <v>56</v>
      </c>
      <c r="X1800" s="1420" t="s">
        <v>57</v>
      </c>
      <c r="Y1800" s="197"/>
      <c r="Z1800" s="246"/>
      <c r="AA1800" s="250"/>
      <c r="AB1800" s="299"/>
      <c r="AC1800" s="223"/>
      <c r="AD1800" s="299"/>
      <c r="AE1800" s="494"/>
      <c r="AF1800" s="494"/>
      <c r="AG1800" s="299"/>
      <c r="AH1800" s="299"/>
      <c r="AI1800" s="296"/>
      <c r="AJ1800" s="348" t="s">
        <v>560</v>
      </c>
      <c r="AK1800" s="219">
        <v>4</v>
      </c>
      <c r="AL1800" s="110" t="s">
        <v>558</v>
      </c>
      <c r="AM1800" s="110" t="s">
        <v>552</v>
      </c>
      <c r="AN1800" s="121"/>
      <c r="AO1800" s="3"/>
      <c r="AR1800" s="115"/>
    </row>
    <row r="1801" spans="1:46" ht="39" customHeight="1" x14ac:dyDescent="0.3">
      <c r="A1801" s="1468">
        <v>1800</v>
      </c>
      <c r="B1801" s="141">
        <v>1</v>
      </c>
      <c r="C1801" s="722" t="s">
        <v>323</v>
      </c>
      <c r="D1801" s="366"/>
      <c r="E1801" s="219"/>
      <c r="F1801" s="219"/>
      <c r="G1801" s="610" t="s">
        <v>324</v>
      </c>
      <c r="H1801" s="262" t="s">
        <v>87</v>
      </c>
      <c r="I1801" s="366"/>
      <c r="J1801" s="245" t="s">
        <v>561</v>
      </c>
      <c r="K1801" s="216"/>
      <c r="L1801" s="1420" t="s">
        <v>5503</v>
      </c>
      <c r="M1801" s="1420" t="s">
        <v>5503</v>
      </c>
      <c r="N1801" s="404"/>
      <c r="O1801" s="245" t="s">
        <v>5610</v>
      </c>
      <c r="P1801" s="247"/>
      <c r="Q1801" s="375" t="s">
        <v>87</v>
      </c>
      <c r="R1801" s="982" t="s">
        <v>5609</v>
      </c>
      <c r="S1801" s="279">
        <v>27881</v>
      </c>
      <c r="T1801" s="414"/>
      <c r="U1801" s="251" t="s">
        <v>54</v>
      </c>
      <c r="V1801" s="268"/>
      <c r="W1801" s="1420" t="s">
        <v>56</v>
      </c>
      <c r="X1801" s="1420" t="s">
        <v>57</v>
      </c>
      <c r="Y1801" s="197"/>
      <c r="Z1801" s="246"/>
      <c r="AA1801" s="246"/>
      <c r="AB1801" s="282"/>
      <c r="AC1801" s="223"/>
      <c r="AD1801" s="301"/>
      <c r="AE1801" s="494"/>
      <c r="AF1801" s="494"/>
      <c r="AG1801" s="305"/>
      <c r="AH1801" s="282"/>
      <c r="AI1801" s="223"/>
      <c r="AJ1801" s="348" t="s">
        <v>560</v>
      </c>
      <c r="AK1801" s="219">
        <v>4</v>
      </c>
      <c r="AL1801" s="110" t="s">
        <v>558</v>
      </c>
      <c r="AM1801" s="110" t="s">
        <v>552</v>
      </c>
      <c r="AN1801" s="121"/>
      <c r="AO1801" s="3"/>
      <c r="AR1801" s="115"/>
    </row>
    <row r="1802" spans="1:46" ht="39" customHeight="1" x14ac:dyDescent="0.3">
      <c r="A1802" s="1468">
        <v>1801</v>
      </c>
      <c r="B1802" s="110">
        <v>1</v>
      </c>
      <c r="C1802" s="939" t="s">
        <v>325</v>
      </c>
      <c r="D1802" s="404"/>
      <c r="E1802" s="622"/>
      <c r="F1802" s="622"/>
      <c r="G1802" s="623" t="s">
        <v>324</v>
      </c>
      <c r="H1802" s="262" t="s">
        <v>87</v>
      </c>
      <c r="I1802" s="404"/>
      <c r="J1802" s="245" t="s">
        <v>561</v>
      </c>
      <c r="K1802" s="197"/>
      <c r="L1802" s="256" t="s">
        <v>3596</v>
      </c>
      <c r="M1802" s="256" t="s">
        <v>3596</v>
      </c>
      <c r="N1802" s="245"/>
      <c r="O1802" s="216" t="s">
        <v>3604</v>
      </c>
      <c r="P1802" s="247" t="s">
        <v>1828</v>
      </c>
      <c r="Q1802" s="375" t="s">
        <v>87</v>
      </c>
      <c r="R1802" s="982" t="s">
        <v>3603</v>
      </c>
      <c r="S1802" s="279">
        <v>35619</v>
      </c>
      <c r="T1802" s="250"/>
      <c r="U1802" s="251" t="s">
        <v>54</v>
      </c>
      <c r="V1802" s="197" t="s">
        <v>5512</v>
      </c>
      <c r="W1802" s="250" t="s">
        <v>56</v>
      </c>
      <c r="X1802" s="197" t="s">
        <v>57</v>
      </c>
      <c r="Y1802" s="197" t="s">
        <v>5726</v>
      </c>
      <c r="Z1802" s="246">
        <v>45272</v>
      </c>
      <c r="AA1802" s="252"/>
      <c r="AB1802" s="281"/>
      <c r="AC1802" s="281"/>
      <c r="AD1802" s="281"/>
      <c r="AE1802" s="494"/>
      <c r="AF1802" s="494"/>
      <c r="AG1802" s="282"/>
      <c r="AH1802" s="282"/>
      <c r="AI1802" s="296"/>
      <c r="AJ1802" s="348" t="s">
        <v>560</v>
      </c>
      <c r="AK1802" s="622">
        <v>4</v>
      </c>
      <c r="AL1802" s="179" t="s">
        <v>558</v>
      </c>
      <c r="AM1802" s="179" t="s">
        <v>552</v>
      </c>
      <c r="AN1802" s="166"/>
      <c r="AO1802" s="875"/>
      <c r="AR1802" s="115"/>
    </row>
    <row r="1803" spans="1:46" s="827" customFormat="1" ht="39" customHeight="1" x14ac:dyDescent="0.3">
      <c r="A1803" s="1468">
        <v>1802</v>
      </c>
      <c r="B1803" s="110"/>
      <c r="C1803" s="596"/>
      <c r="D1803" s="578"/>
      <c r="E1803" s="597"/>
      <c r="F1803" s="597"/>
      <c r="G1803" s="598"/>
      <c r="H1803" s="599"/>
      <c r="I1803" s="578"/>
      <c r="J1803" s="598"/>
      <c r="K1803" s="578"/>
      <c r="L1803" s="602"/>
      <c r="M1803" s="602"/>
      <c r="N1803" s="578"/>
      <c r="O1803" s="602"/>
      <c r="P1803" s="600" t="s">
        <v>330</v>
      </c>
      <c r="Q1803" s="601"/>
      <c r="R1803" s="982"/>
      <c r="S1803" s="279"/>
      <c r="T1803" s="578"/>
      <c r="U1803" s="250"/>
      <c r="V1803" s="578"/>
      <c r="W1803" s="602"/>
      <c r="X1803" s="602"/>
      <c r="Y1803" s="578"/>
      <c r="Z1803" s="578"/>
      <c r="AA1803" s="578"/>
      <c r="AB1803" s="1295"/>
      <c r="AC1803" s="578"/>
      <c r="AD1803" s="659"/>
      <c r="AE1803" s="494"/>
      <c r="AF1803" s="494"/>
      <c r="AG1803" s="578"/>
      <c r="AH1803" s="578"/>
      <c r="AI1803" s="602"/>
      <c r="AJ1803" s="602"/>
      <c r="AK1803" s="597"/>
      <c r="AL1803" s="191"/>
      <c r="AM1803" s="191"/>
      <c r="AN1803" s="748"/>
      <c r="AO1803" s="750"/>
      <c r="AP1803" s="192"/>
      <c r="AQ1803" s="192"/>
      <c r="AR1803" s="192"/>
      <c r="AS1803" s="192"/>
      <c r="AT1803" s="192"/>
    </row>
    <row r="1804" spans="1:46" ht="39" customHeight="1" x14ac:dyDescent="0.3">
      <c r="A1804" s="1468">
        <v>1803</v>
      </c>
      <c r="B1804" s="110">
        <v>10</v>
      </c>
      <c r="C1804" s="942" t="s">
        <v>305</v>
      </c>
      <c r="D1804" s="628"/>
      <c r="E1804" s="879"/>
      <c r="F1804" s="879"/>
      <c r="G1804" s="880" t="s">
        <v>91</v>
      </c>
      <c r="H1804" s="244" t="s">
        <v>83</v>
      </c>
      <c r="I1804" s="628"/>
      <c r="J1804" s="245">
        <v>302</v>
      </c>
      <c r="K1804" s="197" t="s">
        <v>50</v>
      </c>
      <c r="L1804" s="216"/>
      <c r="M1804" s="216"/>
      <c r="N1804" s="245"/>
      <c r="O1804" s="216" t="s">
        <v>3355</v>
      </c>
      <c r="P1804" s="304" t="s">
        <v>1411</v>
      </c>
      <c r="Q1804" s="338" t="s">
        <v>119</v>
      </c>
      <c r="R1804" s="982" t="s">
        <v>2785</v>
      </c>
      <c r="S1804" s="279">
        <v>25183</v>
      </c>
      <c r="T1804" s="250"/>
      <c r="U1804" s="251" t="s">
        <v>54</v>
      </c>
      <c r="V1804" s="250" t="s">
        <v>4848</v>
      </c>
      <c r="W1804" s="197" t="s">
        <v>70</v>
      </c>
      <c r="X1804" s="289" t="s">
        <v>71</v>
      </c>
      <c r="Y1804" s="288" t="s">
        <v>4351</v>
      </c>
      <c r="Z1804" s="252">
        <v>45246</v>
      </c>
      <c r="AA1804" s="252"/>
      <c r="AB1804" s="281"/>
      <c r="AC1804" s="223"/>
      <c r="AD1804" s="250"/>
      <c r="AE1804" s="494"/>
      <c r="AF1804" s="494"/>
      <c r="AG1804" s="241"/>
      <c r="AH1804" s="283"/>
      <c r="AI1804" s="254"/>
      <c r="AJ1804" s="255" t="s">
        <v>62</v>
      </c>
      <c r="AK1804" s="465">
        <v>1</v>
      </c>
      <c r="AL1804" s="124" t="s">
        <v>558</v>
      </c>
      <c r="AM1804" s="124" t="s">
        <v>552</v>
      </c>
      <c r="AN1804" s="882"/>
      <c r="AO1804" s="883"/>
      <c r="AR1804" s="115"/>
    </row>
    <row r="1805" spans="1:46" s="827" customFormat="1" ht="39" customHeight="1" x14ac:dyDescent="0.3">
      <c r="A1805" s="1468">
        <v>1804</v>
      </c>
      <c r="B1805" s="110"/>
      <c r="C1805" s="596"/>
      <c r="D1805" s="578"/>
      <c r="E1805" s="597"/>
      <c r="F1805" s="597"/>
      <c r="G1805" s="598"/>
      <c r="H1805" s="599"/>
      <c r="I1805" s="578"/>
      <c r="J1805" s="598"/>
      <c r="K1805" s="578"/>
      <c r="L1805" s="602"/>
      <c r="M1805" s="602"/>
      <c r="N1805" s="578"/>
      <c r="O1805" s="602"/>
      <c r="P1805" s="600" t="s">
        <v>306</v>
      </c>
      <c r="Q1805" s="601"/>
      <c r="R1805" s="982"/>
      <c r="S1805" s="279"/>
      <c r="T1805" s="578"/>
      <c r="U1805" s="250"/>
      <c r="V1805" s="578"/>
      <c r="W1805" s="602"/>
      <c r="X1805" s="602"/>
      <c r="Y1805" s="578"/>
      <c r="Z1805" s="578"/>
      <c r="AA1805" s="578"/>
      <c r="AB1805" s="1295"/>
      <c r="AC1805" s="578"/>
      <c r="AD1805" s="659"/>
      <c r="AE1805" s="494"/>
      <c r="AF1805" s="494"/>
      <c r="AG1805" s="578"/>
      <c r="AH1805" s="578"/>
      <c r="AI1805" s="602"/>
      <c r="AJ1805" s="602"/>
      <c r="AK1805" s="597"/>
      <c r="AL1805" s="191"/>
      <c r="AM1805" s="191"/>
      <c r="AN1805" s="748"/>
      <c r="AO1805" s="750"/>
      <c r="AP1805" s="192"/>
      <c r="AQ1805" s="192"/>
      <c r="AR1805" s="192"/>
      <c r="AS1805" s="192"/>
      <c r="AT1805" s="192"/>
    </row>
    <row r="1806" spans="1:46" ht="39" customHeight="1" x14ac:dyDescent="0.3">
      <c r="A1806" s="1468">
        <v>1805</v>
      </c>
      <c r="B1806" s="110">
        <v>7</v>
      </c>
      <c r="C1806" s="943" t="s">
        <v>307</v>
      </c>
      <c r="D1806" s="451"/>
      <c r="E1806" s="884" t="s">
        <v>47</v>
      </c>
      <c r="F1806" s="884" t="s">
        <v>362</v>
      </c>
      <c r="G1806" s="885" t="s">
        <v>308</v>
      </c>
      <c r="H1806" s="886" t="s">
        <v>132</v>
      </c>
      <c r="I1806" s="371"/>
      <c r="J1806" s="256">
        <v>403</v>
      </c>
      <c r="K1806" s="451"/>
      <c r="L1806" s="1420" t="s">
        <v>5503</v>
      </c>
      <c r="M1806" s="1420" t="s">
        <v>5503</v>
      </c>
      <c r="N1806" s="451"/>
      <c r="O1806" s="216" t="s">
        <v>5705</v>
      </c>
      <c r="P1806" s="247" t="s">
        <v>551</v>
      </c>
      <c r="Q1806" s="375" t="s">
        <v>87</v>
      </c>
      <c r="R1806" s="982" t="s">
        <v>5704</v>
      </c>
      <c r="S1806" s="279">
        <v>27456</v>
      </c>
      <c r="T1806" s="451"/>
      <c r="U1806" s="251" t="s">
        <v>54</v>
      </c>
      <c r="V1806" s="451"/>
      <c r="W1806" s="1420" t="s">
        <v>56</v>
      </c>
      <c r="X1806" s="1420" t="s">
        <v>57</v>
      </c>
      <c r="Y1806" s="451"/>
      <c r="Z1806" s="451"/>
      <c r="AA1806" s="451"/>
      <c r="AB1806" s="1293"/>
      <c r="AC1806" s="451"/>
      <c r="AD1806" s="661"/>
      <c r="AE1806" s="494"/>
      <c r="AF1806" s="494"/>
      <c r="AG1806" s="451"/>
      <c r="AH1806" s="451"/>
      <c r="AI1806" s="625"/>
      <c r="AJ1806" s="743" t="s">
        <v>560</v>
      </c>
      <c r="AK1806" s="884">
        <v>3</v>
      </c>
      <c r="AL1806" s="177" t="s">
        <v>558</v>
      </c>
      <c r="AM1806" s="177" t="s">
        <v>552</v>
      </c>
      <c r="AN1806" s="169"/>
      <c r="AO1806" s="878"/>
      <c r="AR1806" s="115"/>
    </row>
    <row r="1807" spans="1:46" ht="39" customHeight="1" x14ac:dyDescent="0.3">
      <c r="A1807" s="1468">
        <v>1806</v>
      </c>
      <c r="B1807" s="110">
        <v>3</v>
      </c>
      <c r="C1807" s="722" t="s">
        <v>382</v>
      </c>
      <c r="D1807" s="366"/>
      <c r="E1807" s="219"/>
      <c r="F1807" s="219" t="s">
        <v>362</v>
      </c>
      <c r="G1807" s="610" t="s">
        <v>310</v>
      </c>
      <c r="H1807" s="262" t="s">
        <v>85</v>
      </c>
      <c r="I1807" s="366"/>
      <c r="J1807" s="245" t="s">
        <v>556</v>
      </c>
      <c r="K1807" s="216"/>
      <c r="L1807" s="1420" t="s">
        <v>5503</v>
      </c>
      <c r="M1807" s="1420" t="s">
        <v>5503</v>
      </c>
      <c r="N1807" s="374"/>
      <c r="O1807" s="265" t="s">
        <v>5703</v>
      </c>
      <c r="P1807" s="266"/>
      <c r="Q1807" s="375" t="s">
        <v>87</v>
      </c>
      <c r="R1807" s="982" t="s">
        <v>5702</v>
      </c>
      <c r="S1807" s="279">
        <v>34660</v>
      </c>
      <c r="T1807" s="257"/>
      <c r="U1807" s="251" t="s">
        <v>54</v>
      </c>
      <c r="V1807" s="197"/>
      <c r="W1807" s="1420" t="s">
        <v>56</v>
      </c>
      <c r="X1807" s="1420" t="s">
        <v>57</v>
      </c>
      <c r="Y1807" s="197"/>
      <c r="Z1807" s="246"/>
      <c r="AA1807" s="374"/>
      <c r="AB1807" s="257"/>
      <c r="AC1807" s="223"/>
      <c r="AD1807" s="288"/>
      <c r="AE1807" s="494"/>
      <c r="AF1807" s="494"/>
      <c r="AG1807" s="241"/>
      <c r="AH1807" s="299"/>
      <c r="AI1807" s="254"/>
      <c r="AJ1807" s="743" t="s">
        <v>560</v>
      </c>
      <c r="AK1807" s="219">
        <v>4</v>
      </c>
      <c r="AL1807" s="110" t="s">
        <v>558</v>
      </c>
      <c r="AM1807" s="110" t="s">
        <v>552</v>
      </c>
      <c r="AN1807" s="121" t="s">
        <v>4184</v>
      </c>
      <c r="AO1807" s="3"/>
      <c r="AR1807" s="115"/>
      <c r="AS1807" s="115"/>
      <c r="AT1807" s="115"/>
    </row>
    <row r="1808" spans="1:46" ht="39" customHeight="1" x14ac:dyDescent="0.3">
      <c r="A1808" s="1468">
        <v>1807</v>
      </c>
      <c r="B1808" s="110">
        <v>2</v>
      </c>
      <c r="C1808" s="722" t="s">
        <v>385</v>
      </c>
      <c r="D1808" s="366"/>
      <c r="E1808" s="219"/>
      <c r="F1808" s="219"/>
      <c r="G1808" s="610" t="s">
        <v>386</v>
      </c>
      <c r="H1808" s="262" t="s">
        <v>85</v>
      </c>
      <c r="I1808" s="366"/>
      <c r="J1808" s="245" t="s">
        <v>556</v>
      </c>
      <c r="K1808" s="216"/>
      <c r="L1808" s="1420" t="s">
        <v>5503</v>
      </c>
      <c r="M1808" s="1420" t="s">
        <v>5503</v>
      </c>
      <c r="N1808" s="374"/>
      <c r="O1808" s="265" t="s">
        <v>5654</v>
      </c>
      <c r="P1808" s="266"/>
      <c r="Q1808" s="375" t="s">
        <v>87</v>
      </c>
      <c r="R1808" s="982" t="s">
        <v>5653</v>
      </c>
      <c r="S1808" s="279">
        <v>36133</v>
      </c>
      <c r="T1808" s="257"/>
      <c r="U1808" s="251" t="s">
        <v>54</v>
      </c>
      <c r="V1808" s="197"/>
      <c r="W1808" s="1420" t="s">
        <v>56</v>
      </c>
      <c r="X1808" s="1420" t="s">
        <v>57</v>
      </c>
      <c r="Y1808" s="197"/>
      <c r="Z1808" s="246"/>
      <c r="AA1808" s="374"/>
      <c r="AB1808" s="257"/>
      <c r="AC1808" s="223"/>
      <c r="AD1808" s="299"/>
      <c r="AE1808" s="494"/>
      <c r="AF1808" s="494"/>
      <c r="AG1808" s="241"/>
      <c r="AH1808" s="253"/>
      <c r="AI1808" s="254"/>
      <c r="AJ1808" s="743" t="s">
        <v>560</v>
      </c>
      <c r="AK1808" s="219">
        <v>4</v>
      </c>
      <c r="AL1808" s="110" t="s">
        <v>558</v>
      </c>
      <c r="AM1808" s="110" t="s">
        <v>552</v>
      </c>
      <c r="AN1808" s="121"/>
      <c r="AO1808" s="3"/>
      <c r="AR1808" s="115"/>
      <c r="AS1808" s="115"/>
      <c r="AT1808" s="116"/>
    </row>
    <row r="1809" spans="1:46" ht="39" customHeight="1" x14ac:dyDescent="0.3">
      <c r="A1809" s="1468">
        <v>1808</v>
      </c>
      <c r="B1809" s="141">
        <v>2</v>
      </c>
      <c r="C1809" s="722" t="s">
        <v>311</v>
      </c>
      <c r="D1809" s="366"/>
      <c r="E1809" s="219"/>
      <c r="F1809" s="219" t="s">
        <v>362</v>
      </c>
      <c r="G1809" s="610" t="s">
        <v>312</v>
      </c>
      <c r="H1809" s="262" t="s">
        <v>85</v>
      </c>
      <c r="I1809" s="366"/>
      <c r="J1809" s="245" t="s">
        <v>556</v>
      </c>
      <c r="K1809" s="216"/>
      <c r="L1809" s="216"/>
      <c r="M1809" s="216"/>
      <c r="N1809" s="366"/>
      <c r="O1809" s="216"/>
      <c r="P1809" s="247"/>
      <c r="Q1809" s="301"/>
      <c r="R1809" s="982" t="s">
        <v>66</v>
      </c>
      <c r="S1809" s="279"/>
      <c r="T1809" s="289"/>
      <c r="U1809" s="250"/>
      <c r="V1809" s="197"/>
      <c r="W1809" s="197"/>
      <c r="X1809" s="197"/>
      <c r="Y1809" s="197"/>
      <c r="Z1809" s="246"/>
      <c r="AA1809" s="252"/>
      <c r="AB1809" s="281"/>
      <c r="AC1809" s="223"/>
      <c r="AD1809" s="301"/>
      <c r="AE1809" s="494"/>
      <c r="AF1809" s="494"/>
      <c r="AG1809" s="241"/>
      <c r="AH1809" s="283"/>
      <c r="AI1809" s="254"/>
      <c r="AJ1809" s="303"/>
      <c r="AK1809" s="219">
        <v>4</v>
      </c>
      <c r="AL1809" s="110" t="s">
        <v>558</v>
      </c>
      <c r="AM1809" s="110" t="s">
        <v>552</v>
      </c>
      <c r="AN1809" s="121"/>
      <c r="AO1809" s="3"/>
      <c r="AR1809" s="115"/>
    </row>
    <row r="1810" spans="1:46" ht="39" customHeight="1" x14ac:dyDescent="0.3">
      <c r="A1810" s="1468">
        <v>1809</v>
      </c>
      <c r="B1810" s="110">
        <v>2</v>
      </c>
      <c r="C1810" s="722" t="s">
        <v>317</v>
      </c>
      <c r="D1810" s="366"/>
      <c r="E1810" s="219"/>
      <c r="F1810" s="219" t="s">
        <v>362</v>
      </c>
      <c r="G1810" s="610" t="s">
        <v>318</v>
      </c>
      <c r="H1810" s="262" t="s">
        <v>87</v>
      </c>
      <c r="I1810" s="366"/>
      <c r="J1810" s="245" t="s">
        <v>561</v>
      </c>
      <c r="K1810" s="257"/>
      <c r="L1810" s="1420" t="s">
        <v>5503</v>
      </c>
      <c r="M1810" s="1420" t="s">
        <v>5503</v>
      </c>
      <c r="N1810" s="299"/>
      <c r="O1810" s="265" t="s">
        <v>5666</v>
      </c>
      <c r="P1810" s="266"/>
      <c r="Q1810" s="375" t="s">
        <v>87</v>
      </c>
      <c r="R1810" s="982" t="s">
        <v>5665</v>
      </c>
      <c r="S1810" s="279">
        <v>34119</v>
      </c>
      <c r="T1810" s="289"/>
      <c r="U1810" s="251" t="s">
        <v>54</v>
      </c>
      <c r="V1810" s="299"/>
      <c r="W1810" s="1420" t="s">
        <v>56</v>
      </c>
      <c r="X1810" s="1420" t="s">
        <v>57</v>
      </c>
      <c r="Y1810" s="299"/>
      <c r="Z1810" s="299"/>
      <c r="AA1810" s="289"/>
      <c r="AB1810" s="299"/>
      <c r="AC1810" s="223"/>
      <c r="AD1810" s="299"/>
      <c r="AE1810" s="494"/>
      <c r="AF1810" s="494"/>
      <c r="AG1810" s="299"/>
      <c r="AH1810" s="299"/>
      <c r="AI1810" s="223"/>
      <c r="AJ1810" s="743" t="s">
        <v>560</v>
      </c>
      <c r="AK1810" s="219">
        <v>4</v>
      </c>
      <c r="AL1810" s="110" t="s">
        <v>558</v>
      </c>
      <c r="AM1810" s="110" t="s">
        <v>552</v>
      </c>
      <c r="AN1810" s="121"/>
      <c r="AO1810" s="3"/>
      <c r="AR1810" s="115"/>
    </row>
    <row r="1811" spans="1:46" ht="39" customHeight="1" x14ac:dyDescent="0.3">
      <c r="A1811" s="1468">
        <v>1810</v>
      </c>
      <c r="B1811" s="146">
        <v>2</v>
      </c>
      <c r="C1811" s="722" t="s">
        <v>319</v>
      </c>
      <c r="D1811" s="366"/>
      <c r="E1811" s="219"/>
      <c r="F1811" s="219"/>
      <c r="G1811" s="610" t="s">
        <v>320</v>
      </c>
      <c r="H1811" s="262" t="s">
        <v>87</v>
      </c>
      <c r="I1811" s="366"/>
      <c r="J1811" s="245" t="s">
        <v>561</v>
      </c>
      <c r="K1811" s="366"/>
      <c r="L1811" s="392"/>
      <c r="M1811" s="392"/>
      <c r="N1811" s="366"/>
      <c r="O1811" s="392"/>
      <c r="P1811" s="609"/>
      <c r="Q1811" s="301"/>
      <c r="R1811" s="982" t="s">
        <v>66</v>
      </c>
      <c r="S1811" s="279"/>
      <c r="T1811" s="366"/>
      <c r="U1811" s="250"/>
      <c r="V1811" s="366"/>
      <c r="W1811" s="392"/>
      <c r="X1811" s="392"/>
      <c r="Y1811" s="366"/>
      <c r="Z1811" s="366"/>
      <c r="AA1811" s="366"/>
      <c r="AB1811" s="1289"/>
      <c r="AC1811" s="366"/>
      <c r="AD1811" s="658"/>
      <c r="AE1811" s="494"/>
      <c r="AF1811" s="494"/>
      <c r="AG1811" s="366"/>
      <c r="AH1811" s="366"/>
      <c r="AI1811" s="284"/>
      <c r="AJ1811" s="303"/>
      <c r="AK1811" s="219">
        <v>4</v>
      </c>
      <c r="AL1811" s="110" t="s">
        <v>558</v>
      </c>
      <c r="AM1811" s="110" t="s">
        <v>552</v>
      </c>
      <c r="AN1811" s="121"/>
      <c r="AO1811" s="3"/>
      <c r="AR1811" s="115"/>
    </row>
    <row r="1812" spans="1:46" ht="39" customHeight="1" x14ac:dyDescent="0.3">
      <c r="A1812" s="1468">
        <v>1811</v>
      </c>
      <c r="B1812" s="141">
        <v>2</v>
      </c>
      <c r="C1812" s="722" t="s">
        <v>321</v>
      </c>
      <c r="D1812" s="366"/>
      <c r="E1812" s="219"/>
      <c r="F1812" s="219"/>
      <c r="G1812" s="610" t="s">
        <v>322</v>
      </c>
      <c r="H1812" s="262" t="s">
        <v>87</v>
      </c>
      <c r="I1812" s="366"/>
      <c r="J1812" s="245" t="s">
        <v>561</v>
      </c>
      <c r="K1812" s="265" t="s">
        <v>313</v>
      </c>
      <c r="L1812" s="394" t="s">
        <v>333</v>
      </c>
      <c r="M1812" s="265" t="s">
        <v>333</v>
      </c>
      <c r="N1812" s="404"/>
      <c r="O1812" s="265" t="s">
        <v>3317</v>
      </c>
      <c r="P1812" s="266"/>
      <c r="Q1812" s="375" t="s">
        <v>293</v>
      </c>
      <c r="R1812" s="982" t="s">
        <v>334</v>
      </c>
      <c r="S1812" s="279">
        <v>38114</v>
      </c>
      <c r="T1812" s="414"/>
      <c r="U1812" s="251" t="s">
        <v>54</v>
      </c>
      <c r="V1812" s="268" t="s">
        <v>315</v>
      </c>
      <c r="W1812" s="268" t="s">
        <v>56</v>
      </c>
      <c r="X1812" s="268" t="s">
        <v>302</v>
      </c>
      <c r="Y1812" s="268" t="s">
        <v>316</v>
      </c>
      <c r="Z1812" s="246">
        <v>45141</v>
      </c>
      <c r="AA1812" s="405"/>
      <c r="AB1812" s="268"/>
      <c r="AC1812" s="474"/>
      <c r="AD1812" s="268"/>
      <c r="AE1812" s="494">
        <v>44890</v>
      </c>
      <c r="AF1812" s="494">
        <v>45254</v>
      </c>
      <c r="AG1812" s="481"/>
      <c r="AH1812" s="585"/>
      <c r="AI1812" s="493"/>
      <c r="AJ1812" s="743" t="s">
        <v>560</v>
      </c>
      <c r="AK1812" s="219">
        <v>4</v>
      </c>
      <c r="AL1812" s="110" t="s">
        <v>558</v>
      </c>
      <c r="AM1812" s="110" t="s">
        <v>552</v>
      </c>
      <c r="AN1812" s="121"/>
      <c r="AO1812" s="3"/>
      <c r="AR1812" s="115"/>
    </row>
    <row r="1813" spans="1:46" ht="39" customHeight="1" x14ac:dyDescent="0.3">
      <c r="A1813" s="1468">
        <v>1812</v>
      </c>
      <c r="B1813" s="141">
        <v>1</v>
      </c>
      <c r="C1813" s="722" t="s">
        <v>323</v>
      </c>
      <c r="D1813" s="366"/>
      <c r="E1813" s="219"/>
      <c r="F1813" s="219"/>
      <c r="G1813" s="610" t="s">
        <v>324</v>
      </c>
      <c r="H1813" s="262" t="s">
        <v>87</v>
      </c>
      <c r="I1813" s="366"/>
      <c r="J1813" s="245" t="s">
        <v>561</v>
      </c>
      <c r="K1813" s="197"/>
      <c r="L1813" s="1420" t="s">
        <v>5503</v>
      </c>
      <c r="M1813" s="1420" t="s">
        <v>5503</v>
      </c>
      <c r="N1813" s="245"/>
      <c r="O1813" s="265" t="s">
        <v>5630</v>
      </c>
      <c r="P1813" s="266"/>
      <c r="Q1813" s="375" t="s">
        <v>87</v>
      </c>
      <c r="R1813" s="982" t="s">
        <v>5629</v>
      </c>
      <c r="S1813" s="279">
        <v>27957</v>
      </c>
      <c r="T1813" s="250"/>
      <c r="U1813" s="251" t="s">
        <v>54</v>
      </c>
      <c r="V1813" s="197"/>
      <c r="W1813" s="1420" t="s">
        <v>56</v>
      </c>
      <c r="X1813" s="1420" t="s">
        <v>57</v>
      </c>
      <c r="Y1813" s="197"/>
      <c r="Z1813" s="246"/>
      <c r="AA1813" s="252"/>
      <c r="AB1813" s="281"/>
      <c r="AC1813" s="281"/>
      <c r="AD1813" s="281"/>
      <c r="AE1813" s="494"/>
      <c r="AF1813" s="494"/>
      <c r="AG1813" s="282"/>
      <c r="AH1813" s="282"/>
      <c r="AI1813" s="296"/>
      <c r="AJ1813" s="743" t="s">
        <v>560</v>
      </c>
      <c r="AK1813" s="219">
        <v>4</v>
      </c>
      <c r="AL1813" s="110" t="s">
        <v>558</v>
      </c>
      <c r="AM1813" s="110" t="s">
        <v>552</v>
      </c>
      <c r="AN1813" s="121"/>
      <c r="AO1813" s="3"/>
      <c r="AR1813" s="115"/>
    </row>
    <row r="1814" spans="1:46" ht="39" customHeight="1" x14ac:dyDescent="0.3">
      <c r="A1814" s="1468">
        <v>1813</v>
      </c>
      <c r="B1814" s="110">
        <v>1</v>
      </c>
      <c r="C1814" s="939" t="s">
        <v>325</v>
      </c>
      <c r="D1814" s="404"/>
      <c r="E1814" s="622"/>
      <c r="F1814" s="622"/>
      <c r="G1814" s="623" t="s">
        <v>324</v>
      </c>
      <c r="H1814" s="262" t="s">
        <v>87</v>
      </c>
      <c r="I1814" s="404"/>
      <c r="J1814" s="245" t="s">
        <v>561</v>
      </c>
      <c r="K1814" s="216"/>
      <c r="L1814" s="289" t="s">
        <v>3596</v>
      </c>
      <c r="M1814" s="289" t="s">
        <v>3596</v>
      </c>
      <c r="N1814" s="366"/>
      <c r="O1814" s="265" t="s">
        <v>3607</v>
      </c>
      <c r="P1814" s="266" t="s">
        <v>1828</v>
      </c>
      <c r="Q1814" s="375" t="s">
        <v>87</v>
      </c>
      <c r="R1814" s="982" t="s">
        <v>3606</v>
      </c>
      <c r="S1814" s="279">
        <v>31902</v>
      </c>
      <c r="T1814" s="257"/>
      <c r="U1814" s="251" t="s">
        <v>54</v>
      </c>
      <c r="V1814" s="197" t="s">
        <v>5512</v>
      </c>
      <c r="W1814" s="250" t="s">
        <v>56</v>
      </c>
      <c r="X1814" s="197" t="s">
        <v>57</v>
      </c>
      <c r="Y1814" s="197" t="s">
        <v>5726</v>
      </c>
      <c r="Z1814" s="246">
        <v>45272</v>
      </c>
      <c r="AA1814" s="388"/>
      <c r="AB1814" s="257"/>
      <c r="AC1814" s="223"/>
      <c r="AD1814" s="257"/>
      <c r="AE1814" s="494"/>
      <c r="AF1814" s="494"/>
      <c r="AG1814" s="241"/>
      <c r="AH1814" s="299"/>
      <c r="AI1814" s="322"/>
      <c r="AJ1814" s="743" t="s">
        <v>560</v>
      </c>
      <c r="AK1814" s="622">
        <v>4</v>
      </c>
      <c r="AL1814" s="179" t="s">
        <v>558</v>
      </c>
      <c r="AM1814" s="179" t="s">
        <v>552</v>
      </c>
      <c r="AN1814" s="166"/>
      <c r="AO1814" s="875"/>
      <c r="AR1814" s="115"/>
    </row>
    <row r="1815" spans="1:46" s="827" customFormat="1" ht="39" customHeight="1" x14ac:dyDescent="0.3">
      <c r="A1815" s="1468">
        <v>1814</v>
      </c>
      <c r="B1815" s="110"/>
      <c r="C1815" s="596"/>
      <c r="D1815" s="578"/>
      <c r="E1815" s="597"/>
      <c r="F1815" s="597"/>
      <c r="G1815" s="598"/>
      <c r="H1815" s="599"/>
      <c r="I1815" s="578"/>
      <c r="J1815" s="598"/>
      <c r="K1815" s="578"/>
      <c r="L1815" s="602"/>
      <c r="M1815" s="602"/>
      <c r="N1815" s="578"/>
      <c r="O1815" s="602"/>
      <c r="P1815" s="600" t="s">
        <v>326</v>
      </c>
      <c r="Q1815" s="601"/>
      <c r="R1815" s="982"/>
      <c r="S1815" s="279"/>
      <c r="T1815" s="578"/>
      <c r="U1815" s="250"/>
      <c r="V1815" s="578"/>
      <c r="W1815" s="602"/>
      <c r="X1815" s="602"/>
      <c r="Y1815" s="578"/>
      <c r="Z1815" s="578"/>
      <c r="AA1815" s="578"/>
      <c r="AB1815" s="1295"/>
      <c r="AC1815" s="578"/>
      <c r="AD1815" s="659"/>
      <c r="AE1815" s="494"/>
      <c r="AF1815" s="494"/>
      <c r="AG1815" s="578"/>
      <c r="AH1815" s="578"/>
      <c r="AI1815" s="602"/>
      <c r="AJ1815" s="602"/>
      <c r="AK1815" s="597"/>
      <c r="AL1815" s="191"/>
      <c r="AM1815" s="191"/>
      <c r="AN1815" s="748"/>
      <c r="AO1815" s="750"/>
      <c r="AP1815" s="192"/>
      <c r="AQ1815" s="192"/>
      <c r="AR1815" s="192"/>
      <c r="AS1815" s="192"/>
      <c r="AT1815" s="192"/>
    </row>
    <row r="1816" spans="1:46" ht="39" customHeight="1" x14ac:dyDescent="0.3">
      <c r="A1816" s="1468">
        <v>1815</v>
      </c>
      <c r="B1816" s="110">
        <v>5</v>
      </c>
      <c r="C1816" s="943" t="s">
        <v>288</v>
      </c>
      <c r="D1816" s="451"/>
      <c r="E1816" s="884" t="s">
        <v>47</v>
      </c>
      <c r="F1816" s="884" t="s">
        <v>362</v>
      </c>
      <c r="G1816" s="885" t="s">
        <v>289</v>
      </c>
      <c r="H1816" s="886" t="s">
        <v>132</v>
      </c>
      <c r="I1816" s="451"/>
      <c r="J1816" s="256">
        <v>403</v>
      </c>
      <c r="K1816" s="684"/>
      <c r="L1816" s="1420" t="s">
        <v>5503</v>
      </c>
      <c r="M1816" s="1420" t="s">
        <v>5503</v>
      </c>
      <c r="N1816" s="684"/>
      <c r="O1816" s="265" t="s">
        <v>5638</v>
      </c>
      <c r="P1816" s="266"/>
      <c r="Q1816" s="375" t="s">
        <v>132</v>
      </c>
      <c r="R1816" s="982" t="s">
        <v>5637</v>
      </c>
      <c r="S1816" s="279">
        <v>31895</v>
      </c>
      <c r="T1816" s="684"/>
      <c r="U1816" s="251" t="s">
        <v>54</v>
      </c>
      <c r="V1816" s="684"/>
      <c r="W1816" s="1420" t="s">
        <v>56</v>
      </c>
      <c r="X1816" s="1420" t="s">
        <v>57</v>
      </c>
      <c r="Y1816" s="684"/>
      <c r="Z1816" s="684"/>
      <c r="AA1816" s="684"/>
      <c r="AB1816" s="1290"/>
      <c r="AC1816" s="684"/>
      <c r="AD1816" s="686"/>
      <c r="AE1816" s="494"/>
      <c r="AF1816" s="494"/>
      <c r="AG1816" s="684"/>
      <c r="AH1816" s="684"/>
      <c r="AI1816" s="685"/>
      <c r="AJ1816" s="743" t="s">
        <v>560</v>
      </c>
      <c r="AK1816" s="884">
        <v>3</v>
      </c>
      <c r="AL1816" s="177" t="s">
        <v>558</v>
      </c>
      <c r="AM1816" s="177" t="s">
        <v>552</v>
      </c>
      <c r="AN1816" s="169"/>
      <c r="AO1816" s="878"/>
      <c r="AR1816" s="115"/>
    </row>
    <row r="1817" spans="1:46" ht="39" customHeight="1" x14ac:dyDescent="0.3">
      <c r="A1817" s="1468">
        <v>1816</v>
      </c>
      <c r="B1817" s="110">
        <v>3</v>
      </c>
      <c r="C1817" s="722" t="s">
        <v>569</v>
      </c>
      <c r="D1817" s="366"/>
      <c r="E1817" s="219"/>
      <c r="F1817" s="219" t="s">
        <v>362</v>
      </c>
      <c r="G1817" s="610" t="s">
        <v>291</v>
      </c>
      <c r="H1817" s="262" t="s">
        <v>85</v>
      </c>
      <c r="I1817" s="366"/>
      <c r="J1817" s="245" t="s">
        <v>556</v>
      </c>
      <c r="K1817" s="296"/>
      <c r="L1817" s="1420" t="s">
        <v>5503</v>
      </c>
      <c r="M1817" s="1420" t="s">
        <v>5503</v>
      </c>
      <c r="N1817" s="245"/>
      <c r="O1817" s="265" t="s">
        <v>5713</v>
      </c>
      <c r="P1817" s="266"/>
      <c r="Q1817" s="375" t="s">
        <v>87</v>
      </c>
      <c r="R1817" s="982" t="s">
        <v>5712</v>
      </c>
      <c r="S1817" s="279">
        <v>29440</v>
      </c>
      <c r="T1817" s="307"/>
      <c r="U1817" s="251" t="s">
        <v>54</v>
      </c>
      <c r="V1817" s="197"/>
      <c r="W1817" s="1420" t="s">
        <v>56</v>
      </c>
      <c r="X1817" s="1420" t="s">
        <v>57</v>
      </c>
      <c r="Y1817" s="197"/>
      <c r="Z1817" s="246"/>
      <c r="AA1817" s="246"/>
      <c r="AB1817" s="250"/>
      <c r="AC1817" s="223"/>
      <c r="AD1817" s="299"/>
      <c r="AE1817" s="494"/>
      <c r="AF1817" s="494"/>
      <c r="AG1817" s="241"/>
      <c r="AH1817" s="253"/>
      <c r="AI1817" s="254"/>
      <c r="AJ1817" s="743" t="s">
        <v>560</v>
      </c>
      <c r="AK1817" s="219">
        <v>4</v>
      </c>
      <c r="AL1817" s="110" t="s">
        <v>558</v>
      </c>
      <c r="AM1817" s="110" t="s">
        <v>552</v>
      </c>
      <c r="AN1817" s="121" t="s">
        <v>4184</v>
      </c>
      <c r="AO1817" s="3"/>
      <c r="AR1817" s="115"/>
      <c r="AS1817" s="115"/>
      <c r="AT1817" s="115"/>
    </row>
    <row r="1818" spans="1:46" ht="39" customHeight="1" x14ac:dyDescent="0.3">
      <c r="A1818" s="1468">
        <v>1817</v>
      </c>
      <c r="B1818" s="110">
        <v>2</v>
      </c>
      <c r="C1818" s="722" t="s">
        <v>385</v>
      </c>
      <c r="D1818" s="366"/>
      <c r="E1818" s="219"/>
      <c r="F1818" s="219"/>
      <c r="G1818" s="610" t="s">
        <v>386</v>
      </c>
      <c r="H1818" s="262" t="s">
        <v>85</v>
      </c>
      <c r="I1818" s="366"/>
      <c r="J1818" s="245" t="s">
        <v>556</v>
      </c>
      <c r="K1818" s="257"/>
      <c r="L1818" s="1420" t="s">
        <v>5503</v>
      </c>
      <c r="M1818" s="1420" t="s">
        <v>5503</v>
      </c>
      <c r="N1818" s="299"/>
      <c r="O1818" s="265" t="s">
        <v>5658</v>
      </c>
      <c r="P1818" s="266"/>
      <c r="Q1818" s="375" t="s">
        <v>87</v>
      </c>
      <c r="R1818" s="982" t="s">
        <v>5657</v>
      </c>
      <c r="S1818" s="279">
        <v>29369</v>
      </c>
      <c r="T1818" s="289"/>
      <c r="U1818" s="251" t="s">
        <v>54</v>
      </c>
      <c r="V1818" s="299"/>
      <c r="W1818" s="1420" t="s">
        <v>56</v>
      </c>
      <c r="X1818" s="1420" t="s">
        <v>57</v>
      </c>
      <c r="Y1818" s="299"/>
      <c r="Z1818" s="299"/>
      <c r="AA1818" s="289"/>
      <c r="AB1818" s="299"/>
      <c r="AC1818" s="223"/>
      <c r="AD1818" s="299"/>
      <c r="AE1818" s="494"/>
      <c r="AF1818" s="494"/>
      <c r="AG1818" s="299"/>
      <c r="AH1818" s="299"/>
      <c r="AI1818" s="223"/>
      <c r="AJ1818" s="743" t="s">
        <v>560</v>
      </c>
      <c r="AK1818" s="219">
        <v>4</v>
      </c>
      <c r="AL1818" s="110" t="s">
        <v>558</v>
      </c>
      <c r="AM1818" s="110" t="s">
        <v>552</v>
      </c>
      <c r="AN1818" s="121"/>
      <c r="AO1818" s="3"/>
      <c r="AR1818" s="115"/>
      <c r="AS1818" s="115"/>
      <c r="AT1818" s="116"/>
    </row>
    <row r="1819" spans="1:46" ht="39" customHeight="1" x14ac:dyDescent="0.3">
      <c r="A1819" s="1468">
        <v>1818</v>
      </c>
      <c r="B1819" s="141">
        <v>2</v>
      </c>
      <c r="C1819" s="722" t="s">
        <v>311</v>
      </c>
      <c r="D1819" s="366"/>
      <c r="E1819" s="219"/>
      <c r="F1819" s="219" t="s">
        <v>362</v>
      </c>
      <c r="G1819" s="610" t="s">
        <v>312</v>
      </c>
      <c r="H1819" s="262" t="s">
        <v>85</v>
      </c>
      <c r="I1819" s="366"/>
      <c r="J1819" s="245" t="s">
        <v>556</v>
      </c>
      <c r="K1819" s="434"/>
      <c r="L1819" s="496"/>
      <c r="M1819" s="496"/>
      <c r="N1819" s="496"/>
      <c r="O1819" s="265"/>
      <c r="P1819" s="505"/>
      <c r="Q1819" s="394"/>
      <c r="R1819" s="982" t="s">
        <v>66</v>
      </c>
      <c r="S1819" s="279"/>
      <c r="T1819" s="440"/>
      <c r="U1819" s="250"/>
      <c r="V1819" s="496"/>
      <c r="W1819" s="268"/>
      <c r="X1819" s="496"/>
      <c r="Y1819" s="496"/>
      <c r="Z1819" s="496"/>
      <c r="AA1819" s="440"/>
      <c r="AB1819" s="496"/>
      <c r="AC1819" s="474"/>
      <c r="AD1819" s="496"/>
      <c r="AE1819" s="494"/>
      <c r="AF1819" s="494"/>
      <c r="AG1819" s="496"/>
      <c r="AH1819" s="496"/>
      <c r="AI1819" s="474"/>
      <c r="AJ1819" s="470"/>
      <c r="AK1819" s="219">
        <v>4</v>
      </c>
      <c r="AL1819" s="110" t="s">
        <v>558</v>
      </c>
      <c r="AM1819" s="110" t="s">
        <v>552</v>
      </c>
      <c r="AN1819" s="121"/>
      <c r="AO1819" s="3"/>
      <c r="AR1819" s="115"/>
    </row>
    <row r="1820" spans="1:46" ht="39" customHeight="1" x14ac:dyDescent="0.3">
      <c r="A1820" s="1468">
        <v>1819</v>
      </c>
      <c r="B1820" s="110">
        <v>2</v>
      </c>
      <c r="C1820" s="722" t="s">
        <v>317</v>
      </c>
      <c r="D1820" s="366"/>
      <c r="E1820" s="219"/>
      <c r="F1820" s="219" t="s">
        <v>362</v>
      </c>
      <c r="G1820" s="610" t="s">
        <v>318</v>
      </c>
      <c r="H1820" s="262" t="s">
        <v>87</v>
      </c>
      <c r="I1820" s="366"/>
      <c r="J1820" s="245" t="s">
        <v>561</v>
      </c>
      <c r="K1820" s="197"/>
      <c r="L1820" s="1420" t="s">
        <v>5503</v>
      </c>
      <c r="M1820" s="1420" t="s">
        <v>5503</v>
      </c>
      <c r="N1820" s="245"/>
      <c r="O1820" s="265" t="s">
        <v>5701</v>
      </c>
      <c r="P1820" s="266"/>
      <c r="Q1820" s="375" t="s">
        <v>567</v>
      </c>
      <c r="R1820" s="982" t="s">
        <v>5700</v>
      </c>
      <c r="S1820" s="279">
        <v>28567</v>
      </c>
      <c r="T1820" s="250"/>
      <c r="U1820" s="251" t="s">
        <v>54</v>
      </c>
      <c r="V1820" s="197"/>
      <c r="W1820" s="1420" t="s">
        <v>56</v>
      </c>
      <c r="X1820" s="1420" t="s">
        <v>57</v>
      </c>
      <c r="Y1820" s="197"/>
      <c r="Z1820" s="246"/>
      <c r="AA1820" s="252"/>
      <c r="AB1820" s="281"/>
      <c r="AC1820" s="281"/>
      <c r="AD1820" s="281"/>
      <c r="AE1820" s="494"/>
      <c r="AF1820" s="494"/>
      <c r="AG1820" s="282"/>
      <c r="AH1820" s="282"/>
      <c r="AI1820" s="296"/>
      <c r="AJ1820" s="743" t="s">
        <v>560</v>
      </c>
      <c r="AK1820" s="219">
        <v>4</v>
      </c>
      <c r="AL1820" s="110" t="s">
        <v>558</v>
      </c>
      <c r="AM1820" s="110" t="s">
        <v>552</v>
      </c>
      <c r="AN1820" s="121"/>
      <c r="AO1820" s="3"/>
      <c r="AR1820" s="115"/>
    </row>
    <row r="1821" spans="1:46" ht="39" customHeight="1" x14ac:dyDescent="0.3">
      <c r="A1821" s="1468">
        <v>1820</v>
      </c>
      <c r="B1821" s="146">
        <v>2</v>
      </c>
      <c r="C1821" s="722" t="s">
        <v>319</v>
      </c>
      <c r="D1821" s="366"/>
      <c r="E1821" s="219"/>
      <c r="F1821" s="219"/>
      <c r="G1821" s="610" t="s">
        <v>320</v>
      </c>
      <c r="H1821" s="262" t="s">
        <v>87</v>
      </c>
      <c r="I1821" s="366"/>
      <c r="J1821" s="245" t="s">
        <v>561</v>
      </c>
      <c r="K1821" s="216"/>
      <c r="L1821" s="216"/>
      <c r="M1821" s="216"/>
      <c r="N1821" s="404"/>
      <c r="O1821" s="414"/>
      <c r="P1821" s="428"/>
      <c r="Q1821" s="394"/>
      <c r="R1821" s="982" t="s">
        <v>66</v>
      </c>
      <c r="S1821" s="279"/>
      <c r="T1821" s="434"/>
      <c r="U1821" s="250"/>
      <c r="V1821" s="268"/>
      <c r="W1821" s="197"/>
      <c r="X1821" s="197"/>
      <c r="Y1821" s="197"/>
      <c r="Z1821" s="246"/>
      <c r="AA1821" s="257"/>
      <c r="AB1821" s="257"/>
      <c r="AC1821" s="223"/>
      <c r="AD1821" s="257"/>
      <c r="AE1821" s="494"/>
      <c r="AF1821" s="494"/>
      <c r="AG1821" s="241"/>
      <c r="AH1821" s="299"/>
      <c r="AI1821" s="296"/>
      <c r="AJ1821" s="303"/>
      <c r="AK1821" s="219">
        <v>4</v>
      </c>
      <c r="AL1821" s="110" t="s">
        <v>558</v>
      </c>
      <c r="AM1821" s="110" t="s">
        <v>552</v>
      </c>
      <c r="AN1821" s="121"/>
      <c r="AO1821" s="3"/>
      <c r="AR1821" s="115"/>
    </row>
    <row r="1822" spans="1:46" ht="39" customHeight="1" x14ac:dyDescent="0.3">
      <c r="A1822" s="1468">
        <v>1821</v>
      </c>
      <c r="B1822" s="141">
        <v>2</v>
      </c>
      <c r="C1822" s="722" t="s">
        <v>321</v>
      </c>
      <c r="D1822" s="366"/>
      <c r="E1822" s="219"/>
      <c r="F1822" s="219"/>
      <c r="G1822" s="610" t="s">
        <v>322</v>
      </c>
      <c r="H1822" s="262" t="s">
        <v>87</v>
      </c>
      <c r="I1822" s="366"/>
      <c r="J1822" s="245" t="s">
        <v>561</v>
      </c>
      <c r="K1822" s="265"/>
      <c r="L1822" s="1420" t="s">
        <v>5503</v>
      </c>
      <c r="M1822" s="1420" t="s">
        <v>5503</v>
      </c>
      <c r="N1822" s="404"/>
      <c r="O1822" s="265" t="s">
        <v>5620</v>
      </c>
      <c r="P1822" s="266"/>
      <c r="Q1822" s="375" t="s">
        <v>87</v>
      </c>
      <c r="R1822" s="982" t="s">
        <v>5619</v>
      </c>
      <c r="S1822" s="279">
        <v>32680</v>
      </c>
      <c r="T1822" s="414"/>
      <c r="U1822" s="251" t="s">
        <v>54</v>
      </c>
      <c r="V1822" s="268"/>
      <c r="W1822" s="1420" t="s">
        <v>56</v>
      </c>
      <c r="X1822" s="1420" t="s">
        <v>57</v>
      </c>
      <c r="Y1822" s="197"/>
      <c r="Z1822" s="246"/>
      <c r="AA1822" s="252"/>
      <c r="AB1822" s="257"/>
      <c r="AC1822" s="223"/>
      <c r="AD1822" s="299"/>
      <c r="AE1822" s="494"/>
      <c r="AF1822" s="494"/>
      <c r="AG1822" s="241"/>
      <c r="AH1822" s="301"/>
      <c r="AI1822" s="401"/>
      <c r="AJ1822" s="743" t="s">
        <v>560</v>
      </c>
      <c r="AK1822" s="219">
        <v>4</v>
      </c>
      <c r="AL1822" s="110" t="s">
        <v>558</v>
      </c>
      <c r="AM1822" s="110" t="s">
        <v>552</v>
      </c>
      <c r="AN1822" s="121"/>
      <c r="AO1822" s="3"/>
      <c r="AR1822" s="115"/>
    </row>
    <row r="1823" spans="1:46" ht="39" customHeight="1" x14ac:dyDescent="0.3">
      <c r="A1823" s="1468">
        <v>1822</v>
      </c>
      <c r="B1823" s="141">
        <v>1</v>
      </c>
      <c r="C1823" s="722" t="s">
        <v>323</v>
      </c>
      <c r="D1823" s="366"/>
      <c r="E1823" s="219"/>
      <c r="F1823" s="219"/>
      <c r="G1823" s="610" t="s">
        <v>324</v>
      </c>
      <c r="H1823" s="262" t="s">
        <v>87</v>
      </c>
      <c r="I1823" s="366"/>
      <c r="J1823" s="245" t="s">
        <v>561</v>
      </c>
      <c r="K1823" s="257"/>
      <c r="L1823" s="1420" t="s">
        <v>5503</v>
      </c>
      <c r="M1823" s="1420" t="s">
        <v>5503</v>
      </c>
      <c r="N1823" s="299"/>
      <c r="O1823" s="265" t="s">
        <v>5636</v>
      </c>
      <c r="P1823" s="266"/>
      <c r="Q1823" s="375" t="s">
        <v>87</v>
      </c>
      <c r="R1823" s="982" t="s">
        <v>5635</v>
      </c>
      <c r="S1823" s="279">
        <v>27193</v>
      </c>
      <c r="T1823" s="289"/>
      <c r="U1823" s="251" t="s">
        <v>54</v>
      </c>
      <c r="V1823" s="299"/>
      <c r="W1823" s="1420" t="s">
        <v>56</v>
      </c>
      <c r="X1823" s="1420" t="s">
        <v>57</v>
      </c>
      <c r="Y1823" s="299"/>
      <c r="Z1823" s="299"/>
      <c r="AA1823" s="289"/>
      <c r="AB1823" s="299"/>
      <c r="AC1823" s="223"/>
      <c r="AD1823" s="299"/>
      <c r="AE1823" s="494"/>
      <c r="AF1823" s="494"/>
      <c r="AG1823" s="299"/>
      <c r="AH1823" s="299"/>
      <c r="AI1823" s="223"/>
      <c r="AJ1823" s="743" t="s">
        <v>560</v>
      </c>
      <c r="AK1823" s="219">
        <v>4</v>
      </c>
      <c r="AL1823" s="110" t="s">
        <v>558</v>
      </c>
      <c r="AM1823" s="110" t="s">
        <v>552</v>
      </c>
      <c r="AN1823" s="121"/>
      <c r="AO1823" s="3"/>
      <c r="AR1823" s="115"/>
    </row>
    <row r="1824" spans="1:46" ht="39" customHeight="1" x14ac:dyDescent="0.3">
      <c r="A1824" s="1468">
        <v>1823</v>
      </c>
      <c r="B1824" s="110">
        <v>1</v>
      </c>
      <c r="C1824" s="939" t="s">
        <v>325</v>
      </c>
      <c r="D1824" s="404"/>
      <c r="E1824" s="622"/>
      <c r="F1824" s="622"/>
      <c r="G1824" s="623" t="s">
        <v>324</v>
      </c>
      <c r="H1824" s="262" t="s">
        <v>87</v>
      </c>
      <c r="I1824" s="404"/>
      <c r="J1824" s="245" t="s">
        <v>561</v>
      </c>
      <c r="K1824" s="366"/>
      <c r="L1824" s="1459" t="s">
        <v>5503</v>
      </c>
      <c r="M1824" s="1459" t="s">
        <v>5503</v>
      </c>
      <c r="N1824" s="366"/>
      <c r="O1824" s="1459" t="s">
        <v>5511</v>
      </c>
      <c r="P1824" s="627" t="s">
        <v>551</v>
      </c>
      <c r="Q1824" s="344" t="s">
        <v>132</v>
      </c>
      <c r="R1824" s="982" t="s">
        <v>5510</v>
      </c>
      <c r="S1824" s="279">
        <v>27427</v>
      </c>
      <c r="T1824" s="366"/>
      <c r="U1824" s="251" t="s">
        <v>54</v>
      </c>
      <c r="V1824" s="366"/>
      <c r="W1824" s="1459" t="s">
        <v>56</v>
      </c>
      <c r="X1824" s="1459" t="s">
        <v>57</v>
      </c>
      <c r="Y1824" s="366"/>
      <c r="Z1824" s="366"/>
      <c r="AA1824" s="366"/>
      <c r="AB1824" s="1289"/>
      <c r="AC1824" s="366"/>
      <c r="AD1824" s="658"/>
      <c r="AE1824" s="494"/>
      <c r="AF1824" s="494"/>
      <c r="AG1824" s="366"/>
      <c r="AH1824" s="366"/>
      <c r="AI1824" s="1459"/>
      <c r="AJ1824" s="348" t="s">
        <v>560</v>
      </c>
      <c r="AK1824" s="622">
        <v>4</v>
      </c>
      <c r="AL1824" s="179" t="s">
        <v>558</v>
      </c>
      <c r="AM1824" s="179" t="s">
        <v>552</v>
      </c>
      <c r="AN1824" s="166"/>
      <c r="AO1824" s="875"/>
      <c r="AR1824" s="115"/>
    </row>
    <row r="1825" spans="1:46" s="827" customFormat="1" ht="39" customHeight="1" x14ac:dyDescent="0.3">
      <c r="A1825" s="1468">
        <v>1824</v>
      </c>
      <c r="B1825" s="110"/>
      <c r="C1825" s="596"/>
      <c r="D1825" s="578"/>
      <c r="E1825" s="597"/>
      <c r="F1825" s="597"/>
      <c r="G1825" s="598"/>
      <c r="H1825" s="599"/>
      <c r="I1825" s="578"/>
      <c r="J1825" s="598"/>
      <c r="K1825" s="578"/>
      <c r="L1825" s="602"/>
      <c r="M1825" s="602"/>
      <c r="N1825" s="578"/>
      <c r="O1825" s="602"/>
      <c r="P1825" s="600" t="s">
        <v>327</v>
      </c>
      <c r="Q1825" s="601"/>
      <c r="R1825" s="982"/>
      <c r="S1825" s="279"/>
      <c r="T1825" s="578"/>
      <c r="U1825" s="250"/>
      <c r="V1825" s="578"/>
      <c r="W1825" s="602"/>
      <c r="X1825" s="602"/>
      <c r="Y1825" s="578"/>
      <c r="Z1825" s="578"/>
      <c r="AA1825" s="578"/>
      <c r="AB1825" s="1295"/>
      <c r="AC1825" s="578"/>
      <c r="AD1825" s="659"/>
      <c r="AE1825" s="494"/>
      <c r="AF1825" s="494"/>
      <c r="AG1825" s="578"/>
      <c r="AH1825" s="578"/>
      <c r="AI1825" s="602"/>
      <c r="AJ1825" s="602"/>
      <c r="AK1825" s="597"/>
      <c r="AL1825" s="191"/>
      <c r="AM1825" s="191"/>
      <c r="AN1825" s="748"/>
      <c r="AO1825" s="750"/>
      <c r="AP1825" s="192"/>
      <c r="AQ1825" s="192"/>
      <c r="AR1825" s="192"/>
      <c r="AS1825" s="192"/>
      <c r="AT1825" s="192"/>
    </row>
    <row r="1826" spans="1:46" ht="39" customHeight="1" x14ac:dyDescent="0.3">
      <c r="A1826" s="1468">
        <v>1825</v>
      </c>
      <c r="B1826" s="110">
        <v>5</v>
      </c>
      <c r="C1826" s="943" t="s">
        <v>288</v>
      </c>
      <c r="D1826" s="451"/>
      <c r="E1826" s="884" t="s">
        <v>47</v>
      </c>
      <c r="F1826" s="884" t="s">
        <v>362</v>
      </c>
      <c r="G1826" s="885" t="s">
        <v>289</v>
      </c>
      <c r="H1826" s="886" t="s">
        <v>132</v>
      </c>
      <c r="I1826" s="451"/>
      <c r="J1826" s="256">
        <v>403</v>
      </c>
      <c r="K1826" s="451"/>
      <c r="L1826" s="1420" t="s">
        <v>5503</v>
      </c>
      <c r="M1826" s="1420" t="s">
        <v>5503</v>
      </c>
      <c r="N1826" s="451"/>
      <c r="O1826" s="265" t="s">
        <v>5688</v>
      </c>
      <c r="P1826" s="266"/>
      <c r="Q1826" s="375" t="s">
        <v>132</v>
      </c>
      <c r="R1826" s="982" t="s">
        <v>5687</v>
      </c>
      <c r="S1826" s="279">
        <v>27877</v>
      </c>
      <c r="T1826" s="451"/>
      <c r="U1826" s="251" t="s">
        <v>54</v>
      </c>
      <c r="V1826" s="451"/>
      <c r="W1826" s="1420" t="s">
        <v>56</v>
      </c>
      <c r="X1826" s="1420" t="s">
        <v>57</v>
      </c>
      <c r="Y1826" s="451"/>
      <c r="Z1826" s="451"/>
      <c r="AA1826" s="451"/>
      <c r="AB1826" s="1293"/>
      <c r="AC1826" s="451"/>
      <c r="AD1826" s="661"/>
      <c r="AE1826" s="494"/>
      <c r="AF1826" s="494"/>
      <c r="AG1826" s="451"/>
      <c r="AH1826" s="451"/>
      <c r="AI1826" s="625"/>
      <c r="AJ1826" s="743" t="s">
        <v>560</v>
      </c>
      <c r="AK1826" s="884">
        <v>3</v>
      </c>
      <c r="AL1826" s="177" t="s">
        <v>558</v>
      </c>
      <c r="AM1826" s="177" t="s">
        <v>552</v>
      </c>
      <c r="AN1826" s="169"/>
      <c r="AO1826" s="878"/>
      <c r="AR1826" s="115"/>
    </row>
    <row r="1827" spans="1:46" ht="39" customHeight="1" x14ac:dyDescent="0.3">
      <c r="A1827" s="1468">
        <v>1826</v>
      </c>
      <c r="B1827" s="110">
        <v>3</v>
      </c>
      <c r="C1827" s="1139" t="s">
        <v>569</v>
      </c>
      <c r="D1827" s="366"/>
      <c r="E1827" s="219"/>
      <c r="F1827" s="219" t="s">
        <v>362</v>
      </c>
      <c r="G1827" s="610" t="s">
        <v>291</v>
      </c>
      <c r="H1827" s="262" t="s">
        <v>85</v>
      </c>
      <c r="I1827" s="366"/>
      <c r="J1827" s="245" t="s">
        <v>556</v>
      </c>
      <c r="K1827" s="257"/>
      <c r="L1827" s="299"/>
      <c r="M1827" s="299"/>
      <c r="N1827" s="299"/>
      <c r="O1827" s="216"/>
      <c r="P1827" s="300"/>
      <c r="Q1827" s="301"/>
      <c r="R1827" s="982" t="s">
        <v>66</v>
      </c>
      <c r="S1827" s="279"/>
      <c r="T1827" s="289"/>
      <c r="U1827" s="250"/>
      <c r="V1827" s="299"/>
      <c r="W1827" s="197"/>
      <c r="X1827" s="299"/>
      <c r="Y1827" s="299"/>
      <c r="Z1827" s="299"/>
      <c r="AA1827" s="289"/>
      <c r="AB1827" s="299"/>
      <c r="AC1827" s="223"/>
      <c r="AD1827" s="299"/>
      <c r="AE1827" s="494"/>
      <c r="AF1827" s="494"/>
      <c r="AG1827" s="299"/>
      <c r="AH1827" s="299"/>
      <c r="AI1827" s="223"/>
      <c r="AJ1827" s="303"/>
      <c r="AK1827" s="219">
        <v>4</v>
      </c>
      <c r="AL1827" s="110" t="s">
        <v>558</v>
      </c>
      <c r="AM1827" s="110" t="s">
        <v>552</v>
      </c>
      <c r="AN1827" s="121" t="s">
        <v>4184</v>
      </c>
      <c r="AO1827" s="3"/>
      <c r="AR1827" s="115"/>
      <c r="AS1827" s="115"/>
      <c r="AT1827" s="115"/>
    </row>
    <row r="1828" spans="1:46" ht="39" customHeight="1" x14ac:dyDescent="0.3">
      <c r="A1828" s="1468">
        <v>1827</v>
      </c>
      <c r="B1828" s="110">
        <v>2</v>
      </c>
      <c r="C1828" s="722" t="s">
        <v>385</v>
      </c>
      <c r="D1828" s="366"/>
      <c r="E1828" s="219"/>
      <c r="F1828" s="219"/>
      <c r="G1828" s="610" t="s">
        <v>386</v>
      </c>
      <c r="H1828" s="262" t="s">
        <v>85</v>
      </c>
      <c r="I1828" s="366"/>
      <c r="J1828" s="245" t="s">
        <v>556</v>
      </c>
      <c r="K1828" s="366"/>
      <c r="L1828" s="1420" t="s">
        <v>5503</v>
      </c>
      <c r="M1828" s="1420" t="s">
        <v>5503</v>
      </c>
      <c r="N1828" s="366"/>
      <c r="O1828" s="265" t="s">
        <v>5660</v>
      </c>
      <c r="P1828" s="266"/>
      <c r="Q1828" s="375" t="s">
        <v>567</v>
      </c>
      <c r="R1828" s="982" t="s">
        <v>5659</v>
      </c>
      <c r="S1828" s="279">
        <v>29393</v>
      </c>
      <c r="T1828" s="366"/>
      <c r="U1828" s="251" t="s">
        <v>54</v>
      </c>
      <c r="V1828" s="366"/>
      <c r="W1828" s="1420" t="s">
        <v>56</v>
      </c>
      <c r="X1828" s="1420" t="s">
        <v>57</v>
      </c>
      <c r="Y1828" s="366"/>
      <c r="Z1828" s="366"/>
      <c r="AA1828" s="366"/>
      <c r="AB1828" s="1289"/>
      <c r="AC1828" s="366"/>
      <c r="AD1828" s="658"/>
      <c r="AE1828" s="494"/>
      <c r="AF1828" s="494"/>
      <c r="AG1828" s="366"/>
      <c r="AH1828" s="366"/>
      <c r="AI1828" s="284"/>
      <c r="AJ1828" s="743" t="s">
        <v>560</v>
      </c>
      <c r="AK1828" s="219">
        <v>4</v>
      </c>
      <c r="AL1828" s="110" t="s">
        <v>558</v>
      </c>
      <c r="AM1828" s="110" t="s">
        <v>552</v>
      </c>
      <c r="AN1828" s="121"/>
      <c r="AO1828" s="3"/>
      <c r="AR1828" s="115"/>
      <c r="AS1828" s="115"/>
      <c r="AT1828" s="116"/>
    </row>
    <row r="1829" spans="1:46" ht="39" customHeight="1" x14ac:dyDescent="0.3">
      <c r="A1829" s="1468">
        <v>1828</v>
      </c>
      <c r="B1829" s="141">
        <v>2</v>
      </c>
      <c r="C1829" s="722" t="s">
        <v>311</v>
      </c>
      <c r="D1829" s="366"/>
      <c r="E1829" s="219"/>
      <c r="F1829" s="219" t="s">
        <v>362</v>
      </c>
      <c r="G1829" s="610" t="s">
        <v>312</v>
      </c>
      <c r="H1829" s="262" t="s">
        <v>85</v>
      </c>
      <c r="I1829" s="366"/>
      <c r="J1829" s="245" t="s">
        <v>556</v>
      </c>
      <c r="K1829" s="366"/>
      <c r="L1829" s="1420"/>
      <c r="M1829" s="1420"/>
      <c r="N1829" s="366"/>
      <c r="O1829" s="1420"/>
      <c r="P1829" s="627"/>
      <c r="Q1829" s="344"/>
      <c r="R1829" s="982" t="s">
        <v>66</v>
      </c>
      <c r="S1829" s="279"/>
      <c r="T1829" s="366"/>
      <c r="U1829" s="250"/>
      <c r="V1829" s="366"/>
      <c r="W1829" s="1420"/>
      <c r="X1829" s="1420"/>
      <c r="Y1829" s="366"/>
      <c r="Z1829" s="366"/>
      <c r="AA1829" s="366"/>
      <c r="AB1829" s="1289"/>
      <c r="AC1829" s="366"/>
      <c r="AD1829" s="658"/>
      <c r="AE1829" s="494"/>
      <c r="AF1829" s="494"/>
      <c r="AG1829" s="366"/>
      <c r="AH1829" s="366"/>
      <c r="AI1829" s="1420"/>
      <c r="AJ1829" s="348"/>
      <c r="AK1829" s="219">
        <v>4</v>
      </c>
      <c r="AL1829" s="110" t="s">
        <v>558</v>
      </c>
      <c r="AM1829" s="110" t="s">
        <v>552</v>
      </c>
      <c r="AN1829" s="121"/>
      <c r="AO1829" s="3"/>
      <c r="AR1829" s="115"/>
    </row>
    <row r="1830" spans="1:46" ht="39" customHeight="1" x14ac:dyDescent="0.3">
      <c r="A1830" s="1468">
        <v>1829</v>
      </c>
      <c r="B1830" s="110">
        <v>2</v>
      </c>
      <c r="C1830" s="722" t="s">
        <v>317</v>
      </c>
      <c r="D1830" s="366"/>
      <c r="E1830" s="219"/>
      <c r="F1830" s="219" t="s">
        <v>362</v>
      </c>
      <c r="G1830" s="610" t="s">
        <v>318</v>
      </c>
      <c r="H1830" s="262" t="s">
        <v>87</v>
      </c>
      <c r="I1830" s="366"/>
      <c r="J1830" s="245" t="s">
        <v>561</v>
      </c>
      <c r="K1830" s="366"/>
      <c r="L1830" s="1420" t="s">
        <v>5503</v>
      </c>
      <c r="M1830" s="1420" t="s">
        <v>5503</v>
      </c>
      <c r="N1830" s="366"/>
      <c r="O1830" s="265" t="s">
        <v>5711</v>
      </c>
      <c r="P1830" s="266"/>
      <c r="Q1830" s="375" t="s">
        <v>87</v>
      </c>
      <c r="R1830" s="982" t="s">
        <v>5710</v>
      </c>
      <c r="S1830" s="279">
        <v>32097</v>
      </c>
      <c r="T1830" s="366"/>
      <c r="U1830" s="251" t="s">
        <v>54</v>
      </c>
      <c r="V1830" s="366"/>
      <c r="W1830" s="1420" t="s">
        <v>56</v>
      </c>
      <c r="X1830" s="1420" t="s">
        <v>57</v>
      </c>
      <c r="Y1830" s="366"/>
      <c r="Z1830" s="366"/>
      <c r="AA1830" s="366"/>
      <c r="AB1830" s="1289"/>
      <c r="AC1830" s="366"/>
      <c r="AD1830" s="658"/>
      <c r="AE1830" s="494"/>
      <c r="AF1830" s="494"/>
      <c r="AG1830" s="366"/>
      <c r="AH1830" s="366"/>
      <c r="AI1830" s="284"/>
      <c r="AJ1830" s="348" t="s">
        <v>560</v>
      </c>
      <c r="AK1830" s="219">
        <v>4</v>
      </c>
      <c r="AL1830" s="110" t="s">
        <v>558</v>
      </c>
      <c r="AM1830" s="110" t="s">
        <v>552</v>
      </c>
      <c r="AN1830" s="121"/>
      <c r="AO1830" s="3"/>
      <c r="AR1830" s="115"/>
    </row>
    <row r="1831" spans="1:46" ht="39" customHeight="1" x14ac:dyDescent="0.3">
      <c r="A1831" s="1468">
        <v>1830</v>
      </c>
      <c r="B1831" s="146">
        <v>2</v>
      </c>
      <c r="C1831" s="722" t="s">
        <v>319</v>
      </c>
      <c r="D1831" s="366"/>
      <c r="E1831" s="219"/>
      <c r="F1831" s="219"/>
      <c r="G1831" s="610" t="s">
        <v>320</v>
      </c>
      <c r="H1831" s="262" t="s">
        <v>87</v>
      </c>
      <c r="I1831" s="366"/>
      <c r="J1831" s="245" t="s">
        <v>561</v>
      </c>
      <c r="K1831" s="366"/>
      <c r="L1831" s="392"/>
      <c r="M1831" s="392"/>
      <c r="N1831" s="366"/>
      <c r="O1831" s="392"/>
      <c r="P1831" s="609"/>
      <c r="Q1831" s="301"/>
      <c r="R1831" s="982" t="s">
        <v>66</v>
      </c>
      <c r="S1831" s="279"/>
      <c r="T1831" s="366"/>
      <c r="U1831" s="250"/>
      <c r="V1831" s="366"/>
      <c r="W1831" s="392"/>
      <c r="X1831" s="392"/>
      <c r="Y1831" s="366"/>
      <c r="Z1831" s="366"/>
      <c r="AA1831" s="366"/>
      <c r="AB1831" s="1289"/>
      <c r="AC1831" s="366"/>
      <c r="AD1831" s="658"/>
      <c r="AE1831" s="494"/>
      <c r="AF1831" s="494"/>
      <c r="AG1831" s="366"/>
      <c r="AH1831" s="366"/>
      <c r="AI1831" s="284"/>
      <c r="AJ1831" s="303"/>
      <c r="AK1831" s="219">
        <v>4</v>
      </c>
      <c r="AL1831" s="110" t="s">
        <v>558</v>
      </c>
      <c r="AM1831" s="110" t="s">
        <v>552</v>
      </c>
      <c r="AN1831" s="121"/>
      <c r="AO1831" s="3"/>
      <c r="AR1831" s="115"/>
    </row>
    <row r="1832" spans="1:46" ht="39" customHeight="1" x14ac:dyDescent="0.3">
      <c r="A1832" s="1468">
        <v>1831</v>
      </c>
      <c r="B1832" s="141">
        <v>2</v>
      </c>
      <c r="C1832" s="722" t="s">
        <v>321</v>
      </c>
      <c r="D1832" s="366"/>
      <c r="E1832" s="219"/>
      <c r="F1832" s="219"/>
      <c r="G1832" s="610" t="s">
        <v>322</v>
      </c>
      <c r="H1832" s="262" t="s">
        <v>87</v>
      </c>
      <c r="I1832" s="366"/>
      <c r="J1832" s="245" t="s">
        <v>561</v>
      </c>
      <c r="K1832" s="216"/>
      <c r="L1832" s="1420" t="s">
        <v>5503</v>
      </c>
      <c r="M1832" s="1420" t="s">
        <v>5503</v>
      </c>
      <c r="N1832" s="366"/>
      <c r="O1832" s="265" t="s">
        <v>5674</v>
      </c>
      <c r="P1832" s="266"/>
      <c r="Q1832" s="375" t="s">
        <v>87</v>
      </c>
      <c r="R1832" s="982" t="s">
        <v>5673</v>
      </c>
      <c r="S1832" s="279">
        <v>34527</v>
      </c>
      <c r="T1832" s="289"/>
      <c r="U1832" s="251" t="s">
        <v>54</v>
      </c>
      <c r="V1832" s="197"/>
      <c r="W1832" s="1420" t="s">
        <v>56</v>
      </c>
      <c r="X1832" s="1420" t="s">
        <v>57</v>
      </c>
      <c r="Y1832" s="197"/>
      <c r="Z1832" s="246"/>
      <c r="AA1832" s="252"/>
      <c r="AB1832" s="288"/>
      <c r="AC1832" s="223"/>
      <c r="AD1832" s="288"/>
      <c r="AE1832" s="494"/>
      <c r="AF1832" s="494"/>
      <c r="AG1832" s="301"/>
      <c r="AH1832" s="281"/>
      <c r="AI1832" s="254"/>
      <c r="AJ1832" s="743" t="s">
        <v>560</v>
      </c>
      <c r="AK1832" s="219">
        <v>4</v>
      </c>
      <c r="AL1832" s="110" t="s">
        <v>558</v>
      </c>
      <c r="AM1832" s="110" t="s">
        <v>552</v>
      </c>
      <c r="AN1832" s="121"/>
      <c r="AO1832" s="3"/>
      <c r="AR1832" s="115"/>
    </row>
    <row r="1833" spans="1:46" ht="39" customHeight="1" x14ac:dyDescent="0.3">
      <c r="A1833" s="1468">
        <v>1832</v>
      </c>
      <c r="B1833" s="141">
        <v>1</v>
      </c>
      <c r="C1833" s="722" t="s">
        <v>323</v>
      </c>
      <c r="D1833" s="366"/>
      <c r="E1833" s="219"/>
      <c r="F1833" s="219"/>
      <c r="G1833" s="610" t="s">
        <v>324</v>
      </c>
      <c r="H1833" s="262" t="s">
        <v>87</v>
      </c>
      <c r="I1833" s="366"/>
      <c r="J1833" s="245" t="s">
        <v>561</v>
      </c>
      <c r="K1833" s="257"/>
      <c r="L1833" s="1420" t="s">
        <v>5503</v>
      </c>
      <c r="M1833" s="1420" t="s">
        <v>5503</v>
      </c>
      <c r="N1833" s="299"/>
      <c r="O1833" s="265" t="s">
        <v>5680</v>
      </c>
      <c r="P1833" s="266"/>
      <c r="Q1833" s="375" t="s">
        <v>87</v>
      </c>
      <c r="R1833" s="982" t="s">
        <v>5679</v>
      </c>
      <c r="S1833" s="279">
        <v>29490</v>
      </c>
      <c r="T1833" s="289"/>
      <c r="U1833" s="251" t="s">
        <v>54</v>
      </c>
      <c r="V1833" s="299"/>
      <c r="W1833" s="1420" t="s">
        <v>56</v>
      </c>
      <c r="X1833" s="1420" t="s">
        <v>57</v>
      </c>
      <c r="Y1833" s="299"/>
      <c r="Z1833" s="299"/>
      <c r="AA1833" s="289"/>
      <c r="AB1833" s="299"/>
      <c r="AC1833" s="223"/>
      <c r="AD1833" s="299"/>
      <c r="AE1833" s="494"/>
      <c r="AF1833" s="494"/>
      <c r="AG1833" s="299"/>
      <c r="AH1833" s="299"/>
      <c r="AI1833" s="223"/>
      <c r="AJ1833" s="743" t="s">
        <v>560</v>
      </c>
      <c r="AK1833" s="219">
        <v>4</v>
      </c>
      <c r="AL1833" s="110" t="s">
        <v>558</v>
      </c>
      <c r="AM1833" s="110" t="s">
        <v>552</v>
      </c>
      <c r="AN1833" s="121"/>
      <c r="AO1833" s="3"/>
      <c r="AR1833" s="115"/>
    </row>
    <row r="1834" spans="1:46" ht="39" customHeight="1" x14ac:dyDescent="0.3">
      <c r="A1834" s="1468">
        <v>1833</v>
      </c>
      <c r="B1834" s="110">
        <v>1</v>
      </c>
      <c r="C1834" s="939" t="s">
        <v>325</v>
      </c>
      <c r="D1834" s="404"/>
      <c r="E1834" s="622"/>
      <c r="F1834" s="622"/>
      <c r="G1834" s="623" t="s">
        <v>324</v>
      </c>
      <c r="H1834" s="262" t="s">
        <v>87</v>
      </c>
      <c r="I1834" s="404"/>
      <c r="J1834" s="245" t="s">
        <v>561</v>
      </c>
      <c r="K1834" s="216"/>
      <c r="L1834" s="289" t="s">
        <v>3968</v>
      </c>
      <c r="M1834" s="289" t="s">
        <v>3968</v>
      </c>
      <c r="N1834" s="366"/>
      <c r="O1834" s="216" t="s">
        <v>4028</v>
      </c>
      <c r="P1834" s="402" t="s">
        <v>1828</v>
      </c>
      <c r="Q1834" s="375" t="s">
        <v>293</v>
      </c>
      <c r="R1834" s="982" t="s">
        <v>4027</v>
      </c>
      <c r="S1834" s="279">
        <v>25922</v>
      </c>
      <c r="T1834" s="250"/>
      <c r="U1834" s="251" t="s">
        <v>54</v>
      </c>
      <c r="V1834" s="197" t="s">
        <v>5512</v>
      </c>
      <c r="W1834" s="250" t="s">
        <v>70</v>
      </c>
      <c r="X1834" s="197" t="s">
        <v>71</v>
      </c>
      <c r="Y1834" s="197" t="s">
        <v>5726</v>
      </c>
      <c r="Z1834" s="246">
        <v>45272</v>
      </c>
      <c r="AA1834" s="252"/>
      <c r="AB1834" s="257"/>
      <c r="AC1834" s="223"/>
      <c r="AD1834" s="257"/>
      <c r="AE1834" s="494"/>
      <c r="AF1834" s="494"/>
      <c r="AG1834" s="385"/>
      <c r="AH1834" s="426"/>
      <c r="AI1834" s="254"/>
      <c r="AJ1834" s="743" t="s">
        <v>560</v>
      </c>
      <c r="AK1834" s="622">
        <v>4</v>
      </c>
      <c r="AL1834" s="179" t="s">
        <v>558</v>
      </c>
      <c r="AM1834" s="179" t="s">
        <v>552</v>
      </c>
      <c r="AN1834" s="166"/>
      <c r="AO1834" s="875"/>
      <c r="AR1834" s="115"/>
    </row>
    <row r="1835" spans="1:46" s="827" customFormat="1" ht="39" customHeight="1" x14ac:dyDescent="0.3">
      <c r="A1835" s="1468">
        <v>1834</v>
      </c>
      <c r="B1835" s="110"/>
      <c r="C1835" s="596"/>
      <c r="D1835" s="578"/>
      <c r="E1835" s="597"/>
      <c r="F1835" s="597"/>
      <c r="G1835" s="598"/>
      <c r="H1835" s="599"/>
      <c r="I1835" s="578"/>
      <c r="J1835" s="598"/>
      <c r="K1835" s="578"/>
      <c r="L1835" s="602"/>
      <c r="M1835" s="602"/>
      <c r="N1835" s="578"/>
      <c r="O1835" s="602"/>
      <c r="P1835" s="600" t="s">
        <v>572</v>
      </c>
      <c r="Q1835" s="601"/>
      <c r="R1835" s="982"/>
      <c r="S1835" s="279"/>
      <c r="T1835" s="366"/>
      <c r="U1835" s="250"/>
      <c r="V1835" s="366"/>
      <c r="W1835" s="602"/>
      <c r="X1835" s="602"/>
      <c r="Y1835" s="578"/>
      <c r="Z1835" s="578"/>
      <c r="AA1835" s="578"/>
      <c r="AB1835" s="1295"/>
      <c r="AC1835" s="578"/>
      <c r="AD1835" s="659"/>
      <c r="AE1835" s="494"/>
      <c r="AF1835" s="494"/>
      <c r="AG1835" s="578"/>
      <c r="AH1835" s="578"/>
      <c r="AI1835" s="602"/>
      <c r="AJ1835" s="602"/>
      <c r="AK1835" s="597"/>
      <c r="AL1835" s="191"/>
      <c r="AM1835" s="191"/>
      <c r="AN1835" s="748"/>
      <c r="AO1835" s="750"/>
      <c r="AP1835" s="192"/>
      <c r="AQ1835" s="192"/>
      <c r="AR1835" s="192"/>
      <c r="AS1835" s="192"/>
      <c r="AT1835" s="192"/>
    </row>
    <row r="1836" spans="1:46" ht="39" customHeight="1" x14ac:dyDescent="0.3">
      <c r="A1836" s="1468">
        <v>1835</v>
      </c>
      <c r="B1836" s="110">
        <v>5</v>
      </c>
      <c r="C1836" s="943" t="s">
        <v>367</v>
      </c>
      <c r="D1836" s="451"/>
      <c r="E1836" s="884" t="s">
        <v>47</v>
      </c>
      <c r="F1836" s="884" t="s">
        <v>362</v>
      </c>
      <c r="G1836" s="885" t="s">
        <v>389</v>
      </c>
      <c r="H1836" s="886" t="s">
        <v>132</v>
      </c>
      <c r="I1836" s="451"/>
      <c r="J1836" s="256">
        <v>403</v>
      </c>
      <c r="K1836" s="451"/>
      <c r="L1836" s="1420"/>
      <c r="M1836" s="1420"/>
      <c r="N1836" s="451"/>
      <c r="O1836" s="216" t="s">
        <v>5735</v>
      </c>
      <c r="P1836" s="402"/>
      <c r="Q1836" s="831" t="s">
        <v>567</v>
      </c>
      <c r="R1836" s="982" t="s">
        <v>5734</v>
      </c>
      <c r="S1836" s="279">
        <v>30016</v>
      </c>
      <c r="T1836" s="451"/>
      <c r="U1836" s="250"/>
      <c r="V1836" s="280"/>
      <c r="W1836" s="197" t="s">
        <v>4076</v>
      </c>
      <c r="X1836" s="1420"/>
      <c r="Y1836" s="451"/>
      <c r="Z1836" s="451"/>
      <c r="AA1836" s="451"/>
      <c r="AB1836" s="1293"/>
      <c r="AC1836" s="451"/>
      <c r="AD1836" s="661"/>
      <c r="AE1836" s="494"/>
      <c r="AF1836" s="494"/>
      <c r="AG1836" s="451"/>
      <c r="AH1836" s="451"/>
      <c r="AI1836" s="625"/>
      <c r="AJ1836" s="743" t="s">
        <v>560</v>
      </c>
      <c r="AK1836" s="884">
        <v>3</v>
      </c>
      <c r="AL1836" s="177" t="s">
        <v>573</v>
      </c>
      <c r="AM1836" s="177" t="s">
        <v>552</v>
      </c>
      <c r="AN1836" s="169"/>
      <c r="AO1836" s="878"/>
      <c r="AR1836" s="115"/>
    </row>
    <row r="1837" spans="1:46" ht="39" customHeight="1" x14ac:dyDescent="0.3">
      <c r="A1837" s="1468">
        <v>1836</v>
      </c>
      <c r="B1837" s="146">
        <v>2</v>
      </c>
      <c r="C1837" s="722" t="s">
        <v>319</v>
      </c>
      <c r="D1837" s="366"/>
      <c r="E1837" s="219"/>
      <c r="F1837" s="219" t="s">
        <v>362</v>
      </c>
      <c r="G1837" s="610" t="s">
        <v>387</v>
      </c>
      <c r="H1837" s="262" t="s">
        <v>87</v>
      </c>
      <c r="I1837" s="366"/>
      <c r="J1837" s="245" t="s">
        <v>561</v>
      </c>
      <c r="K1837" s="216"/>
      <c r="L1837" s="1420"/>
      <c r="M1837" s="1420"/>
      <c r="N1837" s="366"/>
      <c r="O1837" s="216" t="s">
        <v>3935</v>
      </c>
      <c r="P1837" s="402" t="s">
        <v>1828</v>
      </c>
      <c r="Q1837" s="831" t="s">
        <v>87</v>
      </c>
      <c r="R1837" s="982" t="s">
        <v>3934</v>
      </c>
      <c r="S1837" s="279">
        <v>30082</v>
      </c>
      <c r="T1837" s="482"/>
      <c r="U1837" s="251" t="s">
        <v>54</v>
      </c>
      <c r="V1837" s="280" t="s">
        <v>3959</v>
      </c>
      <c r="W1837" s="197" t="s">
        <v>70</v>
      </c>
      <c r="X1837" s="289" t="s">
        <v>71</v>
      </c>
      <c r="Y1837" s="280" t="s">
        <v>4351</v>
      </c>
      <c r="Z1837" s="486">
        <v>45226</v>
      </c>
      <c r="AA1837" s="252"/>
      <c r="AB1837" s="301"/>
      <c r="AC1837" s="223"/>
      <c r="AD1837" s="301"/>
      <c r="AE1837" s="494"/>
      <c r="AF1837" s="494"/>
      <c r="AG1837" s="385"/>
      <c r="AH1837" s="483"/>
      <c r="AI1837" s="254"/>
      <c r="AJ1837" s="743" t="s">
        <v>560</v>
      </c>
      <c r="AK1837" s="219">
        <v>4</v>
      </c>
      <c r="AL1837" s="110" t="s">
        <v>573</v>
      </c>
      <c r="AM1837" s="110" t="s">
        <v>552</v>
      </c>
      <c r="AN1837" s="121"/>
      <c r="AO1837" s="3"/>
      <c r="AR1837" s="115"/>
    </row>
    <row r="1838" spans="1:46" ht="39" customHeight="1" x14ac:dyDescent="0.3">
      <c r="A1838" s="1468">
        <v>1837</v>
      </c>
      <c r="B1838" s="110">
        <v>2</v>
      </c>
      <c r="C1838" s="722" t="s">
        <v>317</v>
      </c>
      <c r="D1838" s="366"/>
      <c r="E1838" s="219"/>
      <c r="F1838" s="219"/>
      <c r="G1838" s="610" t="s">
        <v>2072</v>
      </c>
      <c r="H1838" s="262" t="s">
        <v>87</v>
      </c>
      <c r="I1838" s="366"/>
      <c r="J1838" s="245" t="s">
        <v>561</v>
      </c>
      <c r="K1838" s="216"/>
      <c r="L1838" s="1420" t="s">
        <v>5503</v>
      </c>
      <c r="M1838" s="1420" t="s">
        <v>5503</v>
      </c>
      <c r="N1838" s="366"/>
      <c r="O1838" s="216" t="s">
        <v>5596</v>
      </c>
      <c r="P1838" s="402"/>
      <c r="Q1838" s="831" t="s">
        <v>87</v>
      </c>
      <c r="R1838" s="982" t="s">
        <v>5595</v>
      </c>
      <c r="S1838" s="279">
        <v>26617</v>
      </c>
      <c r="T1838" s="250"/>
      <c r="U1838" s="251" t="s">
        <v>54</v>
      </c>
      <c r="V1838" s="197"/>
      <c r="W1838" s="1420" t="s">
        <v>56</v>
      </c>
      <c r="X1838" s="1420" t="s">
        <v>57</v>
      </c>
      <c r="Y1838" s="197"/>
      <c r="Z1838" s="246"/>
      <c r="AA1838" s="246"/>
      <c r="AB1838" s="301"/>
      <c r="AC1838" s="223"/>
      <c r="AD1838" s="301"/>
      <c r="AE1838" s="494"/>
      <c r="AF1838" s="494"/>
      <c r="AG1838" s="305"/>
      <c r="AH1838" s="283"/>
      <c r="AI1838" s="296"/>
      <c r="AJ1838" s="743" t="s">
        <v>560</v>
      </c>
      <c r="AK1838" s="219">
        <v>4</v>
      </c>
      <c r="AL1838" s="110" t="s">
        <v>573</v>
      </c>
      <c r="AM1838" s="110" t="s">
        <v>552</v>
      </c>
      <c r="AN1838" s="121"/>
      <c r="AO1838" s="3"/>
      <c r="AR1838" s="115"/>
    </row>
    <row r="1839" spans="1:46" ht="39" customHeight="1" x14ac:dyDescent="0.3">
      <c r="A1839" s="1468">
        <v>1838</v>
      </c>
      <c r="B1839" s="146">
        <v>2</v>
      </c>
      <c r="C1839" s="722" t="s">
        <v>319</v>
      </c>
      <c r="D1839" s="366"/>
      <c r="E1839" s="219"/>
      <c r="F1839" s="219" t="s">
        <v>362</v>
      </c>
      <c r="G1839" s="610" t="s">
        <v>387</v>
      </c>
      <c r="H1839" s="262" t="s">
        <v>87</v>
      </c>
      <c r="I1839" s="366"/>
      <c r="J1839" s="245" t="s">
        <v>561</v>
      </c>
      <c r="K1839" s="257"/>
      <c r="L1839" s="1420" t="s">
        <v>5503</v>
      </c>
      <c r="M1839" s="1420" t="s">
        <v>5503</v>
      </c>
      <c r="N1839" s="299"/>
      <c r="O1839" s="216" t="s">
        <v>5624</v>
      </c>
      <c r="P1839" s="402"/>
      <c r="Q1839" s="831" t="s">
        <v>567</v>
      </c>
      <c r="R1839" s="982" t="s">
        <v>5623</v>
      </c>
      <c r="S1839" s="279">
        <v>30932</v>
      </c>
      <c r="T1839" s="289"/>
      <c r="U1839" s="251" t="s">
        <v>54</v>
      </c>
      <c r="V1839" s="299"/>
      <c r="W1839" s="1420" t="s">
        <v>56</v>
      </c>
      <c r="X1839" s="1420" t="s">
        <v>57</v>
      </c>
      <c r="Y1839" s="299"/>
      <c r="Z1839" s="299"/>
      <c r="AA1839" s="289"/>
      <c r="AB1839" s="299"/>
      <c r="AC1839" s="223"/>
      <c r="AD1839" s="299"/>
      <c r="AE1839" s="494"/>
      <c r="AF1839" s="494"/>
      <c r="AG1839" s="299"/>
      <c r="AH1839" s="299"/>
      <c r="AI1839" s="223"/>
      <c r="AJ1839" s="743" t="s">
        <v>560</v>
      </c>
      <c r="AK1839" s="219">
        <v>4</v>
      </c>
      <c r="AL1839" s="110" t="s">
        <v>573</v>
      </c>
      <c r="AM1839" s="110" t="s">
        <v>552</v>
      </c>
      <c r="AN1839" s="121"/>
      <c r="AO1839" s="3"/>
      <c r="AR1839" s="115"/>
    </row>
    <row r="1840" spans="1:46" ht="39" customHeight="1" x14ac:dyDescent="0.3">
      <c r="A1840" s="1468">
        <v>1839</v>
      </c>
      <c r="B1840" s="110">
        <v>2</v>
      </c>
      <c r="C1840" s="722" t="s">
        <v>317</v>
      </c>
      <c r="D1840" s="366"/>
      <c r="E1840" s="219"/>
      <c r="F1840" s="219" t="s">
        <v>362</v>
      </c>
      <c r="G1840" s="610" t="s">
        <v>2072</v>
      </c>
      <c r="H1840" s="262" t="s">
        <v>87</v>
      </c>
      <c r="I1840" s="366"/>
      <c r="J1840" s="245" t="s">
        <v>561</v>
      </c>
      <c r="K1840" s="216"/>
      <c r="L1840" s="1420" t="s">
        <v>5503</v>
      </c>
      <c r="M1840" s="1420" t="s">
        <v>5503</v>
      </c>
      <c r="N1840" s="366"/>
      <c r="O1840" s="216" t="s">
        <v>5693</v>
      </c>
      <c r="P1840" s="402"/>
      <c r="Q1840" s="831" t="s">
        <v>85</v>
      </c>
      <c r="R1840" s="982" t="s">
        <v>5692</v>
      </c>
      <c r="S1840" s="279">
        <v>35569</v>
      </c>
      <c r="T1840" s="250"/>
      <c r="U1840" s="251" t="s">
        <v>54</v>
      </c>
      <c r="V1840" s="197"/>
      <c r="W1840" s="1420" t="s">
        <v>56</v>
      </c>
      <c r="X1840" s="1420" t="s">
        <v>57</v>
      </c>
      <c r="Y1840" s="197"/>
      <c r="Z1840" s="246"/>
      <c r="AA1840" s="252"/>
      <c r="AB1840" s="376"/>
      <c r="AC1840" s="223"/>
      <c r="AD1840" s="301"/>
      <c r="AE1840" s="494"/>
      <c r="AF1840" s="494"/>
      <c r="AG1840" s="305"/>
      <c r="AH1840" s="301"/>
      <c r="AI1840" s="296"/>
      <c r="AJ1840" s="743" t="s">
        <v>560</v>
      </c>
      <c r="AK1840" s="219">
        <v>4</v>
      </c>
      <c r="AL1840" s="110" t="s">
        <v>573</v>
      </c>
      <c r="AM1840" s="110" t="s">
        <v>552</v>
      </c>
      <c r="AN1840" s="121"/>
      <c r="AO1840" s="3"/>
      <c r="AR1840" s="115"/>
    </row>
    <row r="1841" spans="1:46" ht="39" customHeight="1" x14ac:dyDescent="0.3">
      <c r="A1841" s="1468">
        <v>1840</v>
      </c>
      <c r="B1841" s="146">
        <v>2</v>
      </c>
      <c r="C1841" s="939" t="s">
        <v>319</v>
      </c>
      <c r="D1841" s="404"/>
      <c r="E1841" s="622"/>
      <c r="F1841" s="622"/>
      <c r="G1841" s="623" t="s">
        <v>320</v>
      </c>
      <c r="H1841" s="262" t="s">
        <v>87</v>
      </c>
      <c r="I1841" s="404"/>
      <c r="J1841" s="245" t="s">
        <v>561</v>
      </c>
      <c r="K1841" s="216"/>
      <c r="L1841" s="1420" t="s">
        <v>5503</v>
      </c>
      <c r="M1841" s="1420" t="s">
        <v>5503</v>
      </c>
      <c r="N1841" s="366"/>
      <c r="O1841" s="216" t="s">
        <v>5584</v>
      </c>
      <c r="P1841" s="402"/>
      <c r="Q1841" s="831" t="s">
        <v>87</v>
      </c>
      <c r="R1841" s="982" t="s">
        <v>5583</v>
      </c>
      <c r="S1841" s="279">
        <v>27488</v>
      </c>
      <c r="T1841" s="306"/>
      <c r="U1841" s="251" t="s">
        <v>54</v>
      </c>
      <c r="V1841" s="197"/>
      <c r="W1841" s="1420" t="s">
        <v>56</v>
      </c>
      <c r="X1841" s="1420" t="s">
        <v>57</v>
      </c>
      <c r="Y1841" s="197"/>
      <c r="Z1841" s="246"/>
      <c r="AA1841" s="252"/>
      <c r="AB1841" s="301"/>
      <c r="AC1841" s="223"/>
      <c r="AD1841" s="301"/>
      <c r="AE1841" s="494"/>
      <c r="AF1841" s="494"/>
      <c r="AG1841" s="305"/>
      <c r="AH1841" s="301"/>
      <c r="AI1841" s="254"/>
      <c r="AJ1841" s="743" t="s">
        <v>560</v>
      </c>
      <c r="AK1841" s="622">
        <v>4</v>
      </c>
      <c r="AL1841" s="179" t="s">
        <v>573</v>
      </c>
      <c r="AM1841" s="179" t="s">
        <v>552</v>
      </c>
      <c r="AN1841" s="166"/>
      <c r="AO1841" s="875"/>
      <c r="AR1841" s="115"/>
    </row>
    <row r="1842" spans="1:46" s="827" customFormat="1" ht="39" customHeight="1" x14ac:dyDescent="0.3">
      <c r="A1842" s="1468">
        <v>1841</v>
      </c>
      <c r="B1842" s="110"/>
      <c r="C1842" s="596"/>
      <c r="D1842" s="578"/>
      <c r="E1842" s="597"/>
      <c r="F1842" s="597"/>
      <c r="G1842" s="598"/>
      <c r="H1842" s="599"/>
      <c r="I1842" s="578"/>
      <c r="J1842" s="598"/>
      <c r="K1842" s="578"/>
      <c r="L1842" s="602"/>
      <c r="M1842" s="602"/>
      <c r="N1842" s="578"/>
      <c r="O1842" s="602"/>
      <c r="P1842" s="600" t="s">
        <v>574</v>
      </c>
      <c r="Q1842" s="601"/>
      <c r="R1842" s="982"/>
      <c r="S1842" s="279"/>
      <c r="T1842" s="578"/>
      <c r="U1842" s="250"/>
      <c r="V1842" s="578"/>
      <c r="W1842" s="602"/>
      <c r="X1842" s="602"/>
      <c r="Y1842" s="578"/>
      <c r="Z1842" s="578"/>
      <c r="AA1842" s="578"/>
      <c r="AB1842" s="1295"/>
      <c r="AC1842" s="578"/>
      <c r="AD1842" s="659"/>
      <c r="AE1842" s="494"/>
      <c r="AF1842" s="494"/>
      <c r="AG1842" s="578"/>
      <c r="AH1842" s="578"/>
      <c r="AI1842" s="602"/>
      <c r="AJ1842" s="602"/>
      <c r="AK1842" s="597"/>
      <c r="AL1842" s="191"/>
      <c r="AM1842" s="191"/>
      <c r="AN1842" s="748"/>
      <c r="AO1842" s="750"/>
      <c r="AP1842" s="192"/>
      <c r="AQ1842" s="192"/>
      <c r="AR1842" s="192"/>
      <c r="AS1842" s="192"/>
      <c r="AT1842" s="192"/>
    </row>
    <row r="1843" spans="1:46" ht="39" customHeight="1" x14ac:dyDescent="0.3">
      <c r="A1843" s="1468">
        <v>1842</v>
      </c>
      <c r="B1843" s="110">
        <v>5</v>
      </c>
      <c r="C1843" s="943" t="s">
        <v>367</v>
      </c>
      <c r="D1843" s="451"/>
      <c r="E1843" s="884" t="s">
        <v>47</v>
      </c>
      <c r="F1843" s="884" t="s">
        <v>362</v>
      </c>
      <c r="G1843" s="885" t="s">
        <v>396</v>
      </c>
      <c r="H1843" s="886" t="s">
        <v>132</v>
      </c>
      <c r="I1843" s="451"/>
      <c r="J1843" s="256">
        <v>403</v>
      </c>
      <c r="K1843" s="451"/>
      <c r="L1843" s="1420" t="s">
        <v>5503</v>
      </c>
      <c r="M1843" s="1420" t="s">
        <v>5503</v>
      </c>
      <c r="N1843" s="451"/>
      <c r="O1843" s="216" t="s">
        <v>5684</v>
      </c>
      <c r="P1843" s="402"/>
      <c r="Q1843" s="831" t="s">
        <v>87</v>
      </c>
      <c r="R1843" s="982" t="s">
        <v>5683</v>
      </c>
      <c r="S1843" s="279">
        <v>33787</v>
      </c>
      <c r="T1843" s="451"/>
      <c r="U1843" s="251" t="s">
        <v>54</v>
      </c>
      <c r="V1843" s="451"/>
      <c r="W1843" s="1420" t="s">
        <v>56</v>
      </c>
      <c r="X1843" s="1420" t="s">
        <v>57</v>
      </c>
      <c r="Y1843" s="451"/>
      <c r="Z1843" s="451"/>
      <c r="AA1843" s="451"/>
      <c r="AB1843" s="1293"/>
      <c r="AC1843" s="451"/>
      <c r="AD1843" s="661"/>
      <c r="AE1843" s="494"/>
      <c r="AF1843" s="494"/>
      <c r="AG1843" s="451"/>
      <c r="AH1843" s="451"/>
      <c r="AI1843" s="625"/>
      <c r="AJ1843" s="743" t="s">
        <v>560</v>
      </c>
      <c r="AK1843" s="884">
        <v>3</v>
      </c>
      <c r="AL1843" s="177" t="s">
        <v>575</v>
      </c>
      <c r="AM1843" s="177" t="s">
        <v>552</v>
      </c>
      <c r="AN1843" s="169"/>
      <c r="AO1843" s="878"/>
      <c r="AR1843" s="115"/>
    </row>
    <row r="1844" spans="1:46" ht="39" customHeight="1" x14ac:dyDescent="0.3">
      <c r="A1844" s="1468">
        <v>1843</v>
      </c>
      <c r="B1844" s="110">
        <v>3</v>
      </c>
      <c r="C1844" s="722" t="s">
        <v>397</v>
      </c>
      <c r="D1844" s="366"/>
      <c r="E1844" s="219"/>
      <c r="F1844" s="219" t="s">
        <v>362</v>
      </c>
      <c r="G1844" s="610" t="s">
        <v>398</v>
      </c>
      <c r="H1844" s="262" t="s">
        <v>85</v>
      </c>
      <c r="I1844" s="366"/>
      <c r="J1844" s="245" t="s">
        <v>556</v>
      </c>
      <c r="K1844" s="434"/>
      <c r="L1844" s="1420" t="s">
        <v>5503</v>
      </c>
      <c r="M1844" s="1420" t="s">
        <v>5503</v>
      </c>
      <c r="N1844" s="496"/>
      <c r="O1844" s="1420" t="s">
        <v>5564</v>
      </c>
      <c r="P1844" s="621"/>
      <c r="Q1844" s="743" t="s">
        <v>85</v>
      </c>
      <c r="R1844" s="982" t="s">
        <v>5563</v>
      </c>
      <c r="S1844" s="279">
        <v>31144</v>
      </c>
      <c r="T1844" s="440"/>
      <c r="U1844" s="251" t="s">
        <v>54</v>
      </c>
      <c r="V1844" s="496"/>
      <c r="W1844" s="1420" t="s">
        <v>56</v>
      </c>
      <c r="X1844" s="1420" t="s">
        <v>57</v>
      </c>
      <c r="Y1844" s="496"/>
      <c r="Z1844" s="496"/>
      <c r="AA1844" s="440"/>
      <c r="AB1844" s="496"/>
      <c r="AC1844" s="474"/>
      <c r="AD1844" s="496"/>
      <c r="AE1844" s="494"/>
      <c r="AF1844" s="494"/>
      <c r="AG1844" s="496"/>
      <c r="AH1844" s="496"/>
      <c r="AI1844" s="474"/>
      <c r="AJ1844" s="743" t="s">
        <v>560</v>
      </c>
      <c r="AK1844" s="219">
        <v>4</v>
      </c>
      <c r="AL1844" s="110" t="s">
        <v>575</v>
      </c>
      <c r="AM1844" s="110" t="s">
        <v>552</v>
      </c>
      <c r="AN1844" s="121"/>
      <c r="AO1844" s="3"/>
      <c r="AR1844" s="115"/>
    </row>
    <row r="1845" spans="1:46" ht="39" customHeight="1" x14ac:dyDescent="0.3">
      <c r="A1845" s="1468">
        <v>1844</v>
      </c>
      <c r="B1845" s="110">
        <v>2</v>
      </c>
      <c r="C1845" s="939" t="s">
        <v>86</v>
      </c>
      <c r="D1845" s="404"/>
      <c r="E1845" s="622"/>
      <c r="F1845" s="622"/>
      <c r="G1845" s="623" t="s">
        <v>399</v>
      </c>
      <c r="H1845" s="262" t="s">
        <v>87</v>
      </c>
      <c r="I1845" s="404"/>
      <c r="J1845" s="245" t="s">
        <v>561</v>
      </c>
      <c r="K1845" s="404"/>
      <c r="L1845" s="1420" t="s">
        <v>5503</v>
      </c>
      <c r="M1845" s="1420" t="s">
        <v>5503</v>
      </c>
      <c r="N1845" s="404"/>
      <c r="O1845" s="1420" t="s">
        <v>5648</v>
      </c>
      <c r="P1845" s="621"/>
      <c r="Q1845" s="743" t="s">
        <v>87</v>
      </c>
      <c r="R1845" s="982" t="s">
        <v>5647</v>
      </c>
      <c r="S1845" s="279">
        <v>29715</v>
      </c>
      <c r="T1845" s="404"/>
      <c r="U1845" s="251" t="s">
        <v>54</v>
      </c>
      <c r="V1845" s="404"/>
      <c r="W1845" s="1420" t="s">
        <v>56</v>
      </c>
      <c r="X1845" s="1420" t="s">
        <v>57</v>
      </c>
      <c r="Y1845" s="404"/>
      <c r="Z1845" s="404"/>
      <c r="AA1845" s="404"/>
      <c r="AB1845" s="1291"/>
      <c r="AC1845" s="404"/>
      <c r="AD1845" s="660"/>
      <c r="AE1845" s="494"/>
      <c r="AF1845" s="494"/>
      <c r="AG1845" s="404"/>
      <c r="AH1845" s="404"/>
      <c r="AI1845" s="284"/>
      <c r="AJ1845" s="743" t="s">
        <v>560</v>
      </c>
      <c r="AK1845" s="622">
        <v>4</v>
      </c>
      <c r="AL1845" s="179" t="s">
        <v>575</v>
      </c>
      <c r="AM1845" s="179" t="s">
        <v>552</v>
      </c>
      <c r="AN1845" s="166" t="s">
        <v>5773</v>
      </c>
      <c r="AO1845" s="875"/>
      <c r="AR1845" s="115"/>
    </row>
    <row r="1846" spans="1:46" s="827" customFormat="1" ht="39" customHeight="1" x14ac:dyDescent="0.3">
      <c r="A1846" s="1468">
        <v>1845</v>
      </c>
      <c r="B1846" s="110"/>
      <c r="C1846" s="596"/>
      <c r="D1846" s="578"/>
      <c r="E1846" s="597"/>
      <c r="F1846" s="597"/>
      <c r="G1846" s="598"/>
      <c r="H1846" s="599"/>
      <c r="I1846" s="578"/>
      <c r="J1846" s="598"/>
      <c r="K1846" s="578"/>
      <c r="L1846" s="602"/>
      <c r="M1846" s="602"/>
      <c r="N1846" s="578"/>
      <c r="O1846" s="602"/>
      <c r="P1846" s="600" t="s">
        <v>576</v>
      </c>
      <c r="Q1846" s="601"/>
      <c r="R1846" s="982"/>
      <c r="S1846" s="279"/>
      <c r="T1846" s="578"/>
      <c r="U1846" s="250"/>
      <c r="V1846" s="578"/>
      <c r="W1846" s="602"/>
      <c r="X1846" s="602"/>
      <c r="Y1846" s="578"/>
      <c r="Z1846" s="578"/>
      <c r="AA1846" s="578"/>
      <c r="AB1846" s="1295"/>
      <c r="AC1846" s="578"/>
      <c r="AD1846" s="659"/>
      <c r="AE1846" s="494"/>
      <c r="AF1846" s="494"/>
      <c r="AG1846" s="578"/>
      <c r="AH1846" s="578"/>
      <c r="AI1846" s="602"/>
      <c r="AJ1846" s="602"/>
      <c r="AK1846" s="597"/>
      <c r="AL1846" s="191"/>
      <c r="AM1846" s="191"/>
      <c r="AN1846" s="748"/>
      <c r="AO1846" s="750"/>
      <c r="AP1846" s="192"/>
      <c r="AQ1846" s="192"/>
      <c r="AR1846" s="192"/>
      <c r="AS1846" s="192"/>
      <c r="AT1846" s="192"/>
    </row>
    <row r="1847" spans="1:46" ht="39" customHeight="1" x14ac:dyDescent="0.3">
      <c r="A1847" s="1468">
        <v>1846</v>
      </c>
      <c r="B1847" s="110">
        <v>5</v>
      </c>
      <c r="C1847" s="943" t="s">
        <v>367</v>
      </c>
      <c r="D1847" s="451"/>
      <c r="E1847" s="884" t="s">
        <v>47</v>
      </c>
      <c r="F1847" s="884" t="s">
        <v>362</v>
      </c>
      <c r="G1847" s="885" t="s">
        <v>2073</v>
      </c>
      <c r="H1847" s="886" t="s">
        <v>132</v>
      </c>
      <c r="I1847" s="451"/>
      <c r="J1847" s="256">
        <v>403</v>
      </c>
      <c r="K1847" s="451"/>
      <c r="L1847" s="1420" t="s">
        <v>5503</v>
      </c>
      <c r="M1847" s="1420" t="s">
        <v>5503</v>
      </c>
      <c r="N1847" s="451"/>
      <c r="O1847" s="1420" t="s">
        <v>5634</v>
      </c>
      <c r="P1847" s="621" t="s">
        <v>551</v>
      </c>
      <c r="Q1847" s="743" t="s">
        <v>87</v>
      </c>
      <c r="R1847" s="982" t="s">
        <v>5633</v>
      </c>
      <c r="S1847" s="279">
        <v>26644</v>
      </c>
      <c r="T1847" s="451"/>
      <c r="U1847" s="251" t="s">
        <v>54</v>
      </c>
      <c r="V1847" s="451"/>
      <c r="W1847" s="1420" t="s">
        <v>56</v>
      </c>
      <c r="X1847" s="1420" t="s">
        <v>57</v>
      </c>
      <c r="Y1847" s="451"/>
      <c r="Z1847" s="451"/>
      <c r="AA1847" s="451"/>
      <c r="AB1847" s="1293"/>
      <c r="AC1847" s="451"/>
      <c r="AD1847" s="661"/>
      <c r="AE1847" s="494"/>
      <c r="AF1847" s="494"/>
      <c r="AG1847" s="451"/>
      <c r="AH1847" s="451"/>
      <c r="AI1847" s="625"/>
      <c r="AJ1847" s="743" t="s">
        <v>560</v>
      </c>
      <c r="AK1847" s="884">
        <v>3</v>
      </c>
      <c r="AL1847" s="177" t="s">
        <v>577</v>
      </c>
      <c r="AM1847" s="177" t="s">
        <v>552</v>
      </c>
      <c r="AN1847" s="169"/>
      <c r="AO1847" s="878"/>
      <c r="AR1847" s="115"/>
    </row>
    <row r="1848" spans="1:46" ht="39" customHeight="1" x14ac:dyDescent="0.3">
      <c r="A1848" s="1468">
        <v>1847</v>
      </c>
      <c r="B1848" s="110">
        <v>2</v>
      </c>
      <c r="C1848" s="722" t="s">
        <v>578</v>
      </c>
      <c r="D1848" s="366"/>
      <c r="E1848" s="219"/>
      <c r="F1848" s="219" t="s">
        <v>362</v>
      </c>
      <c r="G1848" s="610" t="s">
        <v>2061</v>
      </c>
      <c r="H1848" s="262" t="s">
        <v>87</v>
      </c>
      <c r="I1848" s="366"/>
      <c r="J1848" s="245" t="s">
        <v>561</v>
      </c>
      <c r="K1848" s="366"/>
      <c r="L1848" s="1420" t="s">
        <v>5503</v>
      </c>
      <c r="M1848" s="1420" t="s">
        <v>5503</v>
      </c>
      <c r="N1848" s="366"/>
      <c r="O1848" s="1420" t="s">
        <v>5590</v>
      </c>
      <c r="P1848" s="621"/>
      <c r="Q1848" s="743" t="s">
        <v>87</v>
      </c>
      <c r="R1848" s="982" t="s">
        <v>5589</v>
      </c>
      <c r="S1848" s="279">
        <v>33304</v>
      </c>
      <c r="T1848" s="366"/>
      <c r="U1848" s="251" t="s">
        <v>54</v>
      </c>
      <c r="V1848" s="366"/>
      <c r="W1848" s="1420" t="s">
        <v>56</v>
      </c>
      <c r="X1848" s="1420" t="s">
        <v>57</v>
      </c>
      <c r="Y1848" s="366"/>
      <c r="Z1848" s="366"/>
      <c r="AA1848" s="366"/>
      <c r="AB1848" s="1289"/>
      <c r="AC1848" s="366"/>
      <c r="AD1848" s="658"/>
      <c r="AE1848" s="494"/>
      <c r="AF1848" s="494"/>
      <c r="AG1848" s="366"/>
      <c r="AH1848" s="366"/>
      <c r="AI1848" s="284"/>
      <c r="AJ1848" s="743" t="s">
        <v>560</v>
      </c>
      <c r="AK1848" s="219">
        <v>4</v>
      </c>
      <c r="AL1848" s="110" t="s">
        <v>577</v>
      </c>
      <c r="AM1848" s="110" t="s">
        <v>552</v>
      </c>
      <c r="AN1848" s="121"/>
      <c r="AO1848" s="3"/>
      <c r="AR1848" s="115"/>
    </row>
    <row r="1849" spans="1:46" ht="39" customHeight="1" x14ac:dyDescent="0.3">
      <c r="A1849" s="1468">
        <v>1848</v>
      </c>
      <c r="B1849" s="110">
        <v>2</v>
      </c>
      <c r="C1849" s="722" t="s">
        <v>578</v>
      </c>
      <c r="D1849" s="366"/>
      <c r="E1849" s="219"/>
      <c r="F1849" s="219"/>
      <c r="G1849" s="610" t="s">
        <v>2061</v>
      </c>
      <c r="H1849" s="262" t="s">
        <v>87</v>
      </c>
      <c r="I1849" s="366"/>
      <c r="J1849" s="245" t="s">
        <v>561</v>
      </c>
      <c r="K1849" s="366"/>
      <c r="L1849" s="1420" t="s">
        <v>5503</v>
      </c>
      <c r="M1849" s="1420" t="s">
        <v>5503</v>
      </c>
      <c r="N1849" s="366"/>
      <c r="O1849" s="1420" t="s">
        <v>5606</v>
      </c>
      <c r="P1849" s="621"/>
      <c r="Q1849" s="743" t="s">
        <v>2447</v>
      </c>
      <c r="R1849" s="982" t="s">
        <v>5605</v>
      </c>
      <c r="S1849" s="279">
        <v>29425</v>
      </c>
      <c r="T1849" s="366"/>
      <c r="U1849" s="251" t="s">
        <v>54</v>
      </c>
      <c r="V1849" s="366"/>
      <c r="W1849" s="1420" t="s">
        <v>56</v>
      </c>
      <c r="X1849" s="1420" t="s">
        <v>57</v>
      </c>
      <c r="Y1849" s="366"/>
      <c r="Z1849" s="366"/>
      <c r="AA1849" s="366"/>
      <c r="AB1849" s="1289"/>
      <c r="AC1849" s="366"/>
      <c r="AD1849" s="658"/>
      <c r="AE1849" s="494"/>
      <c r="AF1849" s="494"/>
      <c r="AG1849" s="366"/>
      <c r="AH1849" s="366"/>
      <c r="AI1849" s="284"/>
      <c r="AJ1849" s="743" t="s">
        <v>560</v>
      </c>
      <c r="AK1849" s="219">
        <v>4</v>
      </c>
      <c r="AL1849" s="110" t="s">
        <v>577</v>
      </c>
      <c r="AM1849" s="110" t="s">
        <v>552</v>
      </c>
      <c r="AN1849" s="121"/>
      <c r="AO1849" s="3"/>
      <c r="AR1849" s="115"/>
    </row>
    <row r="1850" spans="1:46" ht="39" customHeight="1" x14ac:dyDescent="0.3">
      <c r="A1850" s="1468">
        <v>1849</v>
      </c>
      <c r="B1850" s="161">
        <v>2</v>
      </c>
      <c r="C1850" s="939" t="s">
        <v>353</v>
      </c>
      <c r="D1850" s="404"/>
      <c r="E1850" s="622"/>
      <c r="F1850" s="622" t="s">
        <v>362</v>
      </c>
      <c r="G1850" s="623" t="s">
        <v>354</v>
      </c>
      <c r="H1850" s="262" t="s">
        <v>87</v>
      </c>
      <c r="I1850" s="404"/>
      <c r="J1850" s="245" t="s">
        <v>561</v>
      </c>
      <c r="K1850" s="404"/>
      <c r="L1850" s="1420"/>
      <c r="M1850" s="1420"/>
      <c r="N1850" s="404"/>
      <c r="O1850" s="392" t="s">
        <v>3214</v>
      </c>
      <c r="P1850" s="621" t="s">
        <v>551</v>
      </c>
      <c r="Q1850" s="743" t="s">
        <v>85</v>
      </c>
      <c r="R1850" s="982" t="s">
        <v>1417</v>
      </c>
      <c r="S1850" s="279">
        <v>30487</v>
      </c>
      <c r="T1850" s="404"/>
      <c r="U1850" s="251" t="s">
        <v>54</v>
      </c>
      <c r="V1850" s="280" t="s">
        <v>4003</v>
      </c>
      <c r="W1850" s="197" t="s">
        <v>70</v>
      </c>
      <c r="X1850" s="289" t="s">
        <v>71</v>
      </c>
      <c r="Y1850" s="280" t="s">
        <v>4574</v>
      </c>
      <c r="Z1850" s="486">
        <v>45227</v>
      </c>
      <c r="AA1850" s="366"/>
      <c r="AB1850" s="1291"/>
      <c r="AC1850" s="404"/>
      <c r="AD1850" s="660"/>
      <c r="AE1850" s="494"/>
      <c r="AF1850" s="494"/>
      <c r="AG1850" s="404"/>
      <c r="AH1850" s="404"/>
      <c r="AI1850" s="626"/>
      <c r="AJ1850" s="743" t="s">
        <v>560</v>
      </c>
      <c r="AK1850" s="622">
        <v>4</v>
      </c>
      <c r="AL1850" s="179" t="s">
        <v>577</v>
      </c>
      <c r="AM1850" s="179" t="s">
        <v>552</v>
      </c>
      <c r="AN1850" s="166" t="s">
        <v>5764</v>
      </c>
      <c r="AO1850" s="875"/>
      <c r="AR1850" s="115"/>
      <c r="AS1850" s="115"/>
      <c r="AT1850" s="115"/>
    </row>
    <row r="1851" spans="1:46" s="827" customFormat="1" ht="39" customHeight="1" x14ac:dyDescent="0.3">
      <c r="A1851" s="1468">
        <v>1850</v>
      </c>
      <c r="B1851" s="110"/>
      <c r="C1851" s="596"/>
      <c r="D1851" s="578"/>
      <c r="E1851" s="597"/>
      <c r="F1851" s="597"/>
      <c r="G1851" s="598"/>
      <c r="H1851" s="599"/>
      <c r="I1851" s="578"/>
      <c r="J1851" s="598"/>
      <c r="K1851" s="578"/>
      <c r="L1851" s="602"/>
      <c r="M1851" s="602"/>
      <c r="N1851" s="578"/>
      <c r="O1851" s="602"/>
      <c r="P1851" s="600" t="s">
        <v>579</v>
      </c>
      <c r="Q1851" s="601"/>
      <c r="R1851" s="982"/>
      <c r="S1851" s="279"/>
      <c r="T1851" s="578"/>
      <c r="U1851" s="250"/>
      <c r="V1851" s="578"/>
      <c r="W1851" s="602"/>
      <c r="X1851" s="602"/>
      <c r="Y1851" s="578"/>
      <c r="Z1851" s="578"/>
      <c r="AA1851" s="578"/>
      <c r="AB1851" s="1295"/>
      <c r="AC1851" s="578"/>
      <c r="AD1851" s="659"/>
      <c r="AE1851" s="494"/>
      <c r="AF1851" s="494"/>
      <c r="AG1851" s="578"/>
      <c r="AH1851" s="578"/>
      <c r="AI1851" s="602"/>
      <c r="AJ1851" s="602"/>
      <c r="AK1851" s="597"/>
      <c r="AL1851" s="191"/>
      <c r="AM1851" s="191"/>
      <c r="AN1851" s="748"/>
      <c r="AO1851" s="750"/>
      <c r="AP1851" s="192"/>
      <c r="AQ1851" s="192"/>
      <c r="AR1851" s="192"/>
      <c r="AS1851" s="192"/>
      <c r="AT1851" s="192"/>
    </row>
    <row r="1852" spans="1:46" ht="39" customHeight="1" x14ac:dyDescent="0.3">
      <c r="A1852" s="1468">
        <v>1851</v>
      </c>
      <c r="B1852" s="110">
        <v>10</v>
      </c>
      <c r="C1852" s="937" t="s">
        <v>305</v>
      </c>
      <c r="D1852" s="451"/>
      <c r="E1852" s="603" t="s">
        <v>47</v>
      </c>
      <c r="F1852" s="603" t="s">
        <v>362</v>
      </c>
      <c r="G1852" s="604" t="s">
        <v>340</v>
      </c>
      <c r="H1852" s="244" t="s">
        <v>83</v>
      </c>
      <c r="I1852" s="451"/>
      <c r="J1852" s="245">
        <v>302</v>
      </c>
      <c r="K1852" s="197" t="s">
        <v>50</v>
      </c>
      <c r="L1852" s="277"/>
      <c r="M1852" s="277"/>
      <c r="N1852" s="276"/>
      <c r="O1852" s="1476" t="s">
        <v>3215</v>
      </c>
      <c r="P1852" s="708"/>
      <c r="Q1852" s="728" t="s">
        <v>119</v>
      </c>
      <c r="R1852" s="982" t="s">
        <v>1213</v>
      </c>
      <c r="S1852" s="279">
        <v>36550</v>
      </c>
      <c r="T1852" s="250"/>
      <c r="U1852" s="251" t="s">
        <v>54</v>
      </c>
      <c r="V1852" s="280" t="s">
        <v>3959</v>
      </c>
      <c r="W1852" s="197" t="s">
        <v>70</v>
      </c>
      <c r="X1852" s="289" t="s">
        <v>71</v>
      </c>
      <c r="Y1852" s="280" t="s">
        <v>4352</v>
      </c>
      <c r="Z1852" s="486">
        <v>45226</v>
      </c>
      <c r="AA1852" s="494"/>
      <c r="AB1852" s="487"/>
      <c r="AC1852" s="488"/>
      <c r="AD1852" s="487"/>
      <c r="AE1852" s="494"/>
      <c r="AF1852" s="494"/>
      <c r="AG1852" s="476"/>
      <c r="AH1852" s="489"/>
      <c r="AI1852" s="712"/>
      <c r="AJ1852" s="755" t="s">
        <v>62</v>
      </c>
      <c r="AK1852" s="603">
        <v>1</v>
      </c>
      <c r="AL1852" s="798" t="s">
        <v>581</v>
      </c>
      <c r="AM1852" s="798" t="s">
        <v>552</v>
      </c>
      <c r="AN1852" s="169"/>
      <c r="AO1852" s="878"/>
      <c r="AR1852" s="115"/>
    </row>
    <row r="1853" spans="1:46" ht="39" customHeight="1" x14ac:dyDescent="0.3">
      <c r="A1853" s="1468">
        <v>1852</v>
      </c>
      <c r="B1853" s="110">
        <v>4</v>
      </c>
      <c r="C1853" s="941" t="s">
        <v>351</v>
      </c>
      <c r="D1853" s="366"/>
      <c r="E1853" s="618"/>
      <c r="F1853" s="618" t="s">
        <v>362</v>
      </c>
      <c r="G1853" s="619" t="s">
        <v>352</v>
      </c>
      <c r="H1853" s="620" t="s">
        <v>132</v>
      </c>
      <c r="I1853" s="366"/>
      <c r="J1853" s="256">
        <v>403</v>
      </c>
      <c r="K1853" s="366"/>
      <c r="L1853" s="1420" t="s">
        <v>5816</v>
      </c>
      <c r="M1853" s="1420"/>
      <c r="N1853" s="366"/>
      <c r="O1853" s="392" t="s">
        <v>3216</v>
      </c>
      <c r="P1853" s="627" t="s">
        <v>551</v>
      </c>
      <c r="Q1853" s="344" t="s">
        <v>132</v>
      </c>
      <c r="R1853" s="982" t="s">
        <v>1389</v>
      </c>
      <c r="S1853" s="279">
        <v>33510</v>
      </c>
      <c r="T1853" s="366"/>
      <c r="U1853" s="251" t="s">
        <v>54</v>
      </c>
      <c r="V1853" s="392" t="s">
        <v>5817</v>
      </c>
      <c r="W1853" s="197" t="s">
        <v>2363</v>
      </c>
      <c r="X1853" s="197" t="s">
        <v>71</v>
      </c>
      <c r="Y1853" s="366"/>
      <c r="Z1853" s="366"/>
      <c r="AA1853" s="366"/>
      <c r="AB1853" s="1289"/>
      <c r="AC1853" s="366"/>
      <c r="AD1853" s="658"/>
      <c r="AE1853" s="494"/>
      <c r="AF1853" s="494"/>
      <c r="AG1853" s="366"/>
      <c r="AH1853" s="366"/>
      <c r="AI1853" s="392"/>
      <c r="AJ1853" s="348" t="s">
        <v>560</v>
      </c>
      <c r="AK1853" s="618">
        <v>3</v>
      </c>
      <c r="AL1853" s="130" t="s">
        <v>581</v>
      </c>
      <c r="AM1853" s="130" t="s">
        <v>552</v>
      </c>
      <c r="AN1853" s="121"/>
      <c r="AO1853" s="3"/>
      <c r="AR1853" s="115"/>
    </row>
    <row r="1854" spans="1:46" ht="39" customHeight="1" x14ac:dyDescent="0.3">
      <c r="A1854" s="1468">
        <v>1853</v>
      </c>
      <c r="B1854" s="110">
        <v>3</v>
      </c>
      <c r="C1854" s="722" t="s">
        <v>346</v>
      </c>
      <c r="D1854" s="366"/>
      <c r="E1854" s="219"/>
      <c r="F1854" s="219"/>
      <c r="G1854" s="610" t="s">
        <v>347</v>
      </c>
      <c r="H1854" s="262" t="s">
        <v>85</v>
      </c>
      <c r="I1854" s="366"/>
      <c r="J1854" s="245" t="s">
        <v>556</v>
      </c>
      <c r="K1854" s="366"/>
      <c r="L1854" s="1420" t="s">
        <v>5503</v>
      </c>
      <c r="M1854" s="1420" t="s">
        <v>5503</v>
      </c>
      <c r="N1854" s="366"/>
      <c r="O1854" s="1420" t="s">
        <v>5686</v>
      </c>
      <c r="P1854" s="627"/>
      <c r="Q1854" s="344" t="s">
        <v>87</v>
      </c>
      <c r="R1854" s="982" t="s">
        <v>5685</v>
      </c>
      <c r="S1854" s="279">
        <v>31227</v>
      </c>
      <c r="T1854" s="366"/>
      <c r="U1854" s="251" t="s">
        <v>54</v>
      </c>
      <c r="V1854" s="366"/>
      <c r="W1854" s="1420" t="s">
        <v>56</v>
      </c>
      <c r="X1854" s="1420" t="s">
        <v>57</v>
      </c>
      <c r="Y1854" s="366"/>
      <c r="Z1854" s="366"/>
      <c r="AA1854" s="366"/>
      <c r="AB1854" s="1289"/>
      <c r="AC1854" s="366"/>
      <c r="AD1854" s="658"/>
      <c r="AE1854" s="494"/>
      <c r="AF1854" s="494"/>
      <c r="AG1854" s="366"/>
      <c r="AH1854" s="366"/>
      <c r="AI1854" s="392"/>
      <c r="AJ1854" s="348" t="s">
        <v>560</v>
      </c>
      <c r="AK1854" s="219">
        <v>4</v>
      </c>
      <c r="AL1854" s="110" t="s">
        <v>581</v>
      </c>
      <c r="AM1854" s="110" t="s">
        <v>552</v>
      </c>
      <c r="AN1854" s="121" t="s">
        <v>5764</v>
      </c>
      <c r="AO1854" s="3"/>
      <c r="AR1854" s="115"/>
    </row>
    <row r="1855" spans="1:46" ht="39" customHeight="1" x14ac:dyDescent="0.3">
      <c r="A1855" s="1468">
        <v>1854</v>
      </c>
      <c r="B1855" s="146">
        <v>2</v>
      </c>
      <c r="C1855" s="722" t="s">
        <v>319</v>
      </c>
      <c r="D1855" s="366"/>
      <c r="E1855" s="219"/>
      <c r="F1855" s="219" t="s">
        <v>362</v>
      </c>
      <c r="G1855" s="610" t="s">
        <v>350</v>
      </c>
      <c r="H1855" s="262" t="s">
        <v>87</v>
      </c>
      <c r="I1855" s="366"/>
      <c r="J1855" s="245" t="s">
        <v>561</v>
      </c>
      <c r="K1855" s="366"/>
      <c r="L1855" s="392"/>
      <c r="M1855" s="392"/>
      <c r="N1855" s="366"/>
      <c r="O1855" s="265"/>
      <c r="P1855" s="402"/>
      <c r="Q1855" s="344"/>
      <c r="R1855" s="982" t="s">
        <v>66</v>
      </c>
      <c r="S1855" s="279"/>
      <c r="T1855" s="366"/>
      <c r="U1855" s="197"/>
      <c r="V1855" s="197"/>
      <c r="W1855" s="250"/>
      <c r="X1855" s="197"/>
      <c r="Y1855" s="197"/>
      <c r="Z1855" s="246"/>
      <c r="AA1855" s="366"/>
      <c r="AB1855" s="1289"/>
      <c r="AC1855" s="366"/>
      <c r="AD1855" s="658"/>
      <c r="AE1855" s="494"/>
      <c r="AF1855" s="494"/>
      <c r="AG1855" s="366"/>
      <c r="AH1855" s="366"/>
      <c r="AI1855" s="284"/>
      <c r="AJ1855" s="348"/>
      <c r="AK1855" s="219">
        <v>4</v>
      </c>
      <c r="AL1855" s="110" t="s">
        <v>581</v>
      </c>
      <c r="AM1855" s="110" t="s">
        <v>552</v>
      </c>
      <c r="AN1855" s="121"/>
      <c r="AO1855" s="3"/>
      <c r="AR1855" s="115"/>
    </row>
    <row r="1856" spans="1:46" ht="39" customHeight="1" x14ac:dyDescent="0.3">
      <c r="A1856" s="1468">
        <v>1855</v>
      </c>
      <c r="B1856" s="110">
        <v>2</v>
      </c>
      <c r="C1856" s="722" t="s">
        <v>348</v>
      </c>
      <c r="D1856" s="366"/>
      <c r="E1856" s="219"/>
      <c r="F1856" s="219" t="s">
        <v>362</v>
      </c>
      <c r="G1856" s="610" t="s">
        <v>349</v>
      </c>
      <c r="H1856" s="262" t="s">
        <v>87</v>
      </c>
      <c r="I1856" s="366"/>
      <c r="J1856" s="245" t="s">
        <v>561</v>
      </c>
      <c r="K1856" s="288"/>
      <c r="L1856" s="1420" t="s">
        <v>5503</v>
      </c>
      <c r="M1856" s="1420" t="s">
        <v>5503</v>
      </c>
      <c r="N1856" s="366"/>
      <c r="O1856" s="1420" t="s">
        <v>5566</v>
      </c>
      <c r="P1856" s="627"/>
      <c r="Q1856" s="344" t="s">
        <v>2447</v>
      </c>
      <c r="R1856" s="982" t="s">
        <v>5565</v>
      </c>
      <c r="S1856" s="279">
        <v>28887</v>
      </c>
      <c r="T1856" s="306"/>
      <c r="U1856" s="251" t="s">
        <v>54</v>
      </c>
      <c r="V1856" s="197"/>
      <c r="W1856" s="1420" t="s">
        <v>56</v>
      </c>
      <c r="X1856" s="1420" t="s">
        <v>57</v>
      </c>
      <c r="Y1856" s="197"/>
      <c r="Z1856" s="246"/>
      <c r="AA1856" s="252"/>
      <c r="AB1856" s="288"/>
      <c r="AC1856" s="223"/>
      <c r="AD1856" s="288"/>
      <c r="AE1856" s="494"/>
      <c r="AF1856" s="494"/>
      <c r="AG1856" s="282"/>
      <c r="AH1856" s="283"/>
      <c r="AI1856" s="296"/>
      <c r="AJ1856" s="348" t="s">
        <v>560</v>
      </c>
      <c r="AK1856" s="219">
        <v>4</v>
      </c>
      <c r="AL1856" s="110" t="s">
        <v>581</v>
      </c>
      <c r="AM1856" s="110" t="s">
        <v>552</v>
      </c>
      <c r="AN1856" s="121"/>
      <c r="AO1856" s="3"/>
      <c r="AR1856" s="115"/>
      <c r="AS1856" s="115"/>
      <c r="AT1856" s="115"/>
    </row>
    <row r="1857" spans="1:46" ht="39" customHeight="1" x14ac:dyDescent="0.3">
      <c r="A1857" s="1468">
        <v>1856</v>
      </c>
      <c r="B1857" s="110">
        <v>4</v>
      </c>
      <c r="C1857" s="941" t="s">
        <v>351</v>
      </c>
      <c r="D1857" s="366"/>
      <c r="E1857" s="618"/>
      <c r="F1857" s="618"/>
      <c r="G1857" s="619" t="s">
        <v>352</v>
      </c>
      <c r="H1857" s="620" t="s">
        <v>132</v>
      </c>
      <c r="I1857" s="366"/>
      <c r="J1857" s="256">
        <v>403</v>
      </c>
      <c r="K1857" s="216"/>
      <c r="L1857" s="1420" t="s">
        <v>5503</v>
      </c>
      <c r="M1857" s="1420" t="s">
        <v>5503</v>
      </c>
      <c r="N1857" s="245"/>
      <c r="O1857" s="1420" t="s">
        <v>5604</v>
      </c>
      <c r="P1857" s="627"/>
      <c r="Q1857" s="344" t="s">
        <v>87</v>
      </c>
      <c r="R1857" s="982" t="s">
        <v>5603</v>
      </c>
      <c r="S1857" s="279">
        <v>34411</v>
      </c>
      <c r="T1857" s="289"/>
      <c r="U1857" s="251" t="s">
        <v>54</v>
      </c>
      <c r="V1857" s="197"/>
      <c r="W1857" s="1420" t="s">
        <v>56</v>
      </c>
      <c r="X1857" s="1420" t="s">
        <v>57</v>
      </c>
      <c r="Y1857" s="197"/>
      <c r="Z1857" s="246"/>
      <c r="AA1857" s="281"/>
      <c r="AB1857" s="245"/>
      <c r="AC1857" s="223"/>
      <c r="AD1857" s="245"/>
      <c r="AE1857" s="494"/>
      <c r="AF1857" s="494"/>
      <c r="AG1857" s="241"/>
      <c r="AH1857" s="253"/>
      <c r="AI1857" s="284"/>
      <c r="AJ1857" s="348" t="s">
        <v>560</v>
      </c>
      <c r="AK1857" s="618">
        <v>3</v>
      </c>
      <c r="AL1857" s="130" t="s">
        <v>581</v>
      </c>
      <c r="AM1857" s="130" t="s">
        <v>552</v>
      </c>
      <c r="AN1857" s="121"/>
      <c r="AO1857" s="3"/>
      <c r="AR1857" s="115"/>
    </row>
    <row r="1858" spans="1:46" ht="39" customHeight="1" x14ac:dyDescent="0.3">
      <c r="A1858" s="1468">
        <v>1857</v>
      </c>
      <c r="B1858" s="110">
        <v>3</v>
      </c>
      <c r="C1858" s="722" t="s">
        <v>346</v>
      </c>
      <c r="D1858" s="366"/>
      <c r="E1858" s="219"/>
      <c r="F1858" s="219"/>
      <c r="G1858" s="610" t="s">
        <v>347</v>
      </c>
      <c r="H1858" s="262" t="s">
        <v>85</v>
      </c>
      <c r="I1858" s="366"/>
      <c r="J1858" s="245" t="s">
        <v>556</v>
      </c>
      <c r="K1858" s="301"/>
      <c r="L1858" s="1420" t="s">
        <v>5503</v>
      </c>
      <c r="M1858" s="1420" t="s">
        <v>5503</v>
      </c>
      <c r="N1858" s="394"/>
      <c r="O1858" s="1420" t="s">
        <v>5550</v>
      </c>
      <c r="P1858" s="627"/>
      <c r="Q1858" s="344" t="s">
        <v>87</v>
      </c>
      <c r="R1858" s="982" t="s">
        <v>5549</v>
      </c>
      <c r="S1858" s="279">
        <v>32836</v>
      </c>
      <c r="T1858" s="394"/>
      <c r="U1858" s="251" t="s">
        <v>54</v>
      </c>
      <c r="V1858" s="268"/>
      <c r="W1858" s="1420" t="s">
        <v>56</v>
      </c>
      <c r="X1858" s="1420" t="s">
        <v>57</v>
      </c>
      <c r="Y1858" s="197"/>
      <c r="Z1858" s="246"/>
      <c r="AA1858" s="301"/>
      <c r="AB1858" s="301"/>
      <c r="AC1858" s="301"/>
      <c r="AD1858" s="301"/>
      <c r="AE1858" s="494"/>
      <c r="AF1858" s="494"/>
      <c r="AG1858" s="301"/>
      <c r="AH1858" s="301"/>
      <c r="AI1858" s="296"/>
      <c r="AJ1858" s="348" t="s">
        <v>560</v>
      </c>
      <c r="AK1858" s="219">
        <v>4</v>
      </c>
      <c r="AL1858" s="110" t="s">
        <v>581</v>
      </c>
      <c r="AM1858" s="110" t="s">
        <v>552</v>
      </c>
      <c r="AN1858" s="121"/>
      <c r="AO1858" s="3"/>
      <c r="AR1858" s="115"/>
    </row>
    <row r="1859" spans="1:46" ht="39" customHeight="1" x14ac:dyDescent="0.3">
      <c r="A1859" s="1468">
        <v>1858</v>
      </c>
      <c r="B1859" s="146">
        <v>2</v>
      </c>
      <c r="C1859" s="722" t="s">
        <v>319</v>
      </c>
      <c r="D1859" s="366"/>
      <c r="E1859" s="219"/>
      <c r="F1859" s="219"/>
      <c r="G1859" s="610" t="s">
        <v>324</v>
      </c>
      <c r="H1859" s="262" t="s">
        <v>87</v>
      </c>
      <c r="I1859" s="366"/>
      <c r="J1859" s="245" t="s">
        <v>561</v>
      </c>
      <c r="K1859" s="197"/>
      <c r="L1859" s="1420" t="s">
        <v>5503</v>
      </c>
      <c r="M1859" s="1420" t="s">
        <v>5503</v>
      </c>
      <c r="N1859" s="245"/>
      <c r="O1859" s="1420" t="s">
        <v>5529</v>
      </c>
      <c r="P1859" s="402"/>
      <c r="Q1859" s="344" t="s">
        <v>87</v>
      </c>
      <c r="R1859" s="982" t="s">
        <v>5528</v>
      </c>
      <c r="S1859" s="279">
        <v>35221</v>
      </c>
      <c r="T1859" s="250"/>
      <c r="U1859" s="251" t="s">
        <v>54</v>
      </c>
      <c r="V1859" s="197"/>
      <c r="W1859" s="1420" t="s">
        <v>56</v>
      </c>
      <c r="X1859" s="1420" t="s">
        <v>57</v>
      </c>
      <c r="Y1859" s="197"/>
      <c r="Z1859" s="246"/>
      <c r="AA1859" s="252"/>
      <c r="AB1859" s="281"/>
      <c r="AC1859" s="281"/>
      <c r="AD1859" s="281"/>
      <c r="AE1859" s="494"/>
      <c r="AF1859" s="494"/>
      <c r="AG1859" s="282"/>
      <c r="AH1859" s="282"/>
      <c r="AI1859" s="296"/>
      <c r="AJ1859" s="348" t="s">
        <v>560</v>
      </c>
      <c r="AK1859" s="219">
        <v>4</v>
      </c>
      <c r="AL1859" s="110" t="s">
        <v>581</v>
      </c>
      <c r="AM1859" s="110" t="s">
        <v>552</v>
      </c>
      <c r="AN1859" s="121"/>
      <c r="AO1859" s="3"/>
      <c r="AR1859" s="115"/>
    </row>
    <row r="1860" spans="1:46" ht="39" customHeight="1" x14ac:dyDescent="0.3">
      <c r="A1860" s="1468">
        <v>1859</v>
      </c>
      <c r="B1860" s="161">
        <v>2</v>
      </c>
      <c r="C1860" s="722" t="s">
        <v>353</v>
      </c>
      <c r="D1860" s="366"/>
      <c r="E1860" s="219"/>
      <c r="F1860" s="219"/>
      <c r="G1860" s="610" t="s">
        <v>354</v>
      </c>
      <c r="H1860" s="262" t="s">
        <v>87</v>
      </c>
      <c r="I1860" s="366"/>
      <c r="J1860" s="245" t="s">
        <v>561</v>
      </c>
      <c r="K1860" s="257"/>
      <c r="L1860" s="1420" t="s">
        <v>5503</v>
      </c>
      <c r="M1860" s="1420" t="s">
        <v>5503</v>
      </c>
      <c r="N1860" s="299"/>
      <c r="O1860" s="1420" t="s">
        <v>5608</v>
      </c>
      <c r="P1860" s="402"/>
      <c r="Q1860" s="344" t="s">
        <v>87</v>
      </c>
      <c r="R1860" s="982" t="s">
        <v>5607</v>
      </c>
      <c r="S1860" s="279">
        <v>26808</v>
      </c>
      <c r="T1860" s="289"/>
      <c r="U1860" s="251" t="s">
        <v>54</v>
      </c>
      <c r="V1860" s="959"/>
      <c r="W1860" s="1420" t="s">
        <v>56</v>
      </c>
      <c r="X1860" s="1420" t="s">
        <v>57</v>
      </c>
      <c r="Y1860" s="197"/>
      <c r="Z1860" s="252"/>
      <c r="AA1860" s="289"/>
      <c r="AB1860" s="299"/>
      <c r="AC1860" s="223"/>
      <c r="AD1860" s="299"/>
      <c r="AE1860" s="494"/>
      <c r="AF1860" s="494"/>
      <c r="AG1860" s="299"/>
      <c r="AH1860" s="299"/>
      <c r="AI1860" s="223"/>
      <c r="AJ1860" s="348" t="s">
        <v>560</v>
      </c>
      <c r="AK1860" s="219">
        <v>4</v>
      </c>
      <c r="AL1860" s="110" t="s">
        <v>581</v>
      </c>
      <c r="AM1860" s="110" t="s">
        <v>552</v>
      </c>
      <c r="AN1860" s="121" t="s">
        <v>5764</v>
      </c>
      <c r="AO1860" s="3"/>
      <c r="AR1860" s="115"/>
      <c r="AS1860" s="115"/>
      <c r="AT1860" s="115"/>
    </row>
    <row r="1861" spans="1:46" ht="39" customHeight="1" x14ac:dyDescent="0.3">
      <c r="A1861" s="1468">
        <v>1860</v>
      </c>
      <c r="B1861" s="110">
        <v>4</v>
      </c>
      <c r="C1861" s="941" t="s">
        <v>351</v>
      </c>
      <c r="D1861" s="366"/>
      <c r="E1861" s="618"/>
      <c r="F1861" s="618" t="s">
        <v>362</v>
      </c>
      <c r="G1861" s="619" t="s">
        <v>352</v>
      </c>
      <c r="H1861" s="620" t="s">
        <v>132</v>
      </c>
      <c r="I1861" s="366"/>
      <c r="J1861" s="256">
        <v>403</v>
      </c>
      <c r="K1861" s="366"/>
      <c r="L1861" s="1420" t="s">
        <v>5503</v>
      </c>
      <c r="M1861" s="1420" t="s">
        <v>5503</v>
      </c>
      <c r="N1861" s="366"/>
      <c r="O1861" s="1420" t="s">
        <v>5616</v>
      </c>
      <c r="P1861" s="402"/>
      <c r="Q1861" s="344" t="s">
        <v>87</v>
      </c>
      <c r="R1861" s="982" t="s">
        <v>5615</v>
      </c>
      <c r="S1861" s="279">
        <v>30828</v>
      </c>
      <c r="T1861" s="366"/>
      <c r="U1861" s="251" t="s">
        <v>54</v>
      </c>
      <c r="V1861" s="366"/>
      <c r="W1861" s="1420" t="s">
        <v>56</v>
      </c>
      <c r="X1861" s="1420" t="s">
        <v>57</v>
      </c>
      <c r="Y1861" s="366"/>
      <c r="Z1861" s="366"/>
      <c r="AA1861" s="366"/>
      <c r="AB1861" s="1289"/>
      <c r="AC1861" s="366"/>
      <c r="AD1861" s="658"/>
      <c r="AE1861" s="494"/>
      <c r="AF1861" s="494"/>
      <c r="AG1861" s="366"/>
      <c r="AH1861" s="366"/>
      <c r="AI1861" s="392"/>
      <c r="AJ1861" s="348" t="s">
        <v>560</v>
      </c>
      <c r="AK1861" s="618">
        <v>3</v>
      </c>
      <c r="AL1861" s="130" t="s">
        <v>581</v>
      </c>
      <c r="AM1861" s="130" t="s">
        <v>552</v>
      </c>
      <c r="AN1861" s="121"/>
      <c r="AO1861" s="3"/>
      <c r="AR1861" s="115"/>
    </row>
    <row r="1862" spans="1:46" ht="39" customHeight="1" x14ac:dyDescent="0.3">
      <c r="A1862" s="1468">
        <v>1861</v>
      </c>
      <c r="B1862" s="110">
        <v>3</v>
      </c>
      <c r="C1862" s="722" t="s">
        <v>346</v>
      </c>
      <c r="D1862" s="366"/>
      <c r="E1862" s="219"/>
      <c r="F1862" s="219"/>
      <c r="G1862" s="610" t="s">
        <v>347</v>
      </c>
      <c r="H1862" s="262" t="s">
        <v>85</v>
      </c>
      <c r="I1862" s="366"/>
      <c r="J1862" s="245" t="s">
        <v>556</v>
      </c>
      <c r="K1862" s="216"/>
      <c r="L1862" s="1420" t="s">
        <v>5503</v>
      </c>
      <c r="M1862" s="1420" t="s">
        <v>5503</v>
      </c>
      <c r="N1862" s="366"/>
      <c r="O1862" s="950" t="s">
        <v>5562</v>
      </c>
      <c r="P1862" s="402"/>
      <c r="Q1862" s="375" t="s">
        <v>567</v>
      </c>
      <c r="R1862" s="982" t="s">
        <v>5561</v>
      </c>
      <c r="S1862" s="279">
        <v>29978</v>
      </c>
      <c r="T1862" s="250"/>
      <c r="U1862" s="251" t="s">
        <v>54</v>
      </c>
      <c r="V1862" s="197"/>
      <c r="W1862" s="1420" t="s">
        <v>56</v>
      </c>
      <c r="X1862" s="1420" t="s">
        <v>57</v>
      </c>
      <c r="Y1862" s="197"/>
      <c r="Z1862" s="246"/>
      <c r="AA1862" s="246"/>
      <c r="AB1862" s="197"/>
      <c r="AC1862" s="223"/>
      <c r="AD1862" s="197"/>
      <c r="AE1862" s="494"/>
      <c r="AF1862" s="494"/>
      <c r="AG1862" s="305"/>
      <c r="AH1862" s="283"/>
      <c r="AI1862" s="296"/>
      <c r="AJ1862" s="348" t="s">
        <v>560</v>
      </c>
      <c r="AK1862" s="219">
        <v>4</v>
      </c>
      <c r="AL1862" s="110" t="s">
        <v>581</v>
      </c>
      <c r="AM1862" s="110" t="s">
        <v>552</v>
      </c>
      <c r="AN1862" s="121"/>
      <c r="AO1862" s="3"/>
      <c r="AR1862" s="115"/>
    </row>
    <row r="1863" spans="1:46" ht="39" customHeight="1" x14ac:dyDescent="0.3">
      <c r="A1863" s="1468">
        <v>1862</v>
      </c>
      <c r="B1863" s="146">
        <v>2</v>
      </c>
      <c r="C1863" s="722" t="s">
        <v>319</v>
      </c>
      <c r="D1863" s="366"/>
      <c r="E1863" s="219"/>
      <c r="F1863" s="219" t="s">
        <v>362</v>
      </c>
      <c r="G1863" s="610" t="s">
        <v>350</v>
      </c>
      <c r="H1863" s="262" t="s">
        <v>87</v>
      </c>
      <c r="I1863" s="366"/>
      <c r="J1863" s="245" t="s">
        <v>561</v>
      </c>
      <c r="K1863" s="216"/>
      <c r="L1863" s="1420" t="s">
        <v>5503</v>
      </c>
      <c r="M1863" s="1420" t="s">
        <v>5503</v>
      </c>
      <c r="N1863" s="366"/>
      <c r="O1863" s="950" t="s">
        <v>5612</v>
      </c>
      <c r="P1863" s="402"/>
      <c r="Q1863" s="375" t="s">
        <v>87</v>
      </c>
      <c r="R1863" s="982" t="s">
        <v>5611</v>
      </c>
      <c r="S1863" s="279">
        <v>35540</v>
      </c>
      <c r="T1863" s="257"/>
      <c r="U1863" s="251" t="s">
        <v>54</v>
      </c>
      <c r="V1863" s="197"/>
      <c r="W1863" s="1420" t="s">
        <v>56</v>
      </c>
      <c r="X1863" s="1467" t="s">
        <v>57</v>
      </c>
      <c r="Y1863" s="197"/>
      <c r="Z1863" s="246"/>
      <c r="AA1863" s="252"/>
      <c r="AB1863" s="257"/>
      <c r="AC1863" s="223"/>
      <c r="AD1863" s="257"/>
      <c r="AE1863" s="494"/>
      <c r="AF1863" s="494"/>
      <c r="AG1863" s="385"/>
      <c r="AH1863" s="281"/>
      <c r="AI1863" s="254"/>
      <c r="AJ1863" s="348" t="s">
        <v>560</v>
      </c>
      <c r="AK1863" s="219">
        <v>4</v>
      </c>
      <c r="AL1863" s="110" t="s">
        <v>581</v>
      </c>
      <c r="AM1863" s="110" t="s">
        <v>552</v>
      </c>
      <c r="AN1863" s="121"/>
      <c r="AO1863" s="3"/>
      <c r="AR1863" s="115"/>
    </row>
    <row r="1864" spans="1:46" ht="39" customHeight="1" x14ac:dyDescent="0.3">
      <c r="A1864" s="1468">
        <v>1863</v>
      </c>
      <c r="B1864" s="161">
        <v>2</v>
      </c>
      <c r="C1864" s="722" t="s">
        <v>446</v>
      </c>
      <c r="D1864" s="366"/>
      <c r="E1864" s="219"/>
      <c r="F1864" s="219" t="s">
        <v>362</v>
      </c>
      <c r="G1864" s="610" t="s">
        <v>354</v>
      </c>
      <c r="H1864" s="262" t="s">
        <v>87</v>
      </c>
      <c r="I1864" s="366"/>
      <c r="J1864" s="245" t="s">
        <v>561</v>
      </c>
      <c r="K1864" s="257"/>
      <c r="L1864" s="216" t="s">
        <v>2797</v>
      </c>
      <c r="M1864" s="216" t="s">
        <v>2797</v>
      </c>
      <c r="N1864" s="299"/>
      <c r="O1864" s="950" t="s">
        <v>2806</v>
      </c>
      <c r="P1864" s="402" t="s">
        <v>1828</v>
      </c>
      <c r="Q1864" s="375" t="s">
        <v>293</v>
      </c>
      <c r="R1864" s="982" t="s">
        <v>2805</v>
      </c>
      <c r="S1864" s="279">
        <v>28354</v>
      </c>
      <c r="T1864" s="289"/>
      <c r="U1864" s="251" t="s">
        <v>54</v>
      </c>
      <c r="V1864" s="959" t="s">
        <v>5891</v>
      </c>
      <c r="W1864" s="1467" t="s">
        <v>56</v>
      </c>
      <c r="X1864" s="1467" t="s">
        <v>57</v>
      </c>
      <c r="Y1864" s="1461" t="s">
        <v>4631</v>
      </c>
      <c r="Z1864" s="252">
        <v>45302</v>
      </c>
      <c r="AA1864" s="289"/>
      <c r="AB1864" s="299"/>
      <c r="AC1864" s="223"/>
      <c r="AD1864" s="299"/>
      <c r="AE1864" s="494"/>
      <c r="AF1864" s="494"/>
      <c r="AG1864" s="299"/>
      <c r="AH1864" s="299"/>
      <c r="AI1864" s="223"/>
      <c r="AJ1864" s="348" t="s">
        <v>560</v>
      </c>
      <c r="AK1864" s="219">
        <v>4</v>
      </c>
      <c r="AL1864" s="110" t="s">
        <v>581</v>
      </c>
      <c r="AM1864" s="110" t="s">
        <v>552</v>
      </c>
      <c r="AN1864" s="121" t="s">
        <v>5764</v>
      </c>
      <c r="AO1864" s="3"/>
      <c r="AR1864" s="115"/>
      <c r="AS1864" s="115"/>
      <c r="AT1864" s="115"/>
    </row>
    <row r="1865" spans="1:46" ht="39" customHeight="1" x14ac:dyDescent="0.3">
      <c r="A1865" s="1468">
        <v>1864</v>
      </c>
      <c r="B1865" s="110">
        <v>4</v>
      </c>
      <c r="C1865" s="941" t="s">
        <v>351</v>
      </c>
      <c r="D1865" s="366"/>
      <c r="E1865" s="618"/>
      <c r="F1865" s="618"/>
      <c r="G1865" s="619" t="s">
        <v>352</v>
      </c>
      <c r="H1865" s="620" t="s">
        <v>132</v>
      </c>
      <c r="I1865" s="366"/>
      <c r="J1865" s="256">
        <v>403</v>
      </c>
      <c r="K1865" s="366"/>
      <c r="L1865" s="392" t="s">
        <v>5503</v>
      </c>
      <c r="M1865" s="1420" t="s">
        <v>5503</v>
      </c>
      <c r="N1865" s="366"/>
      <c r="O1865" s="950" t="s">
        <v>5695</v>
      </c>
      <c r="P1865" s="402"/>
      <c r="Q1865" s="375" t="s">
        <v>87</v>
      </c>
      <c r="R1865" s="982" t="s">
        <v>5694</v>
      </c>
      <c r="S1865" s="279">
        <v>29046</v>
      </c>
      <c r="T1865" s="366"/>
      <c r="U1865" s="251" t="s">
        <v>54</v>
      </c>
      <c r="V1865" s="366"/>
      <c r="W1865" s="1420" t="s">
        <v>56</v>
      </c>
      <c r="X1865" s="1420" t="s">
        <v>57</v>
      </c>
      <c r="Y1865" s="366"/>
      <c r="Z1865" s="366"/>
      <c r="AA1865" s="366"/>
      <c r="AB1865" s="1289"/>
      <c r="AC1865" s="366"/>
      <c r="AD1865" s="658"/>
      <c r="AE1865" s="494"/>
      <c r="AF1865" s="494"/>
      <c r="AG1865" s="366"/>
      <c r="AH1865" s="366"/>
      <c r="AI1865" s="392"/>
      <c r="AJ1865" s="348" t="s">
        <v>560</v>
      </c>
      <c r="AK1865" s="618">
        <v>3</v>
      </c>
      <c r="AL1865" s="130" t="s">
        <v>581</v>
      </c>
      <c r="AM1865" s="130" t="s">
        <v>552</v>
      </c>
      <c r="AN1865" s="121"/>
      <c r="AO1865" s="3"/>
      <c r="AR1865" s="115"/>
    </row>
    <row r="1866" spans="1:46" ht="39" customHeight="1" x14ac:dyDescent="0.3">
      <c r="A1866" s="1468">
        <v>1865</v>
      </c>
      <c r="B1866" s="110">
        <v>3</v>
      </c>
      <c r="C1866" s="722" t="s">
        <v>346</v>
      </c>
      <c r="D1866" s="366"/>
      <c r="E1866" s="219"/>
      <c r="F1866" s="219"/>
      <c r="G1866" s="610" t="s">
        <v>347</v>
      </c>
      <c r="H1866" s="262" t="s">
        <v>85</v>
      </c>
      <c r="I1866" s="366"/>
      <c r="J1866" s="245" t="s">
        <v>556</v>
      </c>
      <c r="K1866" s="216"/>
      <c r="L1866" s="1420" t="s">
        <v>5503</v>
      </c>
      <c r="M1866" s="1420" t="s">
        <v>5503</v>
      </c>
      <c r="N1866" s="366"/>
      <c r="O1866" s="950" t="s">
        <v>5682</v>
      </c>
      <c r="P1866" s="402"/>
      <c r="Q1866" s="375" t="s">
        <v>87</v>
      </c>
      <c r="R1866" s="982" t="s">
        <v>5681</v>
      </c>
      <c r="S1866" s="279">
        <v>37741</v>
      </c>
      <c r="T1866" s="223"/>
      <c r="U1866" s="251" t="s">
        <v>54</v>
      </c>
      <c r="V1866" s="197"/>
      <c r="W1866" s="1420" t="s">
        <v>56</v>
      </c>
      <c r="X1866" s="1420" t="s">
        <v>57</v>
      </c>
      <c r="Y1866" s="197"/>
      <c r="Z1866" s="246"/>
      <c r="AA1866" s="388"/>
      <c r="AB1866" s="223"/>
      <c r="AC1866" s="223"/>
      <c r="AD1866" s="257"/>
      <c r="AE1866" s="494"/>
      <c r="AF1866" s="494"/>
      <c r="AG1866" s="392"/>
      <c r="AH1866" s="299"/>
      <c r="AI1866" s="254"/>
      <c r="AJ1866" s="348" t="s">
        <v>560</v>
      </c>
      <c r="AK1866" s="219">
        <v>4</v>
      </c>
      <c r="AL1866" s="110" t="s">
        <v>581</v>
      </c>
      <c r="AM1866" s="110" t="s">
        <v>552</v>
      </c>
      <c r="AN1866" s="121"/>
      <c r="AO1866" s="3"/>
      <c r="AR1866" s="115"/>
    </row>
    <row r="1867" spans="1:46" ht="39" customHeight="1" x14ac:dyDescent="0.3">
      <c r="A1867" s="1468">
        <v>1866</v>
      </c>
      <c r="B1867" s="146">
        <v>2</v>
      </c>
      <c r="C1867" s="722" t="s">
        <v>319</v>
      </c>
      <c r="D1867" s="366"/>
      <c r="E1867" s="219"/>
      <c r="F1867" s="219"/>
      <c r="G1867" s="610" t="s">
        <v>324</v>
      </c>
      <c r="H1867" s="262" t="s">
        <v>87</v>
      </c>
      <c r="I1867" s="366"/>
      <c r="J1867" s="245" t="s">
        <v>561</v>
      </c>
      <c r="K1867" s="216"/>
      <c r="L1867" s="1420" t="s">
        <v>5503</v>
      </c>
      <c r="M1867" s="1420" t="s">
        <v>5503</v>
      </c>
      <c r="N1867" s="366"/>
      <c r="O1867" s="950" t="s">
        <v>5672</v>
      </c>
      <c r="P1867" s="402"/>
      <c r="Q1867" s="375" t="s">
        <v>87</v>
      </c>
      <c r="R1867" s="982" t="s">
        <v>5671</v>
      </c>
      <c r="S1867" s="279">
        <v>32691</v>
      </c>
      <c r="T1867" s="257"/>
      <c r="U1867" s="251" t="s">
        <v>54</v>
      </c>
      <c r="V1867" s="197"/>
      <c r="W1867" s="1420" t="s">
        <v>56</v>
      </c>
      <c r="X1867" s="1420" t="s">
        <v>57</v>
      </c>
      <c r="Y1867" s="197"/>
      <c r="Z1867" s="246"/>
      <c r="AA1867" s="252"/>
      <c r="AB1867" s="257"/>
      <c r="AC1867" s="223"/>
      <c r="AD1867" s="299"/>
      <c r="AE1867" s="494"/>
      <c r="AF1867" s="494"/>
      <c r="AG1867" s="241"/>
      <c r="AH1867" s="281"/>
      <c r="AI1867" s="254"/>
      <c r="AJ1867" s="348" t="s">
        <v>560</v>
      </c>
      <c r="AK1867" s="219">
        <v>4</v>
      </c>
      <c r="AL1867" s="110" t="s">
        <v>581</v>
      </c>
      <c r="AM1867" s="110" t="s">
        <v>552</v>
      </c>
      <c r="AN1867" s="121"/>
      <c r="AO1867" s="3"/>
      <c r="AR1867" s="115"/>
    </row>
    <row r="1868" spans="1:46" ht="39" customHeight="1" x14ac:dyDescent="0.3">
      <c r="A1868" s="1468">
        <v>1867</v>
      </c>
      <c r="B1868" s="161">
        <v>2</v>
      </c>
      <c r="C1868" s="939" t="s">
        <v>360</v>
      </c>
      <c r="D1868" s="404"/>
      <c r="E1868" s="622"/>
      <c r="F1868" s="622"/>
      <c r="G1868" s="610" t="s">
        <v>354</v>
      </c>
      <c r="H1868" s="262" t="s">
        <v>87</v>
      </c>
      <c r="I1868" s="404"/>
      <c r="J1868" s="245" t="s">
        <v>561</v>
      </c>
      <c r="K1868" s="257"/>
      <c r="L1868" s="1420" t="s">
        <v>5503</v>
      </c>
      <c r="M1868" s="1420" t="s">
        <v>5503</v>
      </c>
      <c r="N1868" s="299"/>
      <c r="O1868" s="950" t="s">
        <v>5556</v>
      </c>
      <c r="P1868" s="402"/>
      <c r="Q1868" s="375" t="s">
        <v>132</v>
      </c>
      <c r="R1868" s="982" t="s">
        <v>5555</v>
      </c>
      <c r="S1868" s="279">
        <v>25495</v>
      </c>
      <c r="T1868" s="289"/>
      <c r="U1868" s="251" t="s">
        <v>54</v>
      </c>
      <c r="V1868" s="959"/>
      <c r="W1868" s="1420" t="s">
        <v>56</v>
      </c>
      <c r="X1868" s="1420" t="s">
        <v>57</v>
      </c>
      <c r="Y1868" s="197"/>
      <c r="Z1868" s="252"/>
      <c r="AA1868" s="289"/>
      <c r="AB1868" s="299"/>
      <c r="AC1868" s="223"/>
      <c r="AD1868" s="299"/>
      <c r="AE1868" s="494"/>
      <c r="AF1868" s="494"/>
      <c r="AG1868" s="299"/>
      <c r="AH1868" s="299"/>
      <c r="AI1868" s="223"/>
      <c r="AJ1868" s="348" t="s">
        <v>560</v>
      </c>
      <c r="AK1868" s="622">
        <v>4</v>
      </c>
      <c r="AL1868" s="179" t="s">
        <v>581</v>
      </c>
      <c r="AM1868" s="179" t="s">
        <v>552</v>
      </c>
      <c r="AN1868" s="121" t="s">
        <v>5764</v>
      </c>
      <c r="AO1868" s="875"/>
      <c r="AR1868" s="115"/>
      <c r="AS1868" s="115"/>
      <c r="AT1868" s="115"/>
    </row>
    <row r="1869" spans="1:46" s="827" customFormat="1" ht="39" customHeight="1" x14ac:dyDescent="0.3">
      <c r="A1869" s="1468">
        <v>1868</v>
      </c>
      <c r="B1869" s="110"/>
      <c r="C1869" s="596"/>
      <c r="D1869" s="578"/>
      <c r="E1869" s="597"/>
      <c r="F1869" s="597"/>
      <c r="G1869" s="598"/>
      <c r="H1869" s="599"/>
      <c r="I1869" s="578"/>
      <c r="J1869" s="598"/>
      <c r="K1869" s="578"/>
      <c r="L1869" s="602"/>
      <c r="M1869" s="602"/>
      <c r="N1869" s="578"/>
      <c r="O1869" s="602"/>
      <c r="P1869" s="737" t="s">
        <v>582</v>
      </c>
      <c r="Q1869" s="601"/>
      <c r="R1869" s="982"/>
      <c r="S1869" s="279"/>
      <c r="T1869" s="578"/>
      <c r="U1869" s="250"/>
      <c r="V1869" s="578"/>
      <c r="W1869" s="602"/>
      <c r="X1869" s="602"/>
      <c r="Y1869" s="578"/>
      <c r="Z1869" s="578"/>
      <c r="AA1869" s="578"/>
      <c r="AB1869" s="1295"/>
      <c r="AC1869" s="578"/>
      <c r="AD1869" s="659"/>
      <c r="AE1869" s="494"/>
      <c r="AF1869" s="494"/>
      <c r="AG1869" s="578"/>
      <c r="AH1869" s="578"/>
      <c r="AI1869" s="602"/>
      <c r="AJ1869" s="602"/>
      <c r="AK1869" s="597"/>
      <c r="AL1869" s="191"/>
      <c r="AM1869" s="191"/>
      <c r="AN1869" s="748"/>
      <c r="AO1869" s="750"/>
      <c r="AP1869" s="192"/>
      <c r="AQ1869" s="192"/>
      <c r="AR1869" s="192"/>
      <c r="AS1869" s="192"/>
      <c r="AT1869" s="192"/>
    </row>
    <row r="1870" spans="1:46" s="827" customFormat="1" ht="39" customHeight="1" x14ac:dyDescent="0.3">
      <c r="A1870" s="1468">
        <v>1869</v>
      </c>
      <c r="B1870" s="110"/>
      <c r="C1870" s="596"/>
      <c r="D1870" s="578"/>
      <c r="E1870" s="597"/>
      <c r="F1870" s="597"/>
      <c r="G1870" s="598"/>
      <c r="H1870" s="599"/>
      <c r="I1870" s="578"/>
      <c r="J1870" s="598"/>
      <c r="K1870" s="578"/>
      <c r="L1870" s="602"/>
      <c r="M1870" s="602"/>
      <c r="N1870" s="578"/>
      <c r="O1870" s="602"/>
      <c r="P1870" s="737" t="s">
        <v>583</v>
      </c>
      <c r="Q1870" s="601"/>
      <c r="R1870" s="982"/>
      <c r="S1870" s="279"/>
      <c r="T1870" s="578"/>
      <c r="U1870" s="250"/>
      <c r="V1870" s="578"/>
      <c r="W1870" s="602"/>
      <c r="X1870" s="602"/>
      <c r="Y1870" s="578"/>
      <c r="Z1870" s="578"/>
      <c r="AA1870" s="578"/>
      <c r="AB1870" s="1295"/>
      <c r="AC1870" s="578"/>
      <c r="AD1870" s="659"/>
      <c r="AE1870" s="494"/>
      <c r="AF1870" s="494"/>
      <c r="AG1870" s="578"/>
      <c r="AH1870" s="578"/>
      <c r="AI1870" s="602"/>
      <c r="AJ1870" s="602"/>
      <c r="AK1870" s="597"/>
      <c r="AL1870" s="191"/>
      <c r="AM1870" s="191"/>
      <c r="AN1870" s="748"/>
      <c r="AO1870" s="750"/>
      <c r="AP1870" s="192"/>
      <c r="AQ1870" s="192"/>
      <c r="AR1870" s="192"/>
      <c r="AS1870" s="192"/>
      <c r="AT1870" s="192"/>
    </row>
    <row r="1871" spans="1:46" ht="39" customHeight="1" x14ac:dyDescent="0.3">
      <c r="A1871" s="1468">
        <v>1870</v>
      </c>
      <c r="B1871" s="110">
        <v>10</v>
      </c>
      <c r="C1871" s="937" t="s">
        <v>305</v>
      </c>
      <c r="D1871" s="451"/>
      <c r="E1871" s="603" t="s">
        <v>47</v>
      </c>
      <c r="F1871" s="603" t="s">
        <v>362</v>
      </c>
      <c r="G1871" s="604" t="s">
        <v>506</v>
      </c>
      <c r="H1871" s="244" t="s">
        <v>83</v>
      </c>
      <c r="I1871" s="451"/>
      <c r="J1871" s="245">
        <v>302</v>
      </c>
      <c r="K1871" s="197" t="s">
        <v>50</v>
      </c>
      <c r="L1871" s="441" t="s">
        <v>2789</v>
      </c>
      <c r="M1871" s="441" t="s">
        <v>2789</v>
      </c>
      <c r="N1871" s="441"/>
      <c r="O1871" s="1476" t="s">
        <v>2808</v>
      </c>
      <c r="P1871" s="708"/>
      <c r="Q1871" s="728" t="s">
        <v>119</v>
      </c>
      <c r="R1871" s="982" t="s">
        <v>2807</v>
      </c>
      <c r="S1871" s="279">
        <v>34155</v>
      </c>
      <c r="T1871" s="443"/>
      <c r="U1871" s="251" t="s">
        <v>54</v>
      </c>
      <c r="V1871" s="197" t="s">
        <v>5955</v>
      </c>
      <c r="W1871" s="197" t="s">
        <v>70</v>
      </c>
      <c r="X1871" s="197" t="s">
        <v>71</v>
      </c>
      <c r="Y1871" s="949" t="s">
        <v>5964</v>
      </c>
      <c r="Z1871" s="612">
        <v>45312</v>
      </c>
      <c r="AA1871" s="398"/>
      <c r="AB1871" s="487"/>
      <c r="AC1871" s="488"/>
      <c r="AD1871" s="487"/>
      <c r="AE1871" s="494"/>
      <c r="AF1871" s="494"/>
      <c r="AG1871" s="487"/>
      <c r="AH1871" s="489"/>
      <c r="AI1871" s="760"/>
      <c r="AJ1871" s="755" t="s">
        <v>62</v>
      </c>
      <c r="AK1871" s="603">
        <v>1</v>
      </c>
      <c r="AL1871" s="798" t="s">
        <v>584</v>
      </c>
      <c r="AM1871" s="798" t="s">
        <v>552</v>
      </c>
      <c r="AN1871" s="169"/>
      <c r="AO1871" s="878"/>
      <c r="AR1871" s="115"/>
    </row>
    <row r="1872" spans="1:46" ht="39" customHeight="1" x14ac:dyDescent="0.3">
      <c r="A1872" s="1468">
        <v>1871</v>
      </c>
      <c r="B1872" s="110">
        <v>2</v>
      </c>
      <c r="C1872" s="722" t="s">
        <v>385</v>
      </c>
      <c r="D1872" s="366"/>
      <c r="E1872" s="219"/>
      <c r="F1872" s="219" t="s">
        <v>362</v>
      </c>
      <c r="G1872" s="610" t="s">
        <v>524</v>
      </c>
      <c r="H1872" s="262" t="s">
        <v>85</v>
      </c>
      <c r="I1872" s="366"/>
      <c r="J1872" s="245" t="s">
        <v>556</v>
      </c>
      <c r="K1872" s="216"/>
      <c r="L1872" s="1420" t="s">
        <v>5503</v>
      </c>
      <c r="M1872" s="1420" t="s">
        <v>5503</v>
      </c>
      <c r="N1872" s="374"/>
      <c r="O1872" s="1420" t="s">
        <v>5537</v>
      </c>
      <c r="P1872" s="708"/>
      <c r="Q1872" s="375" t="s">
        <v>87</v>
      </c>
      <c r="R1872" s="982" t="s">
        <v>5536</v>
      </c>
      <c r="S1872" s="279">
        <v>37198</v>
      </c>
      <c r="T1872" s="299"/>
      <c r="U1872" s="251" t="s">
        <v>54</v>
      </c>
      <c r="V1872" s="197"/>
      <c r="W1872" s="1420" t="s">
        <v>56</v>
      </c>
      <c r="X1872" s="1420" t="s">
        <v>57</v>
      </c>
      <c r="Y1872" s="197"/>
      <c r="Z1872" s="246"/>
      <c r="AA1872" s="374"/>
      <c r="AB1872" s="223"/>
      <c r="AC1872" s="223"/>
      <c r="AD1872" s="299"/>
      <c r="AE1872" s="494"/>
      <c r="AF1872" s="494"/>
      <c r="AG1872" s="241"/>
      <c r="AH1872" s="253"/>
      <c r="AI1872" s="254"/>
      <c r="AJ1872" s="348" t="s">
        <v>560</v>
      </c>
      <c r="AK1872" s="219">
        <v>4</v>
      </c>
      <c r="AL1872" s="110" t="s">
        <v>584</v>
      </c>
      <c r="AM1872" s="110" t="s">
        <v>552</v>
      </c>
      <c r="AN1872" s="121"/>
      <c r="AO1872" s="3"/>
      <c r="AR1872" s="115"/>
      <c r="AS1872" s="115"/>
      <c r="AT1872" s="116"/>
    </row>
    <row r="1873" spans="1:46" ht="39" customHeight="1" x14ac:dyDescent="0.3">
      <c r="A1873" s="1468">
        <v>1872</v>
      </c>
      <c r="B1873" s="110">
        <v>4</v>
      </c>
      <c r="C1873" s="939" t="s">
        <v>382</v>
      </c>
      <c r="D1873" s="404"/>
      <c r="E1873" s="622"/>
      <c r="F1873" s="622"/>
      <c r="G1873" s="623" t="s">
        <v>520</v>
      </c>
      <c r="H1873" s="262" t="s">
        <v>85</v>
      </c>
      <c r="I1873" s="404"/>
      <c r="J1873" s="245" t="s">
        <v>556</v>
      </c>
      <c r="K1873" s="216"/>
      <c r="L1873" s="197" t="s">
        <v>3567</v>
      </c>
      <c r="M1873" s="197" t="s">
        <v>3567</v>
      </c>
      <c r="N1873" s="301"/>
      <c r="O1873" s="250" t="s">
        <v>3569</v>
      </c>
      <c r="P1873" s="402" t="s">
        <v>1828</v>
      </c>
      <c r="Q1873" s="375" t="s">
        <v>293</v>
      </c>
      <c r="R1873" s="982" t="s">
        <v>3568</v>
      </c>
      <c r="S1873" s="279">
        <v>29859</v>
      </c>
      <c r="T1873" s="289"/>
      <c r="U1873" s="251" t="s">
        <v>54</v>
      </c>
      <c r="V1873" s="197" t="s">
        <v>5512</v>
      </c>
      <c r="W1873" s="250" t="s">
        <v>56</v>
      </c>
      <c r="X1873" s="197" t="s">
        <v>57</v>
      </c>
      <c r="Y1873" s="197" t="s">
        <v>5726</v>
      </c>
      <c r="Z1873" s="246">
        <v>45272</v>
      </c>
      <c r="AA1873" s="306"/>
      <c r="AB1873" s="301"/>
      <c r="AC1873" s="223"/>
      <c r="AD1873" s="288"/>
      <c r="AE1873" s="494"/>
      <c r="AF1873" s="494"/>
      <c r="AG1873" s="241"/>
      <c r="AH1873" s="301"/>
      <c r="AI1873" s="254"/>
      <c r="AJ1873" s="348" t="s">
        <v>560</v>
      </c>
      <c r="AK1873" s="622">
        <v>4</v>
      </c>
      <c r="AL1873" s="179" t="s">
        <v>584</v>
      </c>
      <c r="AM1873" s="179" t="s">
        <v>552</v>
      </c>
      <c r="AN1873" s="166" t="s">
        <v>1382</v>
      </c>
      <c r="AO1873" s="875"/>
      <c r="AR1873" s="115"/>
      <c r="AS1873" s="115"/>
      <c r="AT1873" s="115"/>
    </row>
    <row r="1874" spans="1:46" s="827" customFormat="1" ht="39" customHeight="1" x14ac:dyDescent="0.3">
      <c r="A1874" s="1468">
        <v>1873</v>
      </c>
      <c r="B1874" s="110"/>
      <c r="C1874" s="596"/>
      <c r="D1874" s="578"/>
      <c r="E1874" s="597"/>
      <c r="F1874" s="597"/>
      <c r="G1874" s="598"/>
      <c r="H1874" s="599"/>
      <c r="I1874" s="578"/>
      <c r="J1874" s="598"/>
      <c r="K1874" s="578"/>
      <c r="L1874" s="1436"/>
      <c r="M1874" s="1436"/>
      <c r="N1874" s="578"/>
      <c r="O1874" s="1436"/>
      <c r="P1874" s="737" t="s">
        <v>585</v>
      </c>
      <c r="Q1874" s="601"/>
      <c r="R1874" s="982"/>
      <c r="S1874" s="279"/>
      <c r="T1874" s="366"/>
      <c r="U1874" s="250"/>
      <c r="V1874" s="578"/>
      <c r="W1874" s="1436"/>
      <c r="X1874" s="1436"/>
      <c r="Y1874" s="578"/>
      <c r="Z1874" s="578"/>
      <c r="AA1874" s="578"/>
      <c r="AB1874" s="1295"/>
      <c r="AC1874" s="578"/>
      <c r="AD1874" s="659"/>
      <c r="AE1874" s="494"/>
      <c r="AF1874" s="494"/>
      <c r="AG1874" s="578"/>
      <c r="AH1874" s="578"/>
      <c r="AI1874" s="1436"/>
      <c r="AJ1874" s="1436"/>
      <c r="AK1874" s="597"/>
      <c r="AL1874" s="191"/>
      <c r="AM1874" s="191"/>
      <c r="AN1874" s="748"/>
      <c r="AO1874" s="750"/>
      <c r="AP1874" s="192"/>
      <c r="AQ1874" s="192"/>
      <c r="AR1874" s="192"/>
      <c r="AS1874" s="192"/>
      <c r="AT1874" s="192"/>
    </row>
    <row r="1875" spans="1:46" ht="39" customHeight="1" x14ac:dyDescent="0.3">
      <c r="A1875" s="1468">
        <v>1874</v>
      </c>
      <c r="B1875" s="110">
        <v>7</v>
      </c>
      <c r="C1875" s="943" t="s">
        <v>517</v>
      </c>
      <c r="D1875" s="451"/>
      <c r="E1875" s="884" t="s">
        <v>47</v>
      </c>
      <c r="F1875" s="884" t="s">
        <v>362</v>
      </c>
      <c r="G1875" s="885" t="s">
        <v>518</v>
      </c>
      <c r="H1875" s="886" t="s">
        <v>519</v>
      </c>
      <c r="I1875" s="451"/>
      <c r="J1875" s="281">
        <v>402</v>
      </c>
      <c r="K1875" s="451"/>
      <c r="L1875" s="1420" t="s">
        <v>5503</v>
      </c>
      <c r="M1875" s="1420" t="s">
        <v>5503</v>
      </c>
      <c r="N1875" s="451"/>
      <c r="O1875" s="250" t="s">
        <v>5578</v>
      </c>
      <c r="P1875" s="402"/>
      <c r="Q1875" s="375" t="s">
        <v>87</v>
      </c>
      <c r="R1875" s="982" t="s">
        <v>5577</v>
      </c>
      <c r="S1875" s="279">
        <v>31657</v>
      </c>
      <c r="T1875" s="451"/>
      <c r="U1875" s="251" t="s">
        <v>54</v>
      </c>
      <c r="V1875" s="451"/>
      <c r="W1875" s="1420" t="s">
        <v>56</v>
      </c>
      <c r="X1875" s="1420" t="s">
        <v>57</v>
      </c>
      <c r="Y1875" s="451"/>
      <c r="Z1875" s="451"/>
      <c r="AA1875" s="451"/>
      <c r="AB1875" s="1293"/>
      <c r="AC1875" s="451"/>
      <c r="AD1875" s="661"/>
      <c r="AE1875" s="494"/>
      <c r="AF1875" s="494"/>
      <c r="AG1875" s="451"/>
      <c r="AH1875" s="451"/>
      <c r="AI1875" s="625"/>
      <c r="AJ1875" s="348" t="s">
        <v>560</v>
      </c>
      <c r="AK1875" s="884">
        <v>3</v>
      </c>
      <c r="AL1875" s="177" t="s">
        <v>584</v>
      </c>
      <c r="AM1875" s="177" t="s">
        <v>552</v>
      </c>
      <c r="AN1875" s="169"/>
      <c r="AO1875" s="878"/>
      <c r="AR1875" s="115"/>
    </row>
    <row r="1876" spans="1:46" ht="39" customHeight="1" x14ac:dyDescent="0.3">
      <c r="A1876" s="1468">
        <v>1875</v>
      </c>
      <c r="B1876" s="110">
        <v>2</v>
      </c>
      <c r="C1876" s="722" t="s">
        <v>385</v>
      </c>
      <c r="D1876" s="366"/>
      <c r="E1876" s="219"/>
      <c r="F1876" s="219" t="s">
        <v>362</v>
      </c>
      <c r="G1876" s="610" t="s">
        <v>524</v>
      </c>
      <c r="H1876" s="262" t="s">
        <v>85</v>
      </c>
      <c r="I1876" s="366"/>
      <c r="J1876" s="245" t="s">
        <v>556</v>
      </c>
      <c r="K1876" s="265"/>
      <c r="L1876" s="1420" t="s">
        <v>5503</v>
      </c>
      <c r="M1876" s="1420" t="s">
        <v>5503</v>
      </c>
      <c r="N1876" s="428"/>
      <c r="O1876" s="250" t="s">
        <v>5676</v>
      </c>
      <c r="P1876" s="402"/>
      <c r="Q1876" s="375" t="s">
        <v>87</v>
      </c>
      <c r="R1876" s="982" t="s">
        <v>5675</v>
      </c>
      <c r="S1876" s="279">
        <v>35197</v>
      </c>
      <c r="T1876" s="496"/>
      <c r="U1876" s="251" t="s">
        <v>54</v>
      </c>
      <c r="V1876" s="268"/>
      <c r="W1876" s="1420" t="s">
        <v>56</v>
      </c>
      <c r="X1876" s="1420" t="s">
        <v>57</v>
      </c>
      <c r="Y1876" s="268"/>
      <c r="Z1876" s="405"/>
      <c r="AA1876" s="396"/>
      <c r="AB1876" s="496"/>
      <c r="AC1876" s="474"/>
      <c r="AD1876" s="836"/>
      <c r="AE1876" s="494"/>
      <c r="AF1876" s="494"/>
      <c r="AG1876" s="626"/>
      <c r="AH1876" s="803"/>
      <c r="AI1876" s="719"/>
      <c r="AJ1876" s="348" t="s">
        <v>560</v>
      </c>
      <c r="AK1876" s="219">
        <v>4</v>
      </c>
      <c r="AL1876" s="110" t="s">
        <v>584</v>
      </c>
      <c r="AM1876" s="110" t="s">
        <v>552</v>
      </c>
      <c r="AN1876" s="121"/>
      <c r="AO1876" s="3"/>
      <c r="AR1876" s="115"/>
      <c r="AS1876" s="115"/>
      <c r="AT1876" s="116"/>
    </row>
    <row r="1877" spans="1:46" ht="39" customHeight="1" x14ac:dyDescent="0.3">
      <c r="A1877" s="1468">
        <v>1876</v>
      </c>
      <c r="B1877" s="110">
        <v>3</v>
      </c>
      <c r="C1877" s="939" t="s">
        <v>290</v>
      </c>
      <c r="D1877" s="404"/>
      <c r="E1877" s="622"/>
      <c r="F1877" s="622"/>
      <c r="G1877" s="623" t="s">
        <v>527</v>
      </c>
      <c r="H1877" s="262" t="s">
        <v>87</v>
      </c>
      <c r="I1877" s="404"/>
      <c r="J1877" s="245" t="s">
        <v>561</v>
      </c>
      <c r="K1877" s="257"/>
      <c r="L1877" s="1420" t="s">
        <v>5503</v>
      </c>
      <c r="M1877" s="1420" t="s">
        <v>5503</v>
      </c>
      <c r="N1877" s="299"/>
      <c r="O1877" s="250" t="s">
        <v>5527</v>
      </c>
      <c r="P1877" s="402"/>
      <c r="Q1877" s="375" t="s">
        <v>87</v>
      </c>
      <c r="R1877" s="982" t="s">
        <v>5526</v>
      </c>
      <c r="S1877" s="279">
        <v>34525</v>
      </c>
      <c r="T1877" s="289"/>
      <c r="U1877" s="251" t="s">
        <v>54</v>
      </c>
      <c r="V1877" s="197"/>
      <c r="W1877" s="1420" t="s">
        <v>56</v>
      </c>
      <c r="X1877" s="1420" t="s">
        <v>57</v>
      </c>
      <c r="Y1877" s="299"/>
      <c r="Z1877" s="299"/>
      <c r="AA1877" s="289"/>
      <c r="AB1877" s="299"/>
      <c r="AC1877" s="223"/>
      <c r="AD1877" s="299"/>
      <c r="AE1877" s="494"/>
      <c r="AF1877" s="494"/>
      <c r="AG1877" s="299"/>
      <c r="AH1877" s="299"/>
      <c r="AI1877" s="223"/>
      <c r="AJ1877" s="348" t="s">
        <v>560</v>
      </c>
      <c r="AK1877" s="622">
        <v>4</v>
      </c>
      <c r="AL1877" s="179" t="s">
        <v>584</v>
      </c>
      <c r="AM1877" s="179" t="s">
        <v>552</v>
      </c>
      <c r="AN1877" s="166" t="s">
        <v>1382</v>
      </c>
      <c r="AO1877" s="875"/>
      <c r="AR1877" s="115"/>
      <c r="AS1877" s="115"/>
      <c r="AT1877" s="115"/>
    </row>
    <row r="1878" spans="1:46" s="827" customFormat="1" ht="39" customHeight="1" x14ac:dyDescent="0.3">
      <c r="A1878" s="1468">
        <v>1877</v>
      </c>
      <c r="B1878" s="110"/>
      <c r="C1878" s="596"/>
      <c r="D1878" s="578"/>
      <c r="E1878" s="597"/>
      <c r="F1878" s="597"/>
      <c r="G1878" s="598"/>
      <c r="H1878" s="599"/>
      <c r="I1878" s="578"/>
      <c r="J1878" s="598"/>
      <c r="K1878" s="578"/>
      <c r="L1878" s="1436"/>
      <c r="M1878" s="1436"/>
      <c r="N1878" s="578"/>
      <c r="O1878" s="1436"/>
      <c r="P1878" s="737" t="s">
        <v>587</v>
      </c>
      <c r="Q1878" s="601"/>
      <c r="R1878" s="982"/>
      <c r="S1878" s="279"/>
      <c r="T1878" s="366"/>
      <c r="U1878" s="250"/>
      <c r="V1878" s="578"/>
      <c r="W1878" s="1436"/>
      <c r="X1878" s="1436"/>
      <c r="Y1878" s="578"/>
      <c r="Z1878" s="578"/>
      <c r="AA1878" s="578"/>
      <c r="AB1878" s="1295"/>
      <c r="AC1878" s="578"/>
      <c r="AD1878" s="659"/>
      <c r="AE1878" s="494"/>
      <c r="AF1878" s="494"/>
      <c r="AG1878" s="578"/>
      <c r="AH1878" s="578"/>
      <c r="AI1878" s="1436"/>
      <c r="AJ1878" s="1436"/>
      <c r="AK1878" s="597"/>
      <c r="AL1878" s="191"/>
      <c r="AM1878" s="191"/>
      <c r="AN1878" s="748"/>
      <c r="AO1878" s="750"/>
      <c r="AP1878" s="192"/>
      <c r="AQ1878" s="192"/>
      <c r="AR1878" s="192"/>
      <c r="AS1878" s="192"/>
      <c r="AT1878" s="192"/>
    </row>
    <row r="1879" spans="1:46" ht="39" customHeight="1" x14ac:dyDescent="0.3">
      <c r="A1879" s="1468">
        <v>1878</v>
      </c>
      <c r="B1879" s="110">
        <v>7</v>
      </c>
      <c r="C1879" s="943" t="s">
        <v>517</v>
      </c>
      <c r="D1879" s="451"/>
      <c r="E1879" s="884" t="s">
        <v>47</v>
      </c>
      <c r="F1879" s="884" t="s">
        <v>362</v>
      </c>
      <c r="G1879" s="885" t="s">
        <v>518</v>
      </c>
      <c r="H1879" s="886" t="s">
        <v>519</v>
      </c>
      <c r="I1879" s="451"/>
      <c r="J1879" s="281">
        <v>402</v>
      </c>
      <c r="K1879" s="451"/>
      <c r="L1879" s="1420" t="s">
        <v>5503</v>
      </c>
      <c r="M1879" s="1420" t="s">
        <v>5503</v>
      </c>
      <c r="N1879" s="451"/>
      <c r="O1879" s="250" t="s">
        <v>5668</v>
      </c>
      <c r="P1879" s="402"/>
      <c r="Q1879" s="375" t="s">
        <v>132</v>
      </c>
      <c r="R1879" s="982" t="s">
        <v>5667</v>
      </c>
      <c r="S1879" s="279">
        <v>28467</v>
      </c>
      <c r="T1879" s="451"/>
      <c r="U1879" s="251" t="s">
        <v>54</v>
      </c>
      <c r="V1879" s="451"/>
      <c r="W1879" s="1420" t="s">
        <v>56</v>
      </c>
      <c r="X1879" s="1420" t="s">
        <v>57</v>
      </c>
      <c r="Y1879" s="451"/>
      <c r="Z1879" s="451"/>
      <c r="AA1879" s="451"/>
      <c r="AB1879" s="1293"/>
      <c r="AC1879" s="451"/>
      <c r="AD1879" s="661"/>
      <c r="AE1879" s="494"/>
      <c r="AF1879" s="494"/>
      <c r="AG1879" s="451"/>
      <c r="AH1879" s="451"/>
      <c r="AI1879" s="625"/>
      <c r="AJ1879" s="348" t="s">
        <v>560</v>
      </c>
      <c r="AK1879" s="884">
        <v>3</v>
      </c>
      <c r="AL1879" s="177" t="s">
        <v>584</v>
      </c>
      <c r="AM1879" s="177" t="s">
        <v>552</v>
      </c>
      <c r="AN1879" s="169"/>
      <c r="AO1879" s="878"/>
      <c r="AR1879" s="115"/>
    </row>
    <row r="1880" spans="1:46" ht="39" customHeight="1" x14ac:dyDescent="0.3">
      <c r="A1880" s="1468">
        <v>1879</v>
      </c>
      <c r="B1880" s="110">
        <v>2</v>
      </c>
      <c r="C1880" s="722" t="s">
        <v>385</v>
      </c>
      <c r="D1880" s="366"/>
      <c r="E1880" s="219"/>
      <c r="F1880" s="219" t="s">
        <v>362</v>
      </c>
      <c r="G1880" s="610" t="s">
        <v>524</v>
      </c>
      <c r="H1880" s="262" t="s">
        <v>85</v>
      </c>
      <c r="I1880" s="366"/>
      <c r="J1880" s="245" t="s">
        <v>556</v>
      </c>
      <c r="K1880" s="216"/>
      <c r="L1880" s="1420" t="s">
        <v>5503</v>
      </c>
      <c r="M1880" s="1420" t="s">
        <v>5503</v>
      </c>
      <c r="N1880" s="256"/>
      <c r="O1880" s="250" t="s">
        <v>5709</v>
      </c>
      <c r="P1880" s="402"/>
      <c r="Q1880" s="375" t="s">
        <v>87</v>
      </c>
      <c r="R1880" s="982" t="s">
        <v>5708</v>
      </c>
      <c r="S1880" s="279">
        <v>30832</v>
      </c>
      <c r="T1880" s="250"/>
      <c r="U1880" s="251" t="s">
        <v>54</v>
      </c>
      <c r="V1880" s="197"/>
      <c r="W1880" s="1420" t="s">
        <v>56</v>
      </c>
      <c r="X1880" s="1420" t="s">
        <v>57</v>
      </c>
      <c r="Y1880" s="197"/>
      <c r="Z1880" s="246"/>
      <c r="AA1880" s="374"/>
      <c r="AB1880" s="250"/>
      <c r="AC1880" s="223"/>
      <c r="AD1880" s="299"/>
      <c r="AE1880" s="494"/>
      <c r="AF1880" s="494"/>
      <c r="AG1880" s="241"/>
      <c r="AH1880" s="253"/>
      <c r="AI1880" s="254"/>
      <c r="AJ1880" s="348" t="s">
        <v>560</v>
      </c>
      <c r="AK1880" s="219">
        <v>4</v>
      </c>
      <c r="AL1880" s="110" t="s">
        <v>584</v>
      </c>
      <c r="AM1880" s="110" t="s">
        <v>552</v>
      </c>
      <c r="AN1880" s="121"/>
      <c r="AO1880" s="3"/>
      <c r="AR1880" s="115"/>
      <c r="AS1880" s="115"/>
      <c r="AT1880" s="116"/>
    </row>
    <row r="1881" spans="1:46" ht="39" customHeight="1" x14ac:dyDescent="0.3">
      <c r="A1881" s="1468">
        <v>1880</v>
      </c>
      <c r="B1881" s="110">
        <v>3</v>
      </c>
      <c r="C1881" s="939" t="s">
        <v>290</v>
      </c>
      <c r="D1881" s="404"/>
      <c r="E1881" s="622"/>
      <c r="F1881" s="622"/>
      <c r="G1881" s="623" t="s">
        <v>527</v>
      </c>
      <c r="H1881" s="262" t="s">
        <v>87</v>
      </c>
      <c r="I1881" s="404"/>
      <c r="J1881" s="245" t="s">
        <v>561</v>
      </c>
      <c r="K1881" s="197"/>
      <c r="L1881" s="1420" t="s">
        <v>5503</v>
      </c>
      <c r="M1881" s="1420" t="s">
        <v>5503</v>
      </c>
      <c r="N1881" s="374"/>
      <c r="O1881" s="250" t="s">
        <v>5678</v>
      </c>
      <c r="P1881" s="402"/>
      <c r="Q1881" s="375" t="s">
        <v>87</v>
      </c>
      <c r="R1881" s="982" t="s">
        <v>5677</v>
      </c>
      <c r="S1881" s="279">
        <v>27797</v>
      </c>
      <c r="T1881" s="257"/>
      <c r="U1881" s="251" t="s">
        <v>54</v>
      </c>
      <c r="V1881" s="197"/>
      <c r="W1881" s="1420" t="s">
        <v>56</v>
      </c>
      <c r="X1881" s="1420" t="s">
        <v>57</v>
      </c>
      <c r="Y1881" s="306"/>
      <c r="Z1881" s="306"/>
      <c r="AA1881" s="246"/>
      <c r="AB1881" s="257"/>
      <c r="AC1881" s="223"/>
      <c r="AD1881" s="288"/>
      <c r="AE1881" s="494"/>
      <c r="AF1881" s="494"/>
      <c r="AG1881" s="241"/>
      <c r="AH1881" s="389"/>
      <c r="AI1881" s="254"/>
      <c r="AJ1881" s="348" t="s">
        <v>560</v>
      </c>
      <c r="AK1881" s="622">
        <v>4</v>
      </c>
      <c r="AL1881" s="179" t="s">
        <v>584</v>
      </c>
      <c r="AM1881" s="179" t="s">
        <v>552</v>
      </c>
      <c r="AN1881" s="166" t="s">
        <v>1382</v>
      </c>
      <c r="AO1881" s="875"/>
      <c r="AR1881" s="115"/>
      <c r="AS1881" s="115"/>
      <c r="AT1881" s="115"/>
    </row>
    <row r="1882" spans="1:46" s="827" customFormat="1" ht="39" customHeight="1" x14ac:dyDescent="0.3">
      <c r="A1882" s="1468">
        <v>1881</v>
      </c>
      <c r="B1882" s="110"/>
      <c r="C1882" s="596"/>
      <c r="D1882" s="578"/>
      <c r="E1882" s="597"/>
      <c r="F1882" s="597"/>
      <c r="G1882" s="598"/>
      <c r="H1882" s="599"/>
      <c r="I1882" s="578"/>
      <c r="J1882" s="598"/>
      <c r="K1882" s="578"/>
      <c r="L1882" s="602"/>
      <c r="M1882" s="602"/>
      <c r="N1882" s="578"/>
      <c r="O1882" s="602"/>
      <c r="P1882" s="737" t="s">
        <v>588</v>
      </c>
      <c r="Q1882" s="601"/>
      <c r="R1882" s="982"/>
      <c r="S1882" s="279"/>
      <c r="T1882" s="578"/>
      <c r="U1882" s="250"/>
      <c r="V1882" s="578"/>
      <c r="W1882" s="602"/>
      <c r="X1882" s="602"/>
      <c r="Y1882" s="578"/>
      <c r="Z1882" s="578"/>
      <c r="AA1882" s="578"/>
      <c r="AB1882" s="1295"/>
      <c r="AC1882" s="578"/>
      <c r="AD1882" s="659"/>
      <c r="AE1882" s="494"/>
      <c r="AF1882" s="494"/>
      <c r="AG1882" s="578"/>
      <c r="AH1882" s="578"/>
      <c r="AI1882" s="602"/>
      <c r="AJ1882" s="602"/>
      <c r="AK1882" s="597"/>
      <c r="AL1882" s="191"/>
      <c r="AM1882" s="191"/>
      <c r="AN1882" s="748"/>
      <c r="AO1882" s="750"/>
      <c r="AP1882" s="192"/>
      <c r="AQ1882" s="192"/>
      <c r="AR1882" s="192"/>
      <c r="AS1882" s="192"/>
      <c r="AT1882" s="192"/>
    </row>
    <row r="1883" spans="1:46" ht="39" customHeight="1" x14ac:dyDescent="0.3">
      <c r="A1883" s="1468">
        <v>1882</v>
      </c>
      <c r="B1883" s="110">
        <v>10</v>
      </c>
      <c r="C1883" s="937" t="s">
        <v>305</v>
      </c>
      <c r="D1883" s="451"/>
      <c r="E1883" s="603" t="s">
        <v>47</v>
      </c>
      <c r="F1883" s="603" t="s">
        <v>362</v>
      </c>
      <c r="G1883" s="604" t="s">
        <v>546</v>
      </c>
      <c r="H1883" s="244" t="s">
        <v>83</v>
      </c>
      <c r="I1883" s="451"/>
      <c r="J1883" s="245">
        <v>302</v>
      </c>
      <c r="K1883" s="197" t="s">
        <v>50</v>
      </c>
      <c r="L1883" s="441"/>
      <c r="M1883" s="441"/>
      <c r="N1883" s="276"/>
      <c r="O1883" s="1476" t="s">
        <v>3217</v>
      </c>
      <c r="P1883" s="892"/>
      <c r="Q1883" s="728" t="s">
        <v>119</v>
      </c>
      <c r="R1883" s="982" t="s">
        <v>1225</v>
      </c>
      <c r="S1883" s="279">
        <v>36458</v>
      </c>
      <c r="T1883" s="280"/>
      <c r="U1883" s="251" t="s">
        <v>54</v>
      </c>
      <c r="V1883" s="280" t="s">
        <v>3959</v>
      </c>
      <c r="W1883" s="197" t="s">
        <v>70</v>
      </c>
      <c r="X1883" s="289" t="s">
        <v>71</v>
      </c>
      <c r="Y1883" s="280" t="s">
        <v>4352</v>
      </c>
      <c r="Z1883" s="486">
        <v>45226</v>
      </c>
      <c r="AA1883" s="398"/>
      <c r="AB1883" s="893"/>
      <c r="AC1883" s="488"/>
      <c r="AD1883" s="867"/>
      <c r="AE1883" s="494"/>
      <c r="AF1883" s="494"/>
      <c r="AG1883" s="476"/>
      <c r="AH1883" s="489"/>
      <c r="AI1883" s="523"/>
      <c r="AJ1883" s="755" t="s">
        <v>62</v>
      </c>
      <c r="AK1883" s="603">
        <v>1</v>
      </c>
      <c r="AL1883" s="798" t="s">
        <v>589</v>
      </c>
      <c r="AM1883" s="798" t="s">
        <v>552</v>
      </c>
      <c r="AN1883" s="169"/>
      <c r="AO1883" s="878"/>
      <c r="AR1883" s="115"/>
    </row>
    <row r="1884" spans="1:46" ht="39" customHeight="1" x14ac:dyDescent="0.3">
      <c r="A1884" s="1468">
        <v>1883</v>
      </c>
      <c r="B1884" s="161">
        <v>2</v>
      </c>
      <c r="C1884" s="939" t="s">
        <v>446</v>
      </c>
      <c r="D1884" s="404"/>
      <c r="E1884" s="622"/>
      <c r="F1884" s="622" t="s">
        <v>362</v>
      </c>
      <c r="G1884" s="623" t="s">
        <v>354</v>
      </c>
      <c r="H1884" s="262" t="s">
        <v>87</v>
      </c>
      <c r="I1884" s="404"/>
      <c r="J1884" s="245" t="s">
        <v>561</v>
      </c>
      <c r="K1884" s="216"/>
      <c r="L1884" s="216" t="s">
        <v>2797</v>
      </c>
      <c r="M1884" s="216" t="s">
        <v>2797</v>
      </c>
      <c r="N1884" s="366"/>
      <c r="O1884" s="265" t="s">
        <v>2804</v>
      </c>
      <c r="P1884" s="402" t="s">
        <v>1828</v>
      </c>
      <c r="Q1884" s="375" t="s">
        <v>293</v>
      </c>
      <c r="R1884" s="982" t="s">
        <v>2803</v>
      </c>
      <c r="S1884" s="279">
        <v>27972</v>
      </c>
      <c r="T1884" s="289"/>
      <c r="U1884" s="250"/>
      <c r="V1884" s="197"/>
      <c r="W1884" s="197"/>
      <c r="X1884" s="197"/>
      <c r="Y1884" s="197"/>
      <c r="Z1884" s="246"/>
      <c r="AA1884" s="252"/>
      <c r="AB1884" s="281"/>
      <c r="AC1884" s="223"/>
      <c r="AD1884" s="301"/>
      <c r="AE1884" s="494"/>
      <c r="AF1884" s="494"/>
      <c r="AG1884" s="241"/>
      <c r="AH1884" s="283"/>
      <c r="AI1884" s="254"/>
      <c r="AJ1884" s="348" t="s">
        <v>560</v>
      </c>
      <c r="AK1884" s="622">
        <v>4</v>
      </c>
      <c r="AL1884" s="179" t="s">
        <v>589</v>
      </c>
      <c r="AM1884" s="179" t="s">
        <v>552</v>
      </c>
      <c r="AN1884" s="483" t="s">
        <v>5764</v>
      </c>
      <c r="AO1884" s="875"/>
      <c r="AR1884" s="115"/>
      <c r="AS1884" s="115"/>
      <c r="AT1884" s="115"/>
    </row>
    <row r="1885" spans="1:46" s="827" customFormat="1" ht="39" customHeight="1" x14ac:dyDescent="0.3">
      <c r="A1885" s="1468">
        <v>1884</v>
      </c>
      <c r="B1885" s="110"/>
      <c r="C1885" s="596"/>
      <c r="D1885" s="578"/>
      <c r="E1885" s="597"/>
      <c r="F1885" s="597"/>
      <c r="G1885" s="598"/>
      <c r="H1885" s="599"/>
      <c r="I1885" s="578"/>
      <c r="J1885" s="598"/>
      <c r="K1885" s="578"/>
      <c r="L1885" s="602"/>
      <c r="M1885" s="602"/>
      <c r="N1885" s="578"/>
      <c r="O1885" s="602"/>
      <c r="P1885" s="600" t="s">
        <v>590</v>
      </c>
      <c r="Q1885" s="601"/>
      <c r="R1885" s="982"/>
      <c r="S1885" s="279"/>
      <c r="T1885" s="578"/>
      <c r="U1885" s="250"/>
      <c r="V1885" s="578"/>
      <c r="W1885" s="602"/>
      <c r="X1885" s="602"/>
      <c r="Y1885" s="578"/>
      <c r="Z1885" s="578"/>
      <c r="AA1885" s="578"/>
      <c r="AB1885" s="1295"/>
      <c r="AC1885" s="578"/>
      <c r="AD1885" s="659"/>
      <c r="AE1885" s="494"/>
      <c r="AF1885" s="494"/>
      <c r="AG1885" s="578"/>
      <c r="AH1885" s="578"/>
      <c r="AI1885" s="602"/>
      <c r="AJ1885" s="602"/>
      <c r="AK1885" s="597"/>
      <c r="AL1885" s="191"/>
      <c r="AM1885" s="191"/>
      <c r="AN1885" s="748"/>
      <c r="AO1885" s="750"/>
      <c r="AP1885" s="192"/>
      <c r="AQ1885" s="192"/>
      <c r="AR1885" s="192"/>
      <c r="AS1885" s="192"/>
      <c r="AT1885" s="192"/>
    </row>
    <row r="1886" spans="1:46" ht="39" customHeight="1" x14ac:dyDescent="0.3">
      <c r="A1886" s="1468">
        <v>1885</v>
      </c>
      <c r="B1886" s="110">
        <v>7</v>
      </c>
      <c r="C1886" s="943" t="s">
        <v>591</v>
      </c>
      <c r="D1886" s="451"/>
      <c r="E1886" s="884"/>
      <c r="F1886" s="884"/>
      <c r="G1886" s="885" t="s">
        <v>610</v>
      </c>
      <c r="H1886" s="886" t="s">
        <v>132</v>
      </c>
      <c r="I1886" s="451"/>
      <c r="J1886" s="256">
        <v>403</v>
      </c>
      <c r="K1886" s="451"/>
      <c r="L1886" s="1420" t="s">
        <v>5503</v>
      </c>
      <c r="M1886" s="1420" t="s">
        <v>5503</v>
      </c>
      <c r="N1886" s="451"/>
      <c r="O1886" s="250" t="s">
        <v>5715</v>
      </c>
      <c r="P1886" s="402"/>
      <c r="Q1886" s="375" t="s">
        <v>87</v>
      </c>
      <c r="R1886" s="982" t="s">
        <v>5714</v>
      </c>
      <c r="S1886" s="279">
        <v>28457</v>
      </c>
      <c r="T1886" s="451"/>
      <c r="U1886" s="251" t="s">
        <v>54</v>
      </c>
      <c r="V1886" s="451"/>
      <c r="W1886" s="1420" t="s">
        <v>56</v>
      </c>
      <c r="X1886" s="1420" t="s">
        <v>57</v>
      </c>
      <c r="Y1886" s="451"/>
      <c r="Z1886" s="451"/>
      <c r="AA1886" s="451"/>
      <c r="AB1886" s="1293"/>
      <c r="AC1886" s="451"/>
      <c r="AD1886" s="661"/>
      <c r="AE1886" s="494"/>
      <c r="AF1886" s="494"/>
      <c r="AG1886" s="451"/>
      <c r="AH1886" s="451"/>
      <c r="AI1886" s="625"/>
      <c r="AJ1886" s="348" t="s">
        <v>560</v>
      </c>
      <c r="AK1886" s="884">
        <v>3</v>
      </c>
      <c r="AL1886" s="177" t="s">
        <v>589</v>
      </c>
      <c r="AM1886" s="177" t="s">
        <v>552</v>
      </c>
      <c r="AN1886" s="483" t="s">
        <v>5791</v>
      </c>
      <c r="AO1886" s="878"/>
      <c r="AR1886" s="115"/>
    </row>
    <row r="1887" spans="1:46" ht="39" customHeight="1" x14ac:dyDescent="0.3">
      <c r="A1887" s="1468">
        <v>1886</v>
      </c>
      <c r="B1887" s="110">
        <v>3</v>
      </c>
      <c r="C1887" s="722" t="s">
        <v>346</v>
      </c>
      <c r="D1887" s="366"/>
      <c r="E1887" s="219"/>
      <c r="F1887" s="219" t="s">
        <v>362</v>
      </c>
      <c r="G1887" s="610" t="s">
        <v>612</v>
      </c>
      <c r="H1887" s="262" t="s">
        <v>85</v>
      </c>
      <c r="I1887" s="366"/>
      <c r="J1887" s="245" t="s">
        <v>556</v>
      </c>
      <c r="K1887" s="216"/>
      <c r="L1887" s="1420" t="s">
        <v>5503</v>
      </c>
      <c r="M1887" s="1420" t="s">
        <v>5503</v>
      </c>
      <c r="N1887" s="245"/>
      <c r="O1887" s="250" t="s">
        <v>5560</v>
      </c>
      <c r="P1887" s="402"/>
      <c r="Q1887" s="375" t="s">
        <v>87</v>
      </c>
      <c r="R1887" s="982" t="s">
        <v>5559</v>
      </c>
      <c r="S1887" s="279">
        <v>32179</v>
      </c>
      <c r="T1887" s="252"/>
      <c r="U1887" s="251" t="s">
        <v>54</v>
      </c>
      <c r="V1887" s="197"/>
      <c r="W1887" s="1420" t="s">
        <v>56</v>
      </c>
      <c r="X1887" s="1420" t="s">
        <v>57</v>
      </c>
      <c r="Y1887" s="197"/>
      <c r="Z1887" s="250"/>
      <c r="AA1887" s="250"/>
      <c r="AB1887" s="282"/>
      <c r="AC1887" s="223"/>
      <c r="AD1887" s="282"/>
      <c r="AE1887" s="494"/>
      <c r="AF1887" s="494"/>
      <c r="AG1887" s="282"/>
      <c r="AH1887" s="283"/>
      <c r="AI1887" s="328"/>
      <c r="AJ1887" s="348" t="s">
        <v>560</v>
      </c>
      <c r="AK1887" s="219">
        <v>4</v>
      </c>
      <c r="AL1887" s="110" t="s">
        <v>589</v>
      </c>
      <c r="AM1887" s="110" t="s">
        <v>552</v>
      </c>
      <c r="AN1887" s="121"/>
      <c r="AO1887" s="3"/>
      <c r="AR1887" s="115"/>
    </row>
    <row r="1888" spans="1:46" ht="39" customHeight="1" x14ac:dyDescent="0.3">
      <c r="A1888" s="1468">
        <v>1887</v>
      </c>
      <c r="B1888" s="110">
        <v>2</v>
      </c>
      <c r="C1888" s="722" t="s">
        <v>592</v>
      </c>
      <c r="D1888" s="366"/>
      <c r="E1888" s="219"/>
      <c r="F1888" s="219" t="s">
        <v>362</v>
      </c>
      <c r="G1888" s="610" t="s">
        <v>613</v>
      </c>
      <c r="H1888" s="262" t="s">
        <v>87</v>
      </c>
      <c r="I1888" s="366"/>
      <c r="J1888" s="245" t="s">
        <v>561</v>
      </c>
      <c r="K1888" s="216"/>
      <c r="L1888" s="1420" t="s">
        <v>5503</v>
      </c>
      <c r="M1888" s="1420" t="s">
        <v>5503</v>
      </c>
      <c r="N1888" s="305"/>
      <c r="O1888" s="250" t="s">
        <v>5632</v>
      </c>
      <c r="P1888" s="402"/>
      <c r="Q1888" s="375" t="s">
        <v>87</v>
      </c>
      <c r="R1888" s="982" t="s">
        <v>5631</v>
      </c>
      <c r="S1888" s="279">
        <v>29717</v>
      </c>
      <c r="T1888" s="197"/>
      <c r="U1888" s="251" t="s">
        <v>54</v>
      </c>
      <c r="V1888" s="241"/>
      <c r="W1888" s="1420" t="s">
        <v>56</v>
      </c>
      <c r="X1888" s="1420" t="s">
        <v>57</v>
      </c>
      <c r="Y1888" s="299"/>
      <c r="Z1888" s="289"/>
      <c r="AA1888" s="246"/>
      <c r="AB1888" s="306"/>
      <c r="AC1888" s="223"/>
      <c r="AD1888" s="306"/>
      <c r="AE1888" s="494"/>
      <c r="AF1888" s="494"/>
      <c r="AG1888" s="282"/>
      <c r="AH1888" s="281"/>
      <c r="AI1888" s="223"/>
      <c r="AJ1888" s="348" t="s">
        <v>560</v>
      </c>
      <c r="AK1888" s="219">
        <v>4</v>
      </c>
      <c r="AL1888" s="110" t="s">
        <v>589</v>
      </c>
      <c r="AM1888" s="110" t="s">
        <v>552</v>
      </c>
      <c r="AN1888" s="121"/>
      <c r="AO1888" s="3"/>
      <c r="AR1888" s="115"/>
    </row>
    <row r="1889" spans="1:46" ht="39" customHeight="1" x14ac:dyDescent="0.3">
      <c r="A1889" s="1468">
        <v>1888</v>
      </c>
      <c r="B1889" s="110">
        <v>2</v>
      </c>
      <c r="C1889" s="722" t="s">
        <v>290</v>
      </c>
      <c r="D1889" s="366"/>
      <c r="E1889" s="219"/>
      <c r="F1889" s="219"/>
      <c r="G1889" s="623" t="s">
        <v>626</v>
      </c>
      <c r="H1889" s="262" t="s">
        <v>87</v>
      </c>
      <c r="I1889" s="366"/>
      <c r="J1889" s="245" t="s">
        <v>561</v>
      </c>
      <c r="K1889" s="216"/>
      <c r="L1889" s="1420" t="s">
        <v>5503</v>
      </c>
      <c r="M1889" s="1420" t="s">
        <v>5503</v>
      </c>
      <c r="N1889" s="366"/>
      <c r="O1889" s="250" t="s">
        <v>5697</v>
      </c>
      <c r="P1889" s="402"/>
      <c r="Q1889" s="375" t="s">
        <v>132</v>
      </c>
      <c r="R1889" s="982" t="s">
        <v>5696</v>
      </c>
      <c r="S1889" s="279">
        <v>31421</v>
      </c>
      <c r="T1889" s="289"/>
      <c r="U1889" s="251" t="s">
        <v>54</v>
      </c>
      <c r="V1889" s="197"/>
      <c r="W1889" s="1420" t="s">
        <v>56</v>
      </c>
      <c r="X1889" s="1420" t="s">
        <v>57</v>
      </c>
      <c r="Y1889" s="197"/>
      <c r="Z1889" s="246"/>
      <c r="AA1889" s="252"/>
      <c r="AB1889" s="281"/>
      <c r="AC1889" s="223"/>
      <c r="AD1889" s="301"/>
      <c r="AE1889" s="494"/>
      <c r="AF1889" s="494"/>
      <c r="AG1889" s="241"/>
      <c r="AH1889" s="283"/>
      <c r="AI1889" s="254"/>
      <c r="AJ1889" s="348" t="s">
        <v>560</v>
      </c>
      <c r="AK1889" s="219">
        <v>4</v>
      </c>
      <c r="AL1889" s="110" t="s">
        <v>589</v>
      </c>
      <c r="AM1889" s="110" t="s">
        <v>552</v>
      </c>
      <c r="AN1889" s="121" t="s">
        <v>5792</v>
      </c>
      <c r="AO1889" s="3"/>
      <c r="AR1889" s="115"/>
      <c r="AS1889" s="115"/>
      <c r="AT1889" s="115"/>
    </row>
    <row r="1890" spans="1:46" ht="39" customHeight="1" x14ac:dyDescent="0.3">
      <c r="A1890" s="1468">
        <v>1889</v>
      </c>
      <c r="B1890" s="110">
        <v>4</v>
      </c>
      <c r="C1890" s="941" t="s">
        <v>593</v>
      </c>
      <c r="D1890" s="366"/>
      <c r="E1890" s="618"/>
      <c r="F1890" s="618"/>
      <c r="G1890" s="619" t="s">
        <v>614</v>
      </c>
      <c r="H1890" s="620" t="s">
        <v>132</v>
      </c>
      <c r="I1890" s="366"/>
      <c r="J1890" s="256">
        <v>403</v>
      </c>
      <c r="K1890" s="366"/>
      <c r="L1890" s="1420" t="s">
        <v>5503</v>
      </c>
      <c r="M1890" s="1420" t="s">
        <v>5503</v>
      </c>
      <c r="N1890" s="366"/>
      <c r="O1890" s="250" t="s">
        <v>5614</v>
      </c>
      <c r="P1890" s="402" t="s">
        <v>551</v>
      </c>
      <c r="Q1890" s="375" t="s">
        <v>87</v>
      </c>
      <c r="R1890" s="982" t="s">
        <v>5613</v>
      </c>
      <c r="S1890" s="279">
        <v>32495</v>
      </c>
      <c r="T1890" s="366"/>
      <c r="U1890" s="251" t="s">
        <v>54</v>
      </c>
      <c r="V1890" s="366"/>
      <c r="W1890" s="1420" t="s">
        <v>56</v>
      </c>
      <c r="X1890" s="1420" t="s">
        <v>57</v>
      </c>
      <c r="Y1890" s="366"/>
      <c r="Z1890" s="366"/>
      <c r="AA1890" s="366"/>
      <c r="AB1890" s="1289"/>
      <c r="AC1890" s="366"/>
      <c r="AD1890" s="658"/>
      <c r="AE1890" s="494"/>
      <c r="AF1890" s="494"/>
      <c r="AG1890" s="366"/>
      <c r="AH1890" s="366"/>
      <c r="AI1890" s="392"/>
      <c r="AJ1890" s="348" t="s">
        <v>560</v>
      </c>
      <c r="AK1890" s="618">
        <v>3</v>
      </c>
      <c r="AL1890" s="130" t="s">
        <v>589</v>
      </c>
      <c r="AM1890" s="130" t="s">
        <v>552</v>
      </c>
      <c r="AN1890" s="121"/>
      <c r="AO1890" s="3"/>
      <c r="AR1890" s="115"/>
    </row>
    <row r="1891" spans="1:46" ht="39" customHeight="1" x14ac:dyDescent="0.3">
      <c r="A1891" s="1468">
        <v>1890</v>
      </c>
      <c r="B1891" s="110">
        <v>3</v>
      </c>
      <c r="C1891" s="722" t="s">
        <v>346</v>
      </c>
      <c r="D1891" s="366"/>
      <c r="E1891" s="219"/>
      <c r="F1891" s="219"/>
      <c r="G1891" s="610" t="s">
        <v>612</v>
      </c>
      <c r="H1891" s="262" t="s">
        <v>85</v>
      </c>
      <c r="I1891" s="366"/>
      <c r="J1891" s="245" t="s">
        <v>556</v>
      </c>
      <c r="K1891" s="250"/>
      <c r="L1891" s="1420" t="s">
        <v>5503</v>
      </c>
      <c r="M1891" s="1420" t="s">
        <v>5503</v>
      </c>
      <c r="N1891" s="366"/>
      <c r="O1891" s="250" t="s">
        <v>5640</v>
      </c>
      <c r="P1891" s="402"/>
      <c r="Q1891" s="375" t="s">
        <v>87</v>
      </c>
      <c r="R1891" s="982" t="s">
        <v>5639</v>
      </c>
      <c r="S1891" s="279">
        <v>31862</v>
      </c>
      <c r="T1891" s="289"/>
      <c r="U1891" s="251" t="s">
        <v>54</v>
      </c>
      <c r="V1891" s="197"/>
      <c r="W1891" s="1420" t="s">
        <v>56</v>
      </c>
      <c r="X1891" s="1420" t="s">
        <v>57</v>
      </c>
      <c r="Y1891" s="197"/>
      <c r="Z1891" s="246"/>
      <c r="AA1891" s="252"/>
      <c r="AB1891" s="197"/>
      <c r="AC1891" s="223"/>
      <c r="AD1891" s="197"/>
      <c r="AE1891" s="494"/>
      <c r="AF1891" s="494"/>
      <c r="AG1891" s="305"/>
      <c r="AH1891" s="301"/>
      <c r="AI1891" s="254"/>
      <c r="AJ1891" s="348" t="s">
        <v>560</v>
      </c>
      <c r="AK1891" s="219">
        <v>4</v>
      </c>
      <c r="AL1891" s="110" t="s">
        <v>589</v>
      </c>
      <c r="AM1891" s="110" t="s">
        <v>552</v>
      </c>
      <c r="AN1891" s="121"/>
      <c r="AO1891" s="3"/>
      <c r="AR1891" s="115"/>
    </row>
    <row r="1892" spans="1:46" ht="39" customHeight="1" x14ac:dyDescent="0.3">
      <c r="A1892" s="1468">
        <v>1891</v>
      </c>
      <c r="B1892" s="146">
        <v>2</v>
      </c>
      <c r="C1892" s="722" t="s">
        <v>594</v>
      </c>
      <c r="D1892" s="366"/>
      <c r="E1892" s="219"/>
      <c r="F1892" s="219"/>
      <c r="G1892" s="610" t="s">
        <v>613</v>
      </c>
      <c r="H1892" s="262" t="s">
        <v>87</v>
      </c>
      <c r="I1892" s="366"/>
      <c r="J1892" s="245" t="s">
        <v>561</v>
      </c>
      <c r="K1892" s="257"/>
      <c r="L1892" s="299"/>
      <c r="M1892" s="299"/>
      <c r="N1892" s="299"/>
      <c r="O1892" s="216"/>
      <c r="P1892" s="300"/>
      <c r="Q1892" s="301"/>
      <c r="R1892" s="982" t="s">
        <v>66</v>
      </c>
      <c r="S1892" s="279"/>
      <c r="T1892" s="289"/>
      <c r="U1892" s="250"/>
      <c r="V1892" s="299"/>
      <c r="W1892" s="197"/>
      <c r="X1892" s="299"/>
      <c r="Y1892" s="299"/>
      <c r="Z1892" s="299"/>
      <c r="AA1892" s="289"/>
      <c r="AB1892" s="299"/>
      <c r="AC1892" s="223"/>
      <c r="AD1892" s="299"/>
      <c r="AE1892" s="494"/>
      <c r="AF1892" s="494"/>
      <c r="AG1892" s="299"/>
      <c r="AH1892" s="299"/>
      <c r="AI1892" s="223"/>
      <c r="AJ1892" s="303"/>
      <c r="AK1892" s="219">
        <v>4</v>
      </c>
      <c r="AL1892" s="110" t="s">
        <v>589</v>
      </c>
      <c r="AM1892" s="110" t="s">
        <v>552</v>
      </c>
      <c r="AN1892" s="121"/>
      <c r="AO1892" s="3"/>
      <c r="AR1892" s="115"/>
    </row>
    <row r="1893" spans="1:46" ht="39" customHeight="1" x14ac:dyDescent="0.3">
      <c r="A1893" s="1468">
        <v>1892</v>
      </c>
      <c r="B1893" s="110">
        <v>2</v>
      </c>
      <c r="C1893" s="939" t="s">
        <v>290</v>
      </c>
      <c r="D1893" s="404"/>
      <c r="E1893" s="622"/>
      <c r="F1893" s="622" t="s">
        <v>362</v>
      </c>
      <c r="G1893" s="623" t="s">
        <v>626</v>
      </c>
      <c r="H1893" s="262" t="s">
        <v>87</v>
      </c>
      <c r="I1893" s="404"/>
      <c r="J1893" s="245" t="s">
        <v>561</v>
      </c>
      <c r="K1893" s="216" t="s">
        <v>158</v>
      </c>
      <c r="L1893" s="301" t="s">
        <v>1103</v>
      </c>
      <c r="M1893" s="301" t="s">
        <v>1103</v>
      </c>
      <c r="N1893" s="245"/>
      <c r="O1893" s="216" t="s">
        <v>1270</v>
      </c>
      <c r="P1893" s="402"/>
      <c r="Q1893" s="375" t="s">
        <v>293</v>
      </c>
      <c r="R1893" s="982" t="s">
        <v>1271</v>
      </c>
      <c r="S1893" s="279">
        <v>37329</v>
      </c>
      <c r="T1893" s="250"/>
      <c r="U1893" s="251" t="s">
        <v>54</v>
      </c>
      <c r="V1893" s="197" t="s">
        <v>5955</v>
      </c>
      <c r="W1893" s="197" t="s">
        <v>70</v>
      </c>
      <c r="X1893" s="197" t="s">
        <v>71</v>
      </c>
      <c r="Y1893" s="949" t="s">
        <v>5964</v>
      </c>
      <c r="Z1893" s="612">
        <v>45312</v>
      </c>
      <c r="AA1893" s="246"/>
      <c r="AB1893" s="281"/>
      <c r="AC1893" s="223" t="s">
        <v>946</v>
      </c>
      <c r="AD1893" s="301"/>
      <c r="AE1893" s="494"/>
      <c r="AF1893" s="494"/>
      <c r="AG1893" s="305" t="s">
        <v>61</v>
      </c>
      <c r="AH1893" s="281"/>
      <c r="AI1893" s="386"/>
      <c r="AJ1893" s="348" t="s">
        <v>560</v>
      </c>
      <c r="AK1893" s="622">
        <v>4</v>
      </c>
      <c r="AL1893" s="179" t="s">
        <v>589</v>
      </c>
      <c r="AM1893" s="179" t="s">
        <v>552</v>
      </c>
      <c r="AN1893" s="121" t="s">
        <v>5792</v>
      </c>
      <c r="AO1893" s="875"/>
      <c r="AR1893" s="115"/>
      <c r="AS1893" s="115"/>
      <c r="AT1893" s="115"/>
    </row>
    <row r="1894" spans="1:46" s="827" customFormat="1" ht="39" customHeight="1" x14ac:dyDescent="0.3">
      <c r="A1894" s="1468">
        <v>1893</v>
      </c>
      <c r="B1894" s="110"/>
      <c r="C1894" s="596"/>
      <c r="D1894" s="578"/>
      <c r="E1894" s="597"/>
      <c r="F1894" s="597"/>
      <c r="G1894" s="598"/>
      <c r="H1894" s="599"/>
      <c r="I1894" s="578"/>
      <c r="J1894" s="598"/>
      <c r="K1894" s="578"/>
      <c r="L1894" s="602"/>
      <c r="M1894" s="602"/>
      <c r="N1894" s="578"/>
      <c r="O1894" s="602"/>
      <c r="P1894" s="600" t="s">
        <v>595</v>
      </c>
      <c r="Q1894" s="601"/>
      <c r="R1894" s="982"/>
      <c r="S1894" s="279"/>
      <c r="T1894" s="578"/>
      <c r="U1894" s="250"/>
      <c r="V1894" s="578"/>
      <c r="W1894" s="602"/>
      <c r="X1894" s="602"/>
      <c r="Y1894" s="578"/>
      <c r="Z1894" s="578"/>
      <c r="AA1894" s="578"/>
      <c r="AB1894" s="1295"/>
      <c r="AC1894" s="578"/>
      <c r="AD1894" s="659"/>
      <c r="AE1894" s="494"/>
      <c r="AF1894" s="494"/>
      <c r="AG1894" s="578"/>
      <c r="AH1894" s="578"/>
      <c r="AI1894" s="602"/>
      <c r="AJ1894" s="602"/>
      <c r="AK1894" s="597"/>
      <c r="AL1894" s="191"/>
      <c r="AM1894" s="191"/>
      <c r="AN1894" s="748"/>
      <c r="AO1894" s="750"/>
      <c r="AP1894" s="192"/>
      <c r="AQ1894" s="192"/>
      <c r="AR1894" s="192"/>
      <c r="AS1894" s="192"/>
      <c r="AT1894" s="192"/>
    </row>
    <row r="1895" spans="1:46" ht="39" customHeight="1" x14ac:dyDescent="0.3">
      <c r="A1895" s="1468">
        <v>1894</v>
      </c>
      <c r="B1895" s="110">
        <v>5</v>
      </c>
      <c r="C1895" s="943" t="s">
        <v>367</v>
      </c>
      <c r="D1895" s="451"/>
      <c r="E1895" s="884"/>
      <c r="F1895" s="884"/>
      <c r="G1895" s="885" t="s">
        <v>2074</v>
      </c>
      <c r="H1895" s="886" t="s">
        <v>132</v>
      </c>
      <c r="I1895" s="451"/>
      <c r="J1895" s="256">
        <v>403</v>
      </c>
      <c r="K1895" s="451"/>
      <c r="L1895" s="625"/>
      <c r="M1895" s="625"/>
      <c r="N1895" s="451"/>
      <c r="O1895" s="216"/>
      <c r="P1895" s="402"/>
      <c r="Q1895" s="375"/>
      <c r="R1895" s="982" t="s">
        <v>66</v>
      </c>
      <c r="S1895" s="279"/>
      <c r="T1895" s="451"/>
      <c r="U1895" s="197"/>
      <c r="V1895" s="197"/>
      <c r="W1895" s="250"/>
      <c r="X1895" s="197"/>
      <c r="Y1895" s="197"/>
      <c r="Z1895" s="246"/>
      <c r="AA1895" s="451"/>
      <c r="AB1895" s="1293"/>
      <c r="AC1895" s="451"/>
      <c r="AD1895" s="661"/>
      <c r="AE1895" s="494"/>
      <c r="AF1895" s="494"/>
      <c r="AG1895" s="451"/>
      <c r="AH1895" s="451"/>
      <c r="AI1895" s="625"/>
      <c r="AJ1895" s="348"/>
      <c r="AK1895" s="884">
        <v>3</v>
      </c>
      <c r="AL1895" s="177" t="s">
        <v>596</v>
      </c>
      <c r="AM1895" s="177" t="s">
        <v>552</v>
      </c>
      <c r="AN1895" s="169"/>
      <c r="AO1895" s="878"/>
      <c r="AR1895" s="115"/>
    </row>
    <row r="1896" spans="1:46" ht="39" customHeight="1" x14ac:dyDescent="0.3">
      <c r="A1896" s="1468">
        <v>1895</v>
      </c>
      <c r="B1896" s="110">
        <v>4</v>
      </c>
      <c r="C1896" s="722" t="s">
        <v>597</v>
      </c>
      <c r="D1896" s="366"/>
      <c r="E1896" s="219"/>
      <c r="F1896" s="219" t="s">
        <v>362</v>
      </c>
      <c r="G1896" s="610" t="s">
        <v>2062</v>
      </c>
      <c r="H1896" s="262" t="s">
        <v>85</v>
      </c>
      <c r="I1896" s="366"/>
      <c r="J1896" s="245" t="s">
        <v>556</v>
      </c>
      <c r="K1896" s="216"/>
      <c r="L1896" s="301" t="s">
        <v>4055</v>
      </c>
      <c r="M1896" s="301" t="s">
        <v>4055</v>
      </c>
      <c r="N1896" s="366"/>
      <c r="O1896" s="216" t="s">
        <v>4070</v>
      </c>
      <c r="P1896" s="402" t="s">
        <v>1828</v>
      </c>
      <c r="Q1896" s="375" t="s">
        <v>293</v>
      </c>
      <c r="R1896" s="982" t="s">
        <v>4069</v>
      </c>
      <c r="S1896" s="279">
        <v>29735</v>
      </c>
      <c r="T1896" s="289"/>
      <c r="U1896" s="251" t="s">
        <v>54</v>
      </c>
      <c r="V1896" s="250" t="s">
        <v>4047</v>
      </c>
      <c r="W1896" s="197" t="s">
        <v>70</v>
      </c>
      <c r="X1896" s="289" t="s">
        <v>71</v>
      </c>
      <c r="Y1896" s="288" t="s">
        <v>4218</v>
      </c>
      <c r="Z1896" s="252">
        <v>45233</v>
      </c>
      <c r="AA1896" s="252"/>
      <c r="AB1896" s="301"/>
      <c r="AC1896" s="223"/>
      <c r="AD1896" s="301"/>
      <c r="AE1896" s="494"/>
      <c r="AF1896" s="494"/>
      <c r="AG1896" s="241"/>
      <c r="AH1896" s="301"/>
      <c r="AI1896" s="296"/>
      <c r="AJ1896" s="348" t="s">
        <v>560</v>
      </c>
      <c r="AK1896" s="219">
        <v>4</v>
      </c>
      <c r="AL1896" s="110" t="s">
        <v>596</v>
      </c>
      <c r="AM1896" s="110" t="s">
        <v>552</v>
      </c>
      <c r="AN1896" s="121"/>
      <c r="AO1896" s="3"/>
      <c r="AR1896" s="115"/>
    </row>
    <row r="1897" spans="1:46" ht="39" customHeight="1" x14ac:dyDescent="0.3">
      <c r="A1897" s="1468">
        <v>1896</v>
      </c>
      <c r="B1897" s="110">
        <v>2</v>
      </c>
      <c r="C1897" s="722" t="s">
        <v>598</v>
      </c>
      <c r="D1897" s="366"/>
      <c r="E1897" s="219"/>
      <c r="F1897" s="219" t="s">
        <v>362</v>
      </c>
      <c r="G1897" s="610" t="s">
        <v>2075</v>
      </c>
      <c r="H1897" s="262" t="s">
        <v>87</v>
      </c>
      <c r="I1897" s="366"/>
      <c r="J1897" s="245" t="s">
        <v>561</v>
      </c>
      <c r="K1897" s="216"/>
      <c r="L1897" s="216"/>
      <c r="M1897" s="216"/>
      <c r="N1897" s="366"/>
      <c r="O1897" s="216"/>
      <c r="P1897" s="247"/>
      <c r="Q1897" s="301"/>
      <c r="R1897" s="982" t="s">
        <v>66</v>
      </c>
      <c r="S1897" s="279"/>
      <c r="T1897" s="250"/>
      <c r="U1897" s="250"/>
      <c r="V1897" s="197"/>
      <c r="W1897" s="197"/>
      <c r="X1897" s="197"/>
      <c r="Y1897" s="197"/>
      <c r="Z1897" s="246"/>
      <c r="AA1897" s="246"/>
      <c r="AB1897" s="197"/>
      <c r="AC1897" s="223"/>
      <c r="AD1897" s="197"/>
      <c r="AE1897" s="494"/>
      <c r="AF1897" s="494"/>
      <c r="AG1897" s="305"/>
      <c r="AH1897" s="283"/>
      <c r="AI1897" s="296"/>
      <c r="AJ1897" s="303"/>
      <c r="AK1897" s="219">
        <v>4</v>
      </c>
      <c r="AL1897" s="110" t="s">
        <v>596</v>
      </c>
      <c r="AM1897" s="110" t="s">
        <v>552</v>
      </c>
      <c r="AN1897" s="121"/>
      <c r="AO1897" s="3"/>
      <c r="AR1897" s="115"/>
    </row>
    <row r="1898" spans="1:46" ht="39" customHeight="1" x14ac:dyDescent="0.3">
      <c r="A1898" s="1468">
        <v>1897</v>
      </c>
      <c r="B1898" s="110">
        <v>3</v>
      </c>
      <c r="C1898" s="722" t="s">
        <v>599</v>
      </c>
      <c r="D1898" s="366"/>
      <c r="E1898" s="219"/>
      <c r="F1898" s="219"/>
      <c r="G1898" s="610" t="s">
        <v>2075</v>
      </c>
      <c r="H1898" s="262" t="s">
        <v>87</v>
      </c>
      <c r="I1898" s="366"/>
      <c r="J1898" s="245" t="s">
        <v>561</v>
      </c>
      <c r="K1898" s="216"/>
      <c r="L1898" s="216"/>
      <c r="M1898" s="265"/>
      <c r="N1898" s="404"/>
      <c r="O1898" s="265"/>
      <c r="P1898" s="429"/>
      <c r="Q1898" s="394"/>
      <c r="R1898" s="982" t="s">
        <v>66</v>
      </c>
      <c r="S1898" s="279"/>
      <c r="T1898" s="414"/>
      <c r="U1898" s="250"/>
      <c r="V1898" s="268"/>
      <c r="W1898" s="197"/>
      <c r="X1898" s="197"/>
      <c r="Y1898" s="197"/>
      <c r="Z1898" s="246"/>
      <c r="AA1898" s="252"/>
      <c r="AB1898" s="250"/>
      <c r="AC1898" s="223"/>
      <c r="AD1898" s="301"/>
      <c r="AE1898" s="494"/>
      <c r="AF1898" s="494"/>
      <c r="AG1898" s="305"/>
      <c r="AH1898" s="282"/>
      <c r="AI1898" s="296"/>
      <c r="AJ1898" s="303"/>
      <c r="AK1898" s="219">
        <v>4</v>
      </c>
      <c r="AL1898" s="110" t="s">
        <v>596</v>
      </c>
      <c r="AM1898" s="110" t="s">
        <v>552</v>
      </c>
      <c r="AN1898" s="121"/>
      <c r="AO1898" s="3"/>
      <c r="AR1898" s="115"/>
    </row>
    <row r="1899" spans="1:46" ht="39" customHeight="1" x14ac:dyDescent="0.3">
      <c r="A1899" s="1468">
        <v>1898</v>
      </c>
      <c r="B1899" s="110">
        <v>3</v>
      </c>
      <c r="C1899" s="722" t="s">
        <v>600</v>
      </c>
      <c r="D1899" s="366"/>
      <c r="E1899" s="219"/>
      <c r="F1899" s="219"/>
      <c r="G1899" s="610" t="s">
        <v>2075</v>
      </c>
      <c r="H1899" s="262" t="s">
        <v>87</v>
      </c>
      <c r="I1899" s="366"/>
      <c r="J1899" s="245" t="s">
        <v>561</v>
      </c>
      <c r="K1899" s="216"/>
      <c r="L1899" s="1420" t="s">
        <v>5503</v>
      </c>
      <c r="M1899" s="1420" t="s">
        <v>5503</v>
      </c>
      <c r="N1899" s="366"/>
      <c r="O1899" s="216" t="s">
        <v>5544</v>
      </c>
      <c r="P1899" s="402"/>
      <c r="Q1899" s="375" t="s">
        <v>87</v>
      </c>
      <c r="R1899" s="982" t="s">
        <v>5543</v>
      </c>
      <c r="S1899" s="279">
        <v>26185</v>
      </c>
      <c r="T1899" s="197"/>
      <c r="U1899" s="251" t="s">
        <v>54</v>
      </c>
      <c r="V1899" s="197"/>
      <c r="W1899" s="1420" t="s">
        <v>56</v>
      </c>
      <c r="X1899" s="1420" t="s">
        <v>57</v>
      </c>
      <c r="Y1899" s="197"/>
      <c r="Z1899" s="246"/>
      <c r="AA1899" s="252"/>
      <c r="AB1899" s="250"/>
      <c r="AC1899" s="223"/>
      <c r="AD1899" s="299"/>
      <c r="AE1899" s="494"/>
      <c r="AF1899" s="494"/>
      <c r="AG1899" s="241"/>
      <c r="AH1899" s="245"/>
      <c r="AI1899" s="296"/>
      <c r="AJ1899" s="348" t="s">
        <v>560</v>
      </c>
      <c r="AK1899" s="219">
        <v>4</v>
      </c>
      <c r="AL1899" s="110" t="s">
        <v>596</v>
      </c>
      <c r="AM1899" s="110" t="s">
        <v>552</v>
      </c>
      <c r="AN1899" s="483" t="s">
        <v>5791</v>
      </c>
      <c r="AO1899" s="3"/>
      <c r="AR1899" s="115"/>
    </row>
    <row r="1900" spans="1:46" ht="39" customHeight="1" x14ac:dyDescent="0.3">
      <c r="A1900" s="1468">
        <v>1899</v>
      </c>
      <c r="B1900" s="110">
        <v>3</v>
      </c>
      <c r="C1900" s="722" t="s">
        <v>601</v>
      </c>
      <c r="D1900" s="366"/>
      <c r="E1900" s="219"/>
      <c r="F1900" s="219"/>
      <c r="G1900" s="610" t="s">
        <v>2075</v>
      </c>
      <c r="H1900" s="262" t="s">
        <v>87</v>
      </c>
      <c r="I1900" s="366"/>
      <c r="J1900" s="245" t="s">
        <v>561</v>
      </c>
      <c r="K1900" s="257"/>
      <c r="L1900" s="1420" t="s">
        <v>5503</v>
      </c>
      <c r="M1900" s="1420" t="s">
        <v>5503</v>
      </c>
      <c r="N1900" s="299"/>
      <c r="O1900" s="216" t="s">
        <v>5670</v>
      </c>
      <c r="P1900" s="402"/>
      <c r="Q1900" s="375" t="s">
        <v>87</v>
      </c>
      <c r="R1900" s="982" t="s">
        <v>5669</v>
      </c>
      <c r="S1900" s="279">
        <v>32117</v>
      </c>
      <c r="T1900" s="289"/>
      <c r="U1900" s="251" t="s">
        <v>54</v>
      </c>
      <c r="V1900" s="299"/>
      <c r="W1900" s="1420" t="s">
        <v>56</v>
      </c>
      <c r="X1900" s="1420" t="s">
        <v>57</v>
      </c>
      <c r="Y1900" s="299"/>
      <c r="Z1900" s="299"/>
      <c r="AA1900" s="289"/>
      <c r="AB1900" s="299"/>
      <c r="AC1900" s="223"/>
      <c r="AD1900" s="299"/>
      <c r="AE1900" s="494"/>
      <c r="AF1900" s="494"/>
      <c r="AG1900" s="299"/>
      <c r="AH1900" s="299"/>
      <c r="AI1900" s="223"/>
      <c r="AJ1900" s="348" t="s">
        <v>560</v>
      </c>
      <c r="AK1900" s="622">
        <v>4</v>
      </c>
      <c r="AL1900" s="110" t="s">
        <v>596</v>
      </c>
      <c r="AM1900" s="110" t="s">
        <v>552</v>
      </c>
      <c r="AN1900" s="121"/>
      <c r="AO1900" s="3"/>
      <c r="AR1900" s="115"/>
    </row>
    <row r="1901" spans="1:46" ht="39" customHeight="1" x14ac:dyDescent="0.3">
      <c r="A1901" s="1468">
        <v>1900</v>
      </c>
      <c r="B1901" s="161">
        <v>2</v>
      </c>
      <c r="C1901" s="939" t="s">
        <v>353</v>
      </c>
      <c r="D1901" s="404"/>
      <c r="E1901" s="622"/>
      <c r="F1901" s="622"/>
      <c r="G1901" s="623" t="s">
        <v>354</v>
      </c>
      <c r="H1901" s="262" t="s">
        <v>87</v>
      </c>
      <c r="I1901" s="404"/>
      <c r="J1901" s="245" t="s">
        <v>561</v>
      </c>
      <c r="K1901" s="216"/>
      <c r="L1901" s="1420" t="s">
        <v>5503</v>
      </c>
      <c r="M1901" s="1420" t="s">
        <v>5503</v>
      </c>
      <c r="N1901" s="366"/>
      <c r="O1901" s="216" t="s">
        <v>5622</v>
      </c>
      <c r="P1901" s="402"/>
      <c r="Q1901" s="375" t="s">
        <v>567</v>
      </c>
      <c r="R1901" s="982" t="s">
        <v>5621</v>
      </c>
      <c r="S1901" s="279">
        <v>29171</v>
      </c>
      <c r="T1901" s="289"/>
      <c r="U1901" s="251" t="s">
        <v>54</v>
      </c>
      <c r="V1901" s="197"/>
      <c r="W1901" s="1420" t="s">
        <v>56</v>
      </c>
      <c r="X1901" s="1420" t="s">
        <v>57</v>
      </c>
      <c r="Y1901" s="197"/>
      <c r="Z1901" s="246"/>
      <c r="AA1901" s="252"/>
      <c r="AB1901" s="281"/>
      <c r="AC1901" s="223"/>
      <c r="AD1901" s="301"/>
      <c r="AE1901" s="494"/>
      <c r="AF1901" s="494"/>
      <c r="AG1901" s="241"/>
      <c r="AH1901" s="283"/>
      <c r="AI1901" s="254"/>
      <c r="AJ1901" s="348" t="s">
        <v>560</v>
      </c>
      <c r="AK1901" s="219">
        <v>4</v>
      </c>
      <c r="AL1901" s="920" t="s">
        <v>596</v>
      </c>
      <c r="AM1901" s="179" t="s">
        <v>552</v>
      </c>
      <c r="AN1901" s="483" t="s">
        <v>5764</v>
      </c>
      <c r="AO1901" s="875"/>
      <c r="AR1901" s="115"/>
      <c r="AS1901" s="115"/>
      <c r="AT1901" s="115"/>
    </row>
    <row r="1902" spans="1:46" s="827" customFormat="1" ht="39" customHeight="1" x14ac:dyDescent="0.3">
      <c r="A1902" s="1468">
        <v>1901</v>
      </c>
      <c r="B1902" s="110"/>
      <c r="C1902" s="596"/>
      <c r="D1902" s="578"/>
      <c r="E1902" s="597"/>
      <c r="F1902" s="597"/>
      <c r="G1902" s="598"/>
      <c r="H1902" s="599"/>
      <c r="I1902" s="578"/>
      <c r="J1902" s="598"/>
      <c r="K1902" s="578"/>
      <c r="L1902" s="602"/>
      <c r="M1902" s="602"/>
      <c r="N1902" s="578"/>
      <c r="O1902" s="602"/>
      <c r="P1902" s="600" t="s">
        <v>602</v>
      </c>
      <c r="Q1902" s="601"/>
      <c r="R1902" s="982"/>
      <c r="S1902" s="279"/>
      <c r="T1902" s="578"/>
      <c r="U1902" s="250"/>
      <c r="V1902" s="578"/>
      <c r="W1902" s="602"/>
      <c r="X1902" s="602"/>
      <c r="Y1902" s="578"/>
      <c r="Z1902" s="578"/>
      <c r="AA1902" s="578"/>
      <c r="AB1902" s="1295"/>
      <c r="AC1902" s="578"/>
      <c r="AD1902" s="659"/>
      <c r="AE1902" s="494"/>
      <c r="AF1902" s="494"/>
      <c r="AG1902" s="578"/>
      <c r="AH1902" s="578"/>
      <c r="AI1902" s="602"/>
      <c r="AJ1902" s="602"/>
      <c r="AK1902" s="919"/>
      <c r="AL1902" s="191"/>
      <c r="AM1902" s="191"/>
      <c r="AN1902" s="748"/>
      <c r="AO1902" s="750"/>
      <c r="AP1902" s="192"/>
      <c r="AQ1902" s="192"/>
      <c r="AR1902" s="192"/>
      <c r="AS1902" s="192"/>
      <c r="AT1902" s="192"/>
    </row>
    <row r="1903" spans="1:46" ht="39" customHeight="1" x14ac:dyDescent="0.3">
      <c r="A1903" s="1468">
        <v>1902</v>
      </c>
      <c r="B1903" s="110">
        <v>5</v>
      </c>
      <c r="C1903" s="943" t="s">
        <v>367</v>
      </c>
      <c r="D1903" s="451"/>
      <c r="E1903" s="884"/>
      <c r="F1903" s="884"/>
      <c r="G1903" s="885" t="s">
        <v>2076</v>
      </c>
      <c r="H1903" s="886" t="s">
        <v>132</v>
      </c>
      <c r="I1903" s="451"/>
      <c r="J1903" s="256">
        <v>403</v>
      </c>
      <c r="K1903" s="451"/>
      <c r="L1903" s="1420" t="s">
        <v>5503</v>
      </c>
      <c r="M1903" s="1420" t="s">
        <v>5503</v>
      </c>
      <c r="N1903" s="451"/>
      <c r="O1903" s="265" t="s">
        <v>5576</v>
      </c>
      <c r="P1903" s="402"/>
      <c r="Q1903" s="375" t="s">
        <v>87</v>
      </c>
      <c r="R1903" s="982" t="s">
        <v>5575</v>
      </c>
      <c r="S1903" s="279">
        <v>30871</v>
      </c>
      <c r="T1903" s="451"/>
      <c r="U1903" s="251" t="s">
        <v>54</v>
      </c>
      <c r="V1903" s="451"/>
      <c r="W1903" s="1420" t="s">
        <v>56</v>
      </c>
      <c r="X1903" s="1420" t="s">
        <v>57</v>
      </c>
      <c r="Y1903" s="451"/>
      <c r="Z1903" s="451"/>
      <c r="AA1903" s="451"/>
      <c r="AB1903" s="1293"/>
      <c r="AC1903" s="451"/>
      <c r="AD1903" s="661"/>
      <c r="AE1903" s="494"/>
      <c r="AF1903" s="494"/>
      <c r="AG1903" s="451"/>
      <c r="AH1903" s="451"/>
      <c r="AI1903" s="625"/>
      <c r="AJ1903" s="348" t="s">
        <v>560</v>
      </c>
      <c r="AK1903" s="884">
        <v>3</v>
      </c>
      <c r="AL1903" s="177" t="s">
        <v>603</v>
      </c>
      <c r="AM1903" s="177" t="s">
        <v>552</v>
      </c>
      <c r="AN1903" s="169"/>
      <c r="AO1903" s="878"/>
      <c r="AR1903" s="115"/>
    </row>
    <row r="1904" spans="1:46" ht="39" customHeight="1" x14ac:dyDescent="0.3">
      <c r="A1904" s="1468">
        <v>1903</v>
      </c>
      <c r="B1904" s="110">
        <v>3</v>
      </c>
      <c r="C1904" s="722" t="s">
        <v>604</v>
      </c>
      <c r="D1904" s="366"/>
      <c r="E1904" s="219"/>
      <c r="F1904" s="219" t="s">
        <v>362</v>
      </c>
      <c r="G1904" s="610" t="s">
        <v>667</v>
      </c>
      <c r="H1904" s="262" t="s">
        <v>85</v>
      </c>
      <c r="I1904" s="366"/>
      <c r="J1904" s="245" t="s">
        <v>556</v>
      </c>
      <c r="K1904" s="366"/>
      <c r="L1904" s="1427" t="s">
        <v>5733</v>
      </c>
      <c r="M1904" s="612">
        <v>45201</v>
      </c>
      <c r="N1904" s="366"/>
      <c r="O1904" s="1356" t="s">
        <v>5033</v>
      </c>
      <c r="P1904" s="402"/>
      <c r="Q1904" s="344" t="s">
        <v>5034</v>
      </c>
      <c r="R1904" s="982" t="s">
        <v>5032</v>
      </c>
      <c r="S1904" s="279">
        <v>32062</v>
      </c>
      <c r="T1904" s="366"/>
      <c r="U1904" s="197"/>
      <c r="V1904" s="250"/>
      <c r="W1904" s="197"/>
      <c r="X1904" s="289"/>
      <c r="Y1904" s="288"/>
      <c r="Z1904" s="252"/>
      <c r="AA1904" s="252"/>
      <c r="AB1904" s="1289"/>
      <c r="AC1904" s="366"/>
      <c r="AD1904" s="658"/>
      <c r="AE1904" s="494"/>
      <c r="AF1904" s="494"/>
      <c r="AG1904" s="366"/>
      <c r="AH1904" s="366"/>
      <c r="AI1904" s="223"/>
      <c r="AJ1904" s="348" t="s">
        <v>560</v>
      </c>
      <c r="AK1904" s="219">
        <v>4</v>
      </c>
      <c r="AL1904" s="110" t="s">
        <v>603</v>
      </c>
      <c r="AM1904" s="110" t="s">
        <v>552</v>
      </c>
      <c r="AN1904" s="121"/>
      <c r="AO1904" s="3"/>
      <c r="AR1904" s="115"/>
    </row>
    <row r="1905" spans="1:46" ht="39" customHeight="1" x14ac:dyDescent="0.3">
      <c r="A1905" s="1468">
        <v>1904</v>
      </c>
      <c r="B1905" s="161">
        <v>2</v>
      </c>
      <c r="C1905" s="722" t="s">
        <v>353</v>
      </c>
      <c r="D1905" s="366"/>
      <c r="E1905" s="219"/>
      <c r="F1905" s="219" t="s">
        <v>362</v>
      </c>
      <c r="G1905" s="610" t="s">
        <v>354</v>
      </c>
      <c r="H1905" s="262" t="s">
        <v>87</v>
      </c>
      <c r="I1905" s="366"/>
      <c r="J1905" s="245" t="s">
        <v>561</v>
      </c>
      <c r="K1905" s="366"/>
      <c r="L1905" s="1420" t="s">
        <v>5503</v>
      </c>
      <c r="M1905" s="1420" t="s">
        <v>5503</v>
      </c>
      <c r="N1905" s="366"/>
      <c r="O1905" s="1420" t="s">
        <v>5618</v>
      </c>
      <c r="P1905" s="402"/>
      <c r="Q1905" s="344" t="s">
        <v>87</v>
      </c>
      <c r="R1905" s="982" t="s">
        <v>5617</v>
      </c>
      <c r="S1905" s="279">
        <v>33200</v>
      </c>
      <c r="T1905" s="366"/>
      <c r="U1905" s="251" t="s">
        <v>54</v>
      </c>
      <c r="V1905" s="366"/>
      <c r="W1905" s="1420" t="s">
        <v>56</v>
      </c>
      <c r="X1905" s="1420" t="s">
        <v>57</v>
      </c>
      <c r="Y1905" s="366"/>
      <c r="Z1905" s="366"/>
      <c r="AA1905" s="366"/>
      <c r="AB1905" s="1289"/>
      <c r="AC1905" s="366"/>
      <c r="AD1905" s="658"/>
      <c r="AE1905" s="494"/>
      <c r="AF1905" s="494"/>
      <c r="AG1905" s="366"/>
      <c r="AH1905" s="366"/>
      <c r="AI1905" s="223"/>
      <c r="AJ1905" s="348" t="s">
        <v>560</v>
      </c>
      <c r="AK1905" s="219">
        <v>4</v>
      </c>
      <c r="AL1905" s="110" t="s">
        <v>603</v>
      </c>
      <c r="AM1905" s="110" t="s">
        <v>552</v>
      </c>
      <c r="AN1905" s="483" t="s">
        <v>5764</v>
      </c>
      <c r="AO1905" s="3"/>
      <c r="AR1905" s="115"/>
      <c r="AS1905" s="115"/>
      <c r="AT1905" s="115"/>
    </row>
    <row r="1906" spans="1:46" ht="39" customHeight="1" x14ac:dyDescent="0.3">
      <c r="A1906" s="1468">
        <v>1905</v>
      </c>
      <c r="B1906" s="110">
        <v>2</v>
      </c>
      <c r="C1906" s="722" t="s">
        <v>605</v>
      </c>
      <c r="D1906" s="366"/>
      <c r="E1906" s="219"/>
      <c r="F1906" s="219"/>
      <c r="G1906" s="610" t="s">
        <v>668</v>
      </c>
      <c r="H1906" s="262" t="s">
        <v>87</v>
      </c>
      <c r="I1906" s="366"/>
      <c r="J1906" s="245" t="s">
        <v>561</v>
      </c>
      <c r="K1906" s="257"/>
      <c r="L1906" s="1420" t="s">
        <v>5503</v>
      </c>
      <c r="M1906" s="1420" t="s">
        <v>5503</v>
      </c>
      <c r="N1906" s="299"/>
      <c r="O1906" s="1420" t="s">
        <v>5582</v>
      </c>
      <c r="P1906" s="402"/>
      <c r="Q1906" s="344" t="s">
        <v>87</v>
      </c>
      <c r="R1906" s="982" t="s">
        <v>5581</v>
      </c>
      <c r="S1906" s="279">
        <v>32821</v>
      </c>
      <c r="T1906" s="289"/>
      <c r="U1906" s="251" t="s">
        <v>54</v>
      </c>
      <c r="V1906" s="299"/>
      <c r="W1906" s="1420" t="s">
        <v>56</v>
      </c>
      <c r="X1906" s="1420" t="s">
        <v>57</v>
      </c>
      <c r="Y1906" s="299"/>
      <c r="Z1906" s="299"/>
      <c r="AA1906" s="289"/>
      <c r="AB1906" s="299"/>
      <c r="AC1906" s="223"/>
      <c r="AD1906" s="299"/>
      <c r="AE1906" s="494"/>
      <c r="AF1906" s="494"/>
      <c r="AG1906" s="299"/>
      <c r="AH1906" s="299"/>
      <c r="AI1906" s="223"/>
      <c r="AJ1906" s="348" t="s">
        <v>560</v>
      </c>
      <c r="AK1906" s="219">
        <v>4</v>
      </c>
      <c r="AL1906" s="110" t="s">
        <v>603</v>
      </c>
      <c r="AM1906" s="110" t="s">
        <v>552</v>
      </c>
      <c r="AN1906" s="121"/>
      <c r="AO1906" s="3"/>
      <c r="AR1906" s="115"/>
    </row>
    <row r="1907" spans="1:46" ht="39" customHeight="1" x14ac:dyDescent="0.3">
      <c r="A1907" s="1468">
        <v>1906</v>
      </c>
      <c r="B1907" s="110">
        <v>2</v>
      </c>
      <c r="C1907" s="939" t="s">
        <v>605</v>
      </c>
      <c r="D1907" s="404"/>
      <c r="E1907" s="622"/>
      <c r="F1907" s="622"/>
      <c r="G1907" s="610" t="s">
        <v>668</v>
      </c>
      <c r="H1907" s="262" t="s">
        <v>87</v>
      </c>
      <c r="I1907" s="404"/>
      <c r="J1907" s="245" t="s">
        <v>561</v>
      </c>
      <c r="K1907" s="404"/>
      <c r="L1907" s="626"/>
      <c r="M1907" s="626"/>
      <c r="N1907" s="404"/>
      <c r="O1907" s="626"/>
      <c r="P1907" s="621"/>
      <c r="Q1907" s="301"/>
      <c r="R1907" s="982" t="s">
        <v>66</v>
      </c>
      <c r="S1907" s="279"/>
      <c r="T1907" s="404"/>
      <c r="U1907" s="250"/>
      <c r="V1907" s="404"/>
      <c r="W1907" s="626"/>
      <c r="X1907" s="626"/>
      <c r="Y1907" s="404"/>
      <c r="Z1907" s="404"/>
      <c r="AA1907" s="404"/>
      <c r="AB1907" s="1291"/>
      <c r="AC1907" s="404"/>
      <c r="AD1907" s="660"/>
      <c r="AE1907" s="494"/>
      <c r="AF1907" s="494"/>
      <c r="AG1907" s="404"/>
      <c r="AH1907" s="404"/>
      <c r="AI1907" s="223"/>
      <c r="AJ1907" s="303"/>
      <c r="AK1907" s="622">
        <v>4</v>
      </c>
      <c r="AL1907" s="179" t="s">
        <v>603</v>
      </c>
      <c r="AM1907" s="179" t="s">
        <v>552</v>
      </c>
      <c r="AN1907" s="166"/>
      <c r="AO1907" s="875"/>
      <c r="AR1907" s="115"/>
    </row>
    <row r="1908" spans="1:46" s="827" customFormat="1" ht="39" customHeight="1" x14ac:dyDescent="0.3">
      <c r="A1908" s="1468">
        <v>1907</v>
      </c>
      <c r="B1908" s="110"/>
      <c r="C1908" s="596"/>
      <c r="D1908" s="578"/>
      <c r="E1908" s="597"/>
      <c r="F1908" s="597"/>
      <c r="G1908" s="598"/>
      <c r="H1908" s="599"/>
      <c r="I1908" s="578"/>
      <c r="J1908" s="598"/>
      <c r="K1908" s="578"/>
      <c r="L1908" s="602"/>
      <c r="M1908" s="602"/>
      <c r="N1908" s="578"/>
      <c r="O1908" s="602"/>
      <c r="P1908" s="600" t="s">
        <v>424</v>
      </c>
      <c r="Q1908" s="601"/>
      <c r="R1908" s="982"/>
      <c r="S1908" s="279"/>
      <c r="T1908" s="578"/>
      <c r="U1908" s="250"/>
      <c r="V1908" s="578"/>
      <c r="W1908" s="602"/>
      <c r="X1908" s="602"/>
      <c r="Y1908" s="578"/>
      <c r="Z1908" s="578"/>
      <c r="AA1908" s="578"/>
      <c r="AB1908" s="1295"/>
      <c r="AC1908" s="578"/>
      <c r="AD1908" s="659"/>
      <c r="AE1908" s="494"/>
      <c r="AF1908" s="494"/>
      <c r="AG1908" s="578"/>
      <c r="AH1908" s="578"/>
      <c r="AI1908" s="602"/>
      <c r="AJ1908" s="602"/>
      <c r="AK1908" s="597"/>
      <c r="AL1908" s="191"/>
      <c r="AM1908" s="191"/>
      <c r="AN1908" s="748"/>
      <c r="AO1908" s="750"/>
      <c r="AP1908" s="192"/>
      <c r="AQ1908" s="192"/>
      <c r="AR1908" s="192"/>
      <c r="AS1908" s="192"/>
      <c r="AT1908" s="192"/>
    </row>
    <row r="1909" spans="1:46" ht="39" customHeight="1" x14ac:dyDescent="0.3">
      <c r="A1909" s="1468">
        <v>1908</v>
      </c>
      <c r="B1909" s="110">
        <v>5</v>
      </c>
      <c r="C1909" s="943" t="s">
        <v>606</v>
      </c>
      <c r="D1909" s="451"/>
      <c r="E1909" s="884"/>
      <c r="F1909" s="884"/>
      <c r="G1909" s="885" t="s">
        <v>425</v>
      </c>
      <c r="H1909" s="886" t="s">
        <v>132</v>
      </c>
      <c r="I1909" s="451"/>
      <c r="J1909" s="256">
        <v>403</v>
      </c>
      <c r="K1909" s="451"/>
      <c r="L1909" s="625"/>
      <c r="M1909" s="625"/>
      <c r="N1909" s="451"/>
      <c r="O1909" s="625"/>
      <c r="P1909" s="624" t="s">
        <v>551</v>
      </c>
      <c r="Q1909" s="606"/>
      <c r="R1909" s="982" t="s">
        <v>66</v>
      </c>
      <c r="S1909" s="279"/>
      <c r="T1909" s="451"/>
      <c r="U1909" s="250"/>
      <c r="V1909" s="451"/>
      <c r="W1909" s="625"/>
      <c r="X1909" s="625"/>
      <c r="Y1909" s="451"/>
      <c r="Z1909" s="451"/>
      <c r="AA1909" s="451"/>
      <c r="AB1909" s="1293"/>
      <c r="AC1909" s="451"/>
      <c r="AD1909" s="661"/>
      <c r="AE1909" s="494"/>
      <c r="AF1909" s="494"/>
      <c r="AG1909" s="451"/>
      <c r="AH1909" s="451"/>
      <c r="AI1909" s="625"/>
      <c r="AJ1909" s="625"/>
      <c r="AK1909" s="884">
        <v>3</v>
      </c>
      <c r="AL1909" s="177" t="s">
        <v>607</v>
      </c>
      <c r="AM1909" s="177" t="s">
        <v>552</v>
      </c>
      <c r="AN1909" s="169"/>
      <c r="AO1909" s="878"/>
      <c r="AR1909" s="115"/>
    </row>
    <row r="1910" spans="1:46" ht="39" customHeight="1" x14ac:dyDescent="0.3">
      <c r="A1910" s="1468">
        <v>1909</v>
      </c>
      <c r="B1910" s="110">
        <v>5</v>
      </c>
      <c r="C1910" s="722" t="s">
        <v>426</v>
      </c>
      <c r="D1910" s="366"/>
      <c r="E1910" s="219"/>
      <c r="F1910" s="219" t="s">
        <v>362</v>
      </c>
      <c r="G1910" s="610" t="s">
        <v>427</v>
      </c>
      <c r="H1910" s="262" t="s">
        <v>85</v>
      </c>
      <c r="I1910" s="366"/>
      <c r="J1910" s="245" t="s">
        <v>556</v>
      </c>
      <c r="K1910" s="216"/>
      <c r="L1910" s="250"/>
      <c r="M1910" s="250"/>
      <c r="N1910" s="366"/>
      <c r="O1910" s="250"/>
      <c r="P1910" s="325"/>
      <c r="Q1910" s="301"/>
      <c r="R1910" s="982" t="s">
        <v>66</v>
      </c>
      <c r="S1910" s="279"/>
      <c r="T1910" s="252"/>
      <c r="U1910" s="250"/>
      <c r="V1910" s="197"/>
      <c r="W1910" s="197"/>
      <c r="X1910" s="197"/>
      <c r="Y1910" s="197"/>
      <c r="Z1910" s="246"/>
      <c r="AA1910" s="252"/>
      <c r="AB1910" s="282"/>
      <c r="AC1910" s="223"/>
      <c r="AD1910" s="282"/>
      <c r="AE1910" s="494"/>
      <c r="AF1910" s="494"/>
      <c r="AG1910" s="282"/>
      <c r="AH1910" s="283"/>
      <c r="AI1910" s="254"/>
      <c r="AJ1910" s="303"/>
      <c r="AK1910" s="219">
        <v>4</v>
      </c>
      <c r="AL1910" s="110" t="s">
        <v>607</v>
      </c>
      <c r="AM1910" s="110" t="s">
        <v>552</v>
      </c>
      <c r="AN1910" s="121"/>
      <c r="AO1910" s="3"/>
      <c r="AR1910" s="115"/>
    </row>
    <row r="1911" spans="1:46" ht="39" customHeight="1" x14ac:dyDescent="0.3">
      <c r="A1911" s="1468">
        <v>1910</v>
      </c>
      <c r="B1911" s="161">
        <v>2</v>
      </c>
      <c r="C1911" s="939" t="s">
        <v>430</v>
      </c>
      <c r="D1911" s="404"/>
      <c r="E1911" s="622"/>
      <c r="F1911" s="622" t="s">
        <v>362</v>
      </c>
      <c r="G1911" s="623" t="s">
        <v>354</v>
      </c>
      <c r="H1911" s="262" t="s">
        <v>87</v>
      </c>
      <c r="I1911" s="404"/>
      <c r="J1911" s="245" t="s">
        <v>561</v>
      </c>
      <c r="K1911" s="257"/>
      <c r="L1911" s="1420" t="s">
        <v>5503</v>
      </c>
      <c r="M1911" s="1420" t="s">
        <v>5503</v>
      </c>
      <c r="N1911" s="299"/>
      <c r="O1911" s="1420" t="s">
        <v>5691</v>
      </c>
      <c r="P1911" s="402"/>
      <c r="Q1911" s="344" t="s">
        <v>85</v>
      </c>
      <c r="R1911" s="982" t="s">
        <v>5826</v>
      </c>
      <c r="S1911" s="279">
        <v>30979</v>
      </c>
      <c r="T1911" s="289"/>
      <c r="U1911" s="251" t="s">
        <v>54</v>
      </c>
      <c r="V1911" s="299"/>
      <c r="W1911" s="1420" t="s">
        <v>56</v>
      </c>
      <c r="X1911" s="1420" t="s">
        <v>57</v>
      </c>
      <c r="Y1911" s="299"/>
      <c r="Z1911" s="299"/>
      <c r="AA1911" s="289"/>
      <c r="AB1911" s="299"/>
      <c r="AC1911" s="223"/>
      <c r="AD1911" s="299"/>
      <c r="AE1911" s="494"/>
      <c r="AF1911" s="494"/>
      <c r="AG1911" s="299"/>
      <c r="AH1911" s="299"/>
      <c r="AI1911" s="223"/>
      <c r="AJ1911" s="348" t="s">
        <v>560</v>
      </c>
      <c r="AK1911" s="622">
        <v>4</v>
      </c>
      <c r="AL1911" s="179" t="s">
        <v>607</v>
      </c>
      <c r="AM1911" s="179" t="s">
        <v>552</v>
      </c>
      <c r="AN1911" s="166" t="s">
        <v>5793</v>
      </c>
      <c r="AO1911" s="875"/>
      <c r="AR1911" s="115"/>
      <c r="AS1911" s="115"/>
      <c r="AT1911" s="115"/>
    </row>
    <row r="1912" spans="1:46" s="827" customFormat="1" ht="39" customHeight="1" x14ac:dyDescent="0.3">
      <c r="A1912" s="1468">
        <v>1911</v>
      </c>
      <c r="B1912" s="190"/>
      <c r="C1912" s="324"/>
      <c r="D1912" s="664"/>
      <c r="E1912" s="664"/>
      <c r="F1912" s="664"/>
      <c r="G1912" s="227"/>
      <c r="H1912" s="228"/>
      <c r="I1912" s="228"/>
      <c r="J1912" s="229"/>
      <c r="K1912" s="227"/>
      <c r="L1912" s="229"/>
      <c r="M1912" s="229"/>
      <c r="N1912" s="229"/>
      <c r="O1912" s="309"/>
      <c r="P1912" s="230" t="s">
        <v>545</v>
      </c>
      <c r="Q1912" s="664"/>
      <c r="R1912" s="982"/>
      <c r="S1912" s="279"/>
      <c r="T1912" s="232"/>
      <c r="U1912" s="250"/>
      <c r="V1912" s="232"/>
      <c r="W1912" s="232"/>
      <c r="X1912" s="232"/>
      <c r="Y1912" s="232"/>
      <c r="Z1912" s="233"/>
      <c r="AA1912" s="234"/>
      <c r="AB1912" s="235"/>
      <c r="AC1912" s="236"/>
      <c r="AD1912" s="235"/>
      <c r="AE1912" s="494"/>
      <c r="AF1912" s="494"/>
      <c r="AG1912" s="664"/>
      <c r="AH1912" s="238"/>
      <c r="AI1912" s="239"/>
      <c r="AJ1912" s="576"/>
      <c r="AK1912" s="664"/>
      <c r="AL1912" s="113"/>
      <c r="AM1912" s="113"/>
      <c r="AN1912" s="748"/>
      <c r="AO1912" s="750"/>
      <c r="AP1912" s="192"/>
      <c r="AQ1912" s="192"/>
      <c r="AR1912" s="192"/>
      <c r="AS1912" s="192"/>
      <c r="AT1912" s="192"/>
    </row>
    <row r="1913" spans="1:46" ht="39" customHeight="1" x14ac:dyDescent="0.3">
      <c r="A1913" s="1468">
        <v>1912</v>
      </c>
      <c r="B1913" s="161">
        <v>14</v>
      </c>
      <c r="C1913" s="259" t="s">
        <v>339</v>
      </c>
      <c r="D1913" s="241"/>
      <c r="E1913" s="242" t="s">
        <v>47</v>
      </c>
      <c r="F1913" s="241"/>
      <c r="G1913" s="243" t="s">
        <v>546</v>
      </c>
      <c r="H1913" s="244" t="s">
        <v>78</v>
      </c>
      <c r="I1913" s="340"/>
      <c r="J1913" s="245">
        <v>300</v>
      </c>
      <c r="K1913" s="197" t="s">
        <v>50</v>
      </c>
      <c r="L1913" s="277" t="s">
        <v>1903</v>
      </c>
      <c r="M1913" s="277" t="s">
        <v>1903</v>
      </c>
      <c r="N1913" s="276"/>
      <c r="O1913" s="277" t="s">
        <v>1912</v>
      </c>
      <c r="P1913" s="708" t="s">
        <v>1828</v>
      </c>
      <c r="Q1913" s="728" t="s">
        <v>83</v>
      </c>
      <c r="R1913" s="995" t="s">
        <v>1911</v>
      </c>
      <c r="S1913" s="279">
        <v>30336</v>
      </c>
      <c r="T1913" s="443"/>
      <c r="U1913" s="250"/>
      <c r="V1913" s="250" t="s">
        <v>6193</v>
      </c>
      <c r="W1913" s="250" t="s">
        <v>6199</v>
      </c>
      <c r="X1913" s="250" t="s">
        <v>6198</v>
      </c>
      <c r="Y1913" s="268" t="s">
        <v>6200</v>
      </c>
      <c r="Z1913" s="246">
        <v>45334</v>
      </c>
      <c r="AA1913" s="494"/>
      <c r="AB1913" s="487"/>
      <c r="AC1913" s="488"/>
      <c r="AD1913" s="487"/>
      <c r="AE1913" s="494"/>
      <c r="AF1913" s="494"/>
      <c r="AG1913" s="476"/>
      <c r="AH1913" s="489"/>
      <c r="AI1913" s="712"/>
      <c r="AJ1913" s="755" t="s">
        <v>62</v>
      </c>
      <c r="AK1913" s="442">
        <v>1</v>
      </c>
      <c r="AL1913" s="175" t="s">
        <v>4195</v>
      </c>
      <c r="AM1913" s="175" t="s">
        <v>547</v>
      </c>
      <c r="AN1913" s="169"/>
      <c r="AO1913" s="878"/>
      <c r="AR1913" s="115"/>
    </row>
    <row r="1914" spans="1:46" ht="39" customHeight="1" x14ac:dyDescent="0.3">
      <c r="A1914" s="1468">
        <v>1913</v>
      </c>
      <c r="B1914" s="161">
        <v>9</v>
      </c>
      <c r="C1914" s="311" t="s">
        <v>281</v>
      </c>
      <c r="D1914" s="241"/>
      <c r="E1914" s="312" t="s">
        <v>47</v>
      </c>
      <c r="F1914" s="241"/>
      <c r="G1914" s="313" t="s">
        <v>548</v>
      </c>
      <c r="H1914" s="314" t="s">
        <v>283</v>
      </c>
      <c r="I1914" s="350"/>
      <c r="J1914" s="281">
        <v>410</v>
      </c>
      <c r="K1914" s="216"/>
      <c r="L1914" s="281" t="s">
        <v>5130</v>
      </c>
      <c r="M1914" s="281" t="s">
        <v>5130</v>
      </c>
      <c r="N1914" s="366"/>
      <c r="O1914" s="1488" t="s">
        <v>5129</v>
      </c>
      <c r="P1914" s="706"/>
      <c r="Q1914" s="778" t="s">
        <v>153</v>
      </c>
      <c r="R1914" s="1539" t="s">
        <v>5127</v>
      </c>
      <c r="S1914" s="279">
        <v>28995</v>
      </c>
      <c r="T1914" s="197"/>
      <c r="U1914" s="197"/>
      <c r="V1914" s="197"/>
      <c r="W1914" s="197"/>
      <c r="X1914" s="197"/>
      <c r="Y1914" s="288"/>
      <c r="Z1914" s="246"/>
      <c r="AA1914" s="252"/>
      <c r="AB1914" s="361"/>
      <c r="AC1914" s="223"/>
      <c r="AD1914" s="376"/>
      <c r="AE1914" s="494"/>
      <c r="AF1914" s="494"/>
      <c r="AG1914" s="241"/>
      <c r="AH1914" s="283"/>
      <c r="AI1914" s="254"/>
      <c r="AJ1914" s="779" t="s">
        <v>47</v>
      </c>
      <c r="AK1914" s="312">
        <v>2</v>
      </c>
      <c r="AL1914" s="175" t="s">
        <v>4195</v>
      </c>
      <c r="AM1914" s="132" t="s">
        <v>547</v>
      </c>
      <c r="AN1914" s="121"/>
      <c r="AO1914" s="3"/>
      <c r="AR1914" s="115"/>
    </row>
    <row r="1915" spans="1:46" ht="39" customHeight="1" x14ac:dyDescent="0.3">
      <c r="A1915" s="1468">
        <v>1914</v>
      </c>
      <c r="B1915" s="161">
        <v>9</v>
      </c>
      <c r="C1915" s="773" t="s">
        <v>284</v>
      </c>
      <c r="D1915" s="471"/>
      <c r="E1915" s="774" t="s">
        <v>47</v>
      </c>
      <c r="F1915" s="471"/>
      <c r="G1915" s="775" t="s">
        <v>285</v>
      </c>
      <c r="H1915" s="776" t="s">
        <v>283</v>
      </c>
      <c r="I1915" s="777"/>
      <c r="J1915" s="281">
        <v>410</v>
      </c>
      <c r="K1915" s="216"/>
      <c r="L1915" s="299" t="s">
        <v>1925</v>
      </c>
      <c r="M1915" s="299" t="s">
        <v>1925</v>
      </c>
      <c r="N1915" s="245"/>
      <c r="O1915" s="216" t="s">
        <v>1924</v>
      </c>
      <c r="P1915" s="372"/>
      <c r="Q1915" s="778" t="s">
        <v>153</v>
      </c>
      <c r="R1915" s="1539" t="s">
        <v>1923</v>
      </c>
      <c r="S1915" s="279">
        <v>33163</v>
      </c>
      <c r="T1915" s="289"/>
      <c r="U1915" s="251" t="s">
        <v>391</v>
      </c>
      <c r="V1915" s="197" t="s">
        <v>5995</v>
      </c>
      <c r="W1915" s="981" t="s">
        <v>5996</v>
      </c>
      <c r="X1915" s="197" t="s">
        <v>2002</v>
      </c>
      <c r="Y1915" s="981" t="s">
        <v>5997</v>
      </c>
      <c r="Z1915" s="246">
        <v>45313</v>
      </c>
      <c r="AA1915" s="252"/>
      <c r="AB1915" s="245"/>
      <c r="AC1915" s="223"/>
      <c r="AD1915" s="245"/>
      <c r="AE1915" s="494"/>
      <c r="AF1915" s="494"/>
      <c r="AG1915" s="241"/>
      <c r="AH1915" s="253"/>
      <c r="AI1915" s="284"/>
      <c r="AJ1915" s="779" t="s">
        <v>47</v>
      </c>
      <c r="AK1915" s="774">
        <v>2</v>
      </c>
      <c r="AL1915" s="175" t="s">
        <v>4195</v>
      </c>
      <c r="AM1915" s="780" t="s">
        <v>547</v>
      </c>
      <c r="AN1915" s="166"/>
      <c r="AO1915" s="875"/>
      <c r="AR1915" s="115"/>
    </row>
    <row r="1916" spans="1:46" s="827" customFormat="1" ht="39" customHeight="1" x14ac:dyDescent="0.3">
      <c r="A1916" s="1468">
        <v>1915</v>
      </c>
      <c r="B1916" s="190"/>
      <c r="C1916" s="324"/>
      <c r="D1916" s="664"/>
      <c r="E1916" s="664"/>
      <c r="F1916" s="664"/>
      <c r="G1916" s="227"/>
      <c r="H1916" s="228"/>
      <c r="I1916" s="228"/>
      <c r="J1916" s="229"/>
      <c r="K1916" s="227"/>
      <c r="L1916" s="229"/>
      <c r="M1916" s="229"/>
      <c r="N1916" s="229"/>
      <c r="O1916" s="309"/>
      <c r="P1916" s="230" t="s">
        <v>608</v>
      </c>
      <c r="Q1916" s="664"/>
      <c r="R1916" s="995"/>
      <c r="S1916" s="279"/>
      <c r="T1916" s="232"/>
      <c r="U1916" s="250"/>
      <c r="V1916" s="232"/>
      <c r="W1916" s="232"/>
      <c r="X1916" s="232"/>
      <c r="Y1916" s="232"/>
      <c r="Z1916" s="233"/>
      <c r="AA1916" s="234"/>
      <c r="AB1916" s="235"/>
      <c r="AC1916" s="236"/>
      <c r="AD1916" s="235"/>
      <c r="AE1916" s="494"/>
      <c r="AF1916" s="494"/>
      <c r="AG1916" s="664"/>
      <c r="AH1916" s="238"/>
      <c r="AI1916" s="239"/>
      <c r="AJ1916" s="576"/>
      <c r="AK1916" s="664"/>
      <c r="AL1916" s="113"/>
      <c r="AM1916" s="113"/>
      <c r="AN1916" s="748"/>
      <c r="AO1916" s="750"/>
      <c r="AP1916" s="192"/>
      <c r="AQ1916" s="192"/>
      <c r="AR1916" s="192"/>
      <c r="AS1916" s="192"/>
      <c r="AT1916" s="192"/>
    </row>
    <row r="1917" spans="1:46" ht="39" customHeight="1" x14ac:dyDescent="0.3">
      <c r="A1917" s="1468">
        <v>1916</v>
      </c>
      <c r="B1917" s="161">
        <v>10</v>
      </c>
      <c r="C1917" s="259" t="s">
        <v>343</v>
      </c>
      <c r="D1917" s="476"/>
      <c r="E1917" s="442" t="s">
        <v>47</v>
      </c>
      <c r="F1917" s="476"/>
      <c r="G1917" s="757" t="s">
        <v>546</v>
      </c>
      <c r="H1917" s="244" t="s">
        <v>83</v>
      </c>
      <c r="I1917" s="733" t="s">
        <v>609</v>
      </c>
      <c r="J1917" s="245">
        <v>302</v>
      </c>
      <c r="K1917" s="197" t="s">
        <v>50</v>
      </c>
      <c r="L1917" s="734" t="s">
        <v>1990</v>
      </c>
      <c r="M1917" s="734" t="s">
        <v>1990</v>
      </c>
      <c r="N1917" s="276"/>
      <c r="O1917" s="952" t="s">
        <v>1989</v>
      </c>
      <c r="P1917" s="278"/>
      <c r="Q1917" s="728" t="s">
        <v>83</v>
      </c>
      <c r="R1917" s="995" t="s">
        <v>1988</v>
      </c>
      <c r="S1917" s="279">
        <v>33335</v>
      </c>
      <c r="T1917" s="280"/>
      <c r="U1917" s="251"/>
      <c r="V1917" s="197"/>
      <c r="W1917" s="288"/>
      <c r="X1917" s="197"/>
      <c r="Y1917" s="979"/>
      <c r="Z1917" s="289"/>
      <c r="AA1917" s="815"/>
      <c r="AB1917" s="1293"/>
      <c r="AC1917" s="642"/>
      <c r="AD1917" s="661"/>
      <c r="AE1917" s="494"/>
      <c r="AF1917" s="494"/>
      <c r="AG1917" s="642"/>
      <c r="AH1917" s="642"/>
      <c r="AI1917" s="1477"/>
      <c r="AJ1917" s="755" t="s">
        <v>62</v>
      </c>
      <c r="AK1917" s="442">
        <v>1</v>
      </c>
      <c r="AL1917" s="123" t="s">
        <v>4196</v>
      </c>
      <c r="AM1917" s="175" t="s">
        <v>547</v>
      </c>
      <c r="AN1917" s="169"/>
      <c r="AO1917" s="878"/>
      <c r="AR1917" s="115"/>
    </row>
    <row r="1918" spans="1:46" ht="39" customHeight="1" x14ac:dyDescent="0.3">
      <c r="A1918" s="1468">
        <v>1917</v>
      </c>
      <c r="B1918" s="146">
        <v>7</v>
      </c>
      <c r="C1918" s="290" t="s">
        <v>591</v>
      </c>
      <c r="D1918" s="241"/>
      <c r="E1918" s="291" t="s">
        <v>47</v>
      </c>
      <c r="F1918" s="291"/>
      <c r="G1918" s="292" t="s">
        <v>610</v>
      </c>
      <c r="H1918" s="293" t="s">
        <v>132</v>
      </c>
      <c r="I1918" s="346"/>
      <c r="J1918" s="256">
        <v>403</v>
      </c>
      <c r="K1918" s="216"/>
      <c r="L1918" s="281" t="s">
        <v>1993</v>
      </c>
      <c r="M1918" s="281" t="s">
        <v>1993</v>
      </c>
      <c r="N1918" s="245"/>
      <c r="O1918" s="950" t="s">
        <v>1992</v>
      </c>
      <c r="P1918" s="372"/>
      <c r="Q1918" s="344" t="s">
        <v>132</v>
      </c>
      <c r="R1918" s="1540" t="s">
        <v>1991</v>
      </c>
      <c r="S1918" s="279">
        <v>27112</v>
      </c>
      <c r="T1918" s="197"/>
      <c r="U1918" s="250"/>
      <c r="V1918" s="197"/>
      <c r="W1918" s="197"/>
      <c r="X1918" s="197"/>
      <c r="Y1918" s="197"/>
      <c r="Z1918" s="246"/>
      <c r="AA1918" s="246"/>
      <c r="AB1918" s="282"/>
      <c r="AC1918" s="223"/>
      <c r="AD1918" s="282"/>
      <c r="AE1918" s="494"/>
      <c r="AF1918" s="494"/>
      <c r="AG1918" s="282"/>
      <c r="AH1918" s="283"/>
      <c r="AI1918" s="296"/>
      <c r="AJ1918" s="348" t="s">
        <v>560</v>
      </c>
      <c r="AK1918" s="348">
        <v>3</v>
      </c>
      <c r="AL1918" s="123" t="s">
        <v>4196</v>
      </c>
      <c r="AM1918" s="123" t="s">
        <v>547</v>
      </c>
      <c r="AN1918" s="121"/>
      <c r="AO1918" s="3"/>
      <c r="AR1918" s="115"/>
    </row>
    <row r="1919" spans="1:46" ht="39" customHeight="1" x14ac:dyDescent="0.3">
      <c r="A1919" s="1468">
        <v>1918</v>
      </c>
      <c r="B1919" s="190"/>
      <c r="C1919" s="356" t="s">
        <v>382</v>
      </c>
      <c r="D1919" s="241" t="s">
        <v>134</v>
      </c>
      <c r="E1919" s="241"/>
      <c r="F1919" s="241"/>
      <c r="G1919" s="261" t="s">
        <v>611</v>
      </c>
      <c r="H1919" s="262" t="s">
        <v>85</v>
      </c>
      <c r="I1919" s="364"/>
      <c r="J1919" s="245" t="s">
        <v>556</v>
      </c>
      <c r="K1919" s="216" t="s">
        <v>158</v>
      </c>
      <c r="L1919" s="216" t="s">
        <v>1214</v>
      </c>
      <c r="M1919" s="216" t="s">
        <v>1214</v>
      </c>
      <c r="N1919" s="245"/>
      <c r="O1919" s="216" t="s">
        <v>1215</v>
      </c>
      <c r="P1919" s="294"/>
      <c r="Q1919" s="344" t="s">
        <v>132</v>
      </c>
      <c r="R1919" s="1540" t="s">
        <v>1216</v>
      </c>
      <c r="S1919" s="279">
        <v>32700</v>
      </c>
      <c r="T1919" s="250"/>
      <c r="U1919" s="251" t="s">
        <v>54</v>
      </c>
      <c r="V1919" s="197" t="s">
        <v>5955</v>
      </c>
      <c r="W1919" s="197" t="s">
        <v>70</v>
      </c>
      <c r="X1919" s="197" t="s">
        <v>71</v>
      </c>
      <c r="Y1919" s="949" t="s">
        <v>5964</v>
      </c>
      <c r="Z1919" s="612">
        <v>45312</v>
      </c>
      <c r="AA1919" s="252"/>
      <c r="AB1919" s="241"/>
      <c r="AC1919" s="223" t="s">
        <v>946</v>
      </c>
      <c r="AD1919" s="282"/>
      <c r="AE1919" s="494">
        <v>43861</v>
      </c>
      <c r="AF1919" s="494">
        <v>44956</v>
      </c>
      <c r="AG1919" s="241" t="s">
        <v>61</v>
      </c>
      <c r="AH1919" s="283"/>
      <c r="AI1919" s="254"/>
      <c r="AJ1919" s="348" t="s">
        <v>560</v>
      </c>
      <c r="AK1919" s="241">
        <v>4</v>
      </c>
      <c r="AL1919" s="123" t="s">
        <v>4196</v>
      </c>
      <c r="AM1919" s="122" t="s">
        <v>547</v>
      </c>
      <c r="AN1919" s="121" t="s">
        <v>1384</v>
      </c>
      <c r="AO1919" s="3"/>
      <c r="AR1919" s="115"/>
      <c r="AS1919" s="115"/>
      <c r="AT1919" s="115"/>
    </row>
    <row r="1920" spans="1:46" ht="39" customHeight="1" x14ac:dyDescent="0.3">
      <c r="A1920" s="1468">
        <v>1919</v>
      </c>
      <c r="B1920" s="190"/>
      <c r="C1920" s="260" t="s">
        <v>346</v>
      </c>
      <c r="D1920" s="241"/>
      <c r="E1920" s="241"/>
      <c r="F1920" s="241"/>
      <c r="G1920" s="261" t="s">
        <v>612</v>
      </c>
      <c r="H1920" s="262" t="s">
        <v>85</v>
      </c>
      <c r="I1920" s="357"/>
      <c r="J1920" s="245" t="s">
        <v>556</v>
      </c>
      <c r="K1920" s="216"/>
      <c r="L1920" s="301"/>
      <c r="M1920" s="301"/>
      <c r="N1920" s="366"/>
      <c r="O1920" s="216" t="s">
        <v>3916</v>
      </c>
      <c r="P1920" s="402" t="s">
        <v>1828</v>
      </c>
      <c r="Q1920" s="344" t="s">
        <v>293</v>
      </c>
      <c r="R1920" s="1540" t="s">
        <v>3915</v>
      </c>
      <c r="S1920" s="279">
        <v>36217</v>
      </c>
      <c r="T1920" s="197"/>
      <c r="U1920" s="251" t="s">
        <v>54</v>
      </c>
      <c r="V1920" s="197" t="s">
        <v>5512</v>
      </c>
      <c r="W1920" s="250" t="s">
        <v>56</v>
      </c>
      <c r="X1920" s="197" t="s">
        <v>57</v>
      </c>
      <c r="Y1920" s="197" t="s">
        <v>5726</v>
      </c>
      <c r="Z1920" s="246">
        <v>45272</v>
      </c>
      <c r="AA1920" s="246"/>
      <c r="AB1920" s="197"/>
      <c r="AC1920" s="223"/>
      <c r="AD1920" s="197"/>
      <c r="AE1920" s="494"/>
      <c r="AF1920" s="494"/>
      <c r="AG1920" s="282"/>
      <c r="AH1920" s="283"/>
      <c r="AI1920" s="386"/>
      <c r="AJ1920" s="348" t="s">
        <v>560</v>
      </c>
      <c r="AK1920" s="241">
        <v>4</v>
      </c>
      <c r="AL1920" s="123" t="s">
        <v>4196</v>
      </c>
      <c r="AM1920" s="139" t="s">
        <v>547</v>
      </c>
      <c r="AN1920" s="121"/>
      <c r="AO1920" s="3"/>
      <c r="AR1920" s="115"/>
    </row>
    <row r="1921" spans="1:46" ht="39" customHeight="1" x14ac:dyDescent="0.3">
      <c r="A1921" s="1468">
        <v>1920</v>
      </c>
      <c r="B1921" s="146">
        <v>2</v>
      </c>
      <c r="C1921" s="260" t="s">
        <v>319</v>
      </c>
      <c r="D1921" s="241"/>
      <c r="E1921" s="241"/>
      <c r="F1921" s="241"/>
      <c r="G1921" s="261" t="s">
        <v>613</v>
      </c>
      <c r="H1921" s="262" t="s">
        <v>87</v>
      </c>
      <c r="I1921" s="357"/>
      <c r="J1921" s="245" t="s">
        <v>561</v>
      </c>
      <c r="K1921" s="257"/>
      <c r="L1921" s="299"/>
      <c r="M1921" s="299"/>
      <c r="N1921" s="299"/>
      <c r="O1921" s="392" t="s">
        <v>3937</v>
      </c>
      <c r="P1921" s="402" t="s">
        <v>1828</v>
      </c>
      <c r="Q1921" s="344" t="s">
        <v>85</v>
      </c>
      <c r="R1921" s="1540" t="s">
        <v>3936</v>
      </c>
      <c r="S1921" s="279">
        <v>31547</v>
      </c>
      <c r="T1921" s="289"/>
      <c r="U1921" s="251" t="s">
        <v>54</v>
      </c>
      <c r="V1921" s="197" t="s">
        <v>5512</v>
      </c>
      <c r="W1921" s="250" t="s">
        <v>56</v>
      </c>
      <c r="X1921" s="197" t="s">
        <v>57</v>
      </c>
      <c r="Y1921" s="197" t="s">
        <v>5726</v>
      </c>
      <c r="Z1921" s="246">
        <v>45272</v>
      </c>
      <c r="AA1921" s="289"/>
      <c r="AB1921" s="299"/>
      <c r="AC1921" s="223"/>
      <c r="AD1921" s="299"/>
      <c r="AE1921" s="494"/>
      <c r="AF1921" s="494"/>
      <c r="AG1921" s="299"/>
      <c r="AH1921" s="299"/>
      <c r="AI1921" s="223"/>
      <c r="AJ1921" s="348" t="s">
        <v>560</v>
      </c>
      <c r="AK1921" s="241">
        <v>4</v>
      </c>
      <c r="AL1921" s="123" t="s">
        <v>4196</v>
      </c>
      <c r="AM1921" s="139" t="s">
        <v>547</v>
      </c>
      <c r="AN1921" s="121"/>
      <c r="AO1921" s="3"/>
      <c r="AR1921" s="115"/>
    </row>
    <row r="1922" spans="1:46" ht="39" customHeight="1" x14ac:dyDescent="0.3">
      <c r="A1922" s="1468">
        <v>1921</v>
      </c>
      <c r="B1922" s="190"/>
      <c r="C1922" s="260" t="s">
        <v>932</v>
      </c>
      <c r="D1922" s="241"/>
      <c r="E1922" s="241"/>
      <c r="F1922" s="241"/>
      <c r="G1922" s="261" t="s">
        <v>613</v>
      </c>
      <c r="H1922" s="262" t="s">
        <v>87</v>
      </c>
      <c r="I1922" s="357"/>
      <c r="J1922" s="245" t="s">
        <v>561</v>
      </c>
      <c r="K1922" s="257"/>
      <c r="L1922" s="301" t="s">
        <v>4055</v>
      </c>
      <c r="M1922" s="301" t="s">
        <v>4055</v>
      </c>
      <c r="N1922" s="299"/>
      <c r="O1922" s="392" t="s">
        <v>4211</v>
      </c>
      <c r="P1922" s="402" t="s">
        <v>1828</v>
      </c>
      <c r="Q1922" s="344" t="s">
        <v>87</v>
      </c>
      <c r="R1922" s="1540" t="s">
        <v>4210</v>
      </c>
      <c r="S1922" s="279">
        <v>32284</v>
      </c>
      <c r="T1922" s="289"/>
      <c r="U1922" s="251" t="s">
        <v>54</v>
      </c>
      <c r="V1922" s="1416" t="s">
        <v>5447</v>
      </c>
      <c r="W1922" s="280" t="s">
        <v>56</v>
      </c>
      <c r="X1922" s="280" t="s">
        <v>57</v>
      </c>
      <c r="Y1922" s="949" t="s">
        <v>4631</v>
      </c>
      <c r="Z1922" s="246">
        <v>45270</v>
      </c>
      <c r="AA1922" s="289"/>
      <c r="AB1922" s="299"/>
      <c r="AC1922" s="223"/>
      <c r="AD1922" s="299"/>
      <c r="AE1922" s="494"/>
      <c r="AF1922" s="494"/>
      <c r="AG1922" s="299"/>
      <c r="AH1922" s="299"/>
      <c r="AI1922" s="223"/>
      <c r="AJ1922" s="348" t="s">
        <v>560</v>
      </c>
      <c r="AK1922" s="241">
        <v>4</v>
      </c>
      <c r="AL1922" s="123" t="s">
        <v>4196</v>
      </c>
      <c r="AM1922" s="122" t="s">
        <v>547</v>
      </c>
      <c r="AN1922" s="121"/>
      <c r="AO1922" s="3"/>
      <c r="AR1922" s="115"/>
    </row>
    <row r="1923" spans="1:46" ht="39" customHeight="1" x14ac:dyDescent="0.3">
      <c r="A1923" s="1468">
        <v>1922</v>
      </c>
      <c r="B1923" s="190"/>
      <c r="C1923" s="408" t="s">
        <v>593</v>
      </c>
      <c r="D1923" s="303"/>
      <c r="E1923" s="291" t="s">
        <v>47</v>
      </c>
      <c r="F1923" s="291"/>
      <c r="G1923" s="292" t="s">
        <v>614</v>
      </c>
      <c r="H1923" s="293" t="s">
        <v>132</v>
      </c>
      <c r="I1923" s="346"/>
      <c r="J1923" s="256">
        <v>403</v>
      </c>
      <c r="K1923" s="216"/>
      <c r="L1923" s="281" t="s">
        <v>1685</v>
      </c>
      <c r="M1923" s="281" t="s">
        <v>5916</v>
      </c>
      <c r="N1923" s="366"/>
      <c r="O1923" s="1484" t="s">
        <v>3129</v>
      </c>
      <c r="P1923" s="402"/>
      <c r="Q1923" s="831" t="s">
        <v>87</v>
      </c>
      <c r="R1923" s="1540" t="s">
        <v>1706</v>
      </c>
      <c r="S1923" s="279">
        <v>37845</v>
      </c>
      <c r="T1923" s="197"/>
      <c r="U1923" s="250"/>
      <c r="V1923" s="595"/>
      <c r="W1923" s="1484"/>
      <c r="X1923" s="1484"/>
      <c r="Y1923" s="245"/>
      <c r="Z1923" s="246"/>
      <c r="AA1923" s="246"/>
      <c r="AB1923" s="288" t="s">
        <v>4524</v>
      </c>
      <c r="AC1923" s="223" t="s">
        <v>946</v>
      </c>
      <c r="AD1923" s="376"/>
      <c r="AE1923" s="494">
        <v>45112</v>
      </c>
      <c r="AF1923" s="494">
        <v>45477</v>
      </c>
      <c r="AG1923" s="241"/>
      <c r="AH1923" s="283"/>
      <c r="AI1923" s="254"/>
      <c r="AJ1923" s="743" t="s">
        <v>560</v>
      </c>
      <c r="AK1923" s="348">
        <v>3</v>
      </c>
      <c r="AL1923" s="123" t="s">
        <v>4196</v>
      </c>
      <c r="AM1923" s="139" t="s">
        <v>547</v>
      </c>
      <c r="AN1923" s="121"/>
      <c r="AO1923" s="3"/>
      <c r="AR1923" s="115"/>
    </row>
    <row r="1924" spans="1:46" ht="39" customHeight="1" x14ac:dyDescent="0.3">
      <c r="A1924" s="1468">
        <v>1923</v>
      </c>
      <c r="B1924" s="141">
        <v>3</v>
      </c>
      <c r="C1924" s="356" t="s">
        <v>290</v>
      </c>
      <c r="D1924" s="241" t="s">
        <v>134</v>
      </c>
      <c r="E1924" s="241"/>
      <c r="F1924" s="241"/>
      <c r="G1924" s="261" t="s">
        <v>615</v>
      </c>
      <c r="H1924" s="262" t="s">
        <v>87</v>
      </c>
      <c r="I1924" s="364"/>
      <c r="J1924" s="245" t="s">
        <v>561</v>
      </c>
      <c r="K1924" s="216"/>
      <c r="L1924" s="288"/>
      <c r="M1924" s="288"/>
      <c r="N1924" s="366"/>
      <c r="O1924" s="216" t="s">
        <v>3493</v>
      </c>
      <c r="P1924" s="1255" t="s">
        <v>1828</v>
      </c>
      <c r="Q1924" s="344" t="s">
        <v>85</v>
      </c>
      <c r="R1924" s="1540" t="s">
        <v>3492</v>
      </c>
      <c r="S1924" s="279">
        <v>31332</v>
      </c>
      <c r="T1924" s="502"/>
      <c r="U1924" s="251" t="s">
        <v>54</v>
      </c>
      <c r="V1924" s="197" t="s">
        <v>5512</v>
      </c>
      <c r="W1924" s="250" t="s">
        <v>56</v>
      </c>
      <c r="X1924" s="197" t="s">
        <v>57</v>
      </c>
      <c r="Y1924" s="197" t="s">
        <v>5726</v>
      </c>
      <c r="Z1924" s="246">
        <v>45272</v>
      </c>
      <c r="AA1924" s="246"/>
      <c r="AB1924" s="301"/>
      <c r="AC1924" s="223"/>
      <c r="AD1924" s="301"/>
      <c r="AE1924" s="494"/>
      <c r="AF1924" s="494"/>
      <c r="AG1924" s="301"/>
      <c r="AH1924" s="483"/>
      <c r="AI1924" s="254"/>
      <c r="AJ1924" s="348" t="s">
        <v>560</v>
      </c>
      <c r="AK1924" s="241">
        <v>4</v>
      </c>
      <c r="AL1924" s="123" t="s">
        <v>4196</v>
      </c>
      <c r="AM1924" s="122" t="s">
        <v>547</v>
      </c>
      <c r="AN1924" s="121" t="s">
        <v>1384</v>
      </c>
      <c r="AO1924" s="3"/>
      <c r="AR1924" s="115"/>
      <c r="AS1924" s="115"/>
      <c r="AT1924" s="115"/>
    </row>
    <row r="1925" spans="1:46" ht="39" customHeight="1" x14ac:dyDescent="0.3">
      <c r="A1925" s="1468">
        <v>1924</v>
      </c>
      <c r="B1925" s="190"/>
      <c r="C1925" s="260" t="s">
        <v>346</v>
      </c>
      <c r="D1925" s="241"/>
      <c r="E1925" s="241"/>
      <c r="F1925" s="241"/>
      <c r="G1925" s="261" t="s">
        <v>612</v>
      </c>
      <c r="H1925" s="262" t="s">
        <v>85</v>
      </c>
      <c r="I1925" s="357"/>
      <c r="J1925" s="245" t="s">
        <v>556</v>
      </c>
      <c r="K1925" s="216"/>
      <c r="L1925" s="281" t="s">
        <v>1415</v>
      </c>
      <c r="M1925" s="281" t="s">
        <v>2552</v>
      </c>
      <c r="N1925" s="366"/>
      <c r="O1925" s="392" t="s">
        <v>2907</v>
      </c>
      <c r="P1925" s="402"/>
      <c r="Q1925" s="301" t="s">
        <v>87</v>
      </c>
      <c r="R1925" s="1537" t="s">
        <v>1461</v>
      </c>
      <c r="S1925" s="279"/>
      <c r="T1925" s="250"/>
      <c r="U1925" s="250"/>
      <c r="V1925" s="612">
        <v>45311</v>
      </c>
      <c r="W1925" s="1389"/>
      <c r="X1925" s="1389"/>
      <c r="Y1925" s="299"/>
      <c r="Z1925" s="289"/>
      <c r="AA1925" s="252"/>
      <c r="AB1925" s="288" t="s">
        <v>4541</v>
      </c>
      <c r="AC1925" s="223" t="s">
        <v>946</v>
      </c>
      <c r="AD1925" s="301"/>
      <c r="AE1925" s="494">
        <v>45092</v>
      </c>
      <c r="AF1925" s="494">
        <v>45457</v>
      </c>
      <c r="AG1925" s="301"/>
      <c r="AH1925" s="301"/>
      <c r="AI1925" s="296" t="s">
        <v>1351</v>
      </c>
      <c r="AJ1925" s="303" t="s">
        <v>136</v>
      </c>
      <c r="AK1925" s="241">
        <v>4</v>
      </c>
      <c r="AL1925" s="123" t="s">
        <v>4196</v>
      </c>
      <c r="AM1925" s="122" t="s">
        <v>547</v>
      </c>
      <c r="AN1925" s="121"/>
      <c r="AO1925" s="3"/>
      <c r="AR1925" s="115"/>
    </row>
    <row r="1926" spans="1:46" ht="39" customHeight="1" x14ac:dyDescent="0.3">
      <c r="A1926" s="1468">
        <v>1925</v>
      </c>
      <c r="B1926" s="146">
        <v>2</v>
      </c>
      <c r="C1926" s="260" t="s">
        <v>319</v>
      </c>
      <c r="D1926" s="241"/>
      <c r="E1926" s="241"/>
      <c r="F1926" s="241"/>
      <c r="G1926" s="261" t="s">
        <v>613</v>
      </c>
      <c r="H1926" s="262" t="s">
        <v>87</v>
      </c>
      <c r="I1926" s="357"/>
      <c r="J1926" s="245" t="s">
        <v>561</v>
      </c>
      <c r="K1926" s="216"/>
      <c r="L1926" s="288" t="s">
        <v>5144</v>
      </c>
      <c r="M1926" s="288" t="s">
        <v>5144</v>
      </c>
      <c r="N1926" s="366"/>
      <c r="O1926" s="1543" t="s">
        <v>5323</v>
      </c>
      <c r="P1926" s="247"/>
      <c r="Q1926" s="1542" t="s">
        <v>87</v>
      </c>
      <c r="R1926" s="1494" t="s">
        <v>5322</v>
      </c>
      <c r="S1926" s="279">
        <v>38573</v>
      </c>
      <c r="T1926" s="197"/>
      <c r="U1926" s="250"/>
      <c r="V1926" s="245"/>
      <c r="W1926" s="250"/>
      <c r="X1926" s="197"/>
      <c r="Y1926" s="949"/>
      <c r="Z1926" s="246"/>
      <c r="AA1926" s="252"/>
      <c r="AB1926" s="301"/>
      <c r="AC1926" s="223"/>
      <c r="AD1926" s="245" t="s">
        <v>467</v>
      </c>
      <c r="AE1926" s="494"/>
      <c r="AF1926" s="494"/>
      <c r="AG1926" s="301"/>
      <c r="AH1926" s="301"/>
      <c r="AI1926" s="254" t="s">
        <v>4208</v>
      </c>
      <c r="AJ1926" s="303" t="s">
        <v>136</v>
      </c>
      <c r="AK1926" s="241">
        <v>4</v>
      </c>
      <c r="AL1926" s="123" t="s">
        <v>4196</v>
      </c>
      <c r="AM1926" s="139" t="s">
        <v>547</v>
      </c>
      <c r="AN1926" s="121"/>
      <c r="AO1926" s="3"/>
      <c r="AR1926" s="115"/>
    </row>
    <row r="1927" spans="1:46" ht="39" customHeight="1" x14ac:dyDescent="0.3">
      <c r="A1927" s="1468">
        <v>1926</v>
      </c>
      <c r="B1927" s="190"/>
      <c r="C1927" s="260" t="s">
        <v>932</v>
      </c>
      <c r="D1927" s="241"/>
      <c r="E1927" s="241"/>
      <c r="F1927" s="241"/>
      <c r="G1927" s="261" t="s">
        <v>613</v>
      </c>
      <c r="H1927" s="262" t="s">
        <v>87</v>
      </c>
      <c r="I1927" s="357"/>
      <c r="J1927" s="245" t="s">
        <v>561</v>
      </c>
      <c r="K1927" s="250"/>
      <c r="L1927" s="301" t="s">
        <v>4055</v>
      </c>
      <c r="M1927" s="301" t="s">
        <v>4055</v>
      </c>
      <c r="N1927" s="366"/>
      <c r="O1927" s="392" t="s">
        <v>4059</v>
      </c>
      <c r="P1927" s="402" t="s">
        <v>1828</v>
      </c>
      <c r="Q1927" s="373" t="s">
        <v>87</v>
      </c>
      <c r="R1927" s="1540" t="s">
        <v>4058</v>
      </c>
      <c r="S1927" s="279">
        <v>29522</v>
      </c>
      <c r="T1927" s="197"/>
      <c r="U1927" s="251" t="s">
        <v>54</v>
      </c>
      <c r="V1927" s="1416" t="s">
        <v>5447</v>
      </c>
      <c r="W1927" s="280" t="s">
        <v>56</v>
      </c>
      <c r="X1927" s="280" t="s">
        <v>57</v>
      </c>
      <c r="Y1927" s="949" t="s">
        <v>4631</v>
      </c>
      <c r="Z1927" s="246">
        <v>45270</v>
      </c>
      <c r="AA1927" s="246"/>
      <c r="AB1927" s="361"/>
      <c r="AC1927" s="223"/>
      <c r="AD1927" s="376"/>
      <c r="AE1927" s="494"/>
      <c r="AF1927" s="494"/>
      <c r="AG1927" s="241"/>
      <c r="AH1927" s="283"/>
      <c r="AI1927" s="254"/>
      <c r="AJ1927" s="348" t="s">
        <v>560</v>
      </c>
      <c r="AK1927" s="241">
        <v>4</v>
      </c>
      <c r="AL1927" s="123" t="s">
        <v>4196</v>
      </c>
      <c r="AM1927" s="122" t="s">
        <v>547</v>
      </c>
      <c r="AN1927" s="121"/>
      <c r="AO1927" s="3"/>
      <c r="AR1927" s="115"/>
    </row>
    <row r="1928" spans="1:46" ht="39" customHeight="1" x14ac:dyDescent="0.3">
      <c r="A1928" s="1468">
        <v>1927</v>
      </c>
      <c r="B1928" s="190"/>
      <c r="C1928" s="408" t="s">
        <v>593</v>
      </c>
      <c r="D1928" s="409"/>
      <c r="E1928" s="291" t="s">
        <v>47</v>
      </c>
      <c r="F1928" s="291"/>
      <c r="G1928" s="292" t="s">
        <v>614</v>
      </c>
      <c r="H1928" s="293" t="s">
        <v>132</v>
      </c>
      <c r="I1928" s="346"/>
      <c r="J1928" s="256">
        <v>403</v>
      </c>
      <c r="K1928" s="216"/>
      <c r="L1928" s="281"/>
      <c r="M1928" s="281"/>
      <c r="N1928" s="281"/>
      <c r="O1928" s="216" t="s">
        <v>3318</v>
      </c>
      <c r="P1928" s="387"/>
      <c r="Q1928" s="344" t="s">
        <v>132</v>
      </c>
      <c r="R1928" s="1540" t="s">
        <v>1221</v>
      </c>
      <c r="S1928" s="279">
        <v>31100</v>
      </c>
      <c r="T1928" s="250"/>
      <c r="U1928" s="250" t="s">
        <v>178</v>
      </c>
      <c r="V1928" s="983" t="s">
        <v>6155</v>
      </c>
      <c r="W1928" s="250" t="s">
        <v>2381</v>
      </c>
      <c r="X1928" s="250" t="s">
        <v>5762</v>
      </c>
      <c r="Y1928" s="981" t="s">
        <v>6182</v>
      </c>
      <c r="Z1928" s="246">
        <v>45327</v>
      </c>
      <c r="AA1928" s="289">
        <v>45341</v>
      </c>
      <c r="AB1928" s="282"/>
      <c r="AC1928" s="401"/>
      <c r="AD1928" s="282"/>
      <c r="AE1928" s="494"/>
      <c r="AF1928" s="494"/>
      <c r="AG1928" s="282"/>
      <c r="AH1928" s="283"/>
      <c r="AI1928" s="328"/>
      <c r="AJ1928" s="348" t="s">
        <v>560</v>
      </c>
      <c r="AK1928" s="291">
        <v>3</v>
      </c>
      <c r="AL1928" s="123" t="s">
        <v>4196</v>
      </c>
      <c r="AM1928" s="130" t="s">
        <v>547</v>
      </c>
      <c r="AN1928" s="121"/>
      <c r="AO1928" s="3"/>
      <c r="AR1928" s="115"/>
    </row>
    <row r="1929" spans="1:46" ht="39" customHeight="1" x14ac:dyDescent="0.3">
      <c r="A1929" s="1468">
        <v>1928</v>
      </c>
      <c r="B1929" s="190"/>
      <c r="C1929" s="356" t="s">
        <v>290</v>
      </c>
      <c r="D1929" s="241" t="s">
        <v>134</v>
      </c>
      <c r="E1929" s="241"/>
      <c r="F1929" s="241"/>
      <c r="G1929" s="261" t="s">
        <v>615</v>
      </c>
      <c r="H1929" s="262" t="s">
        <v>87</v>
      </c>
      <c r="I1929" s="364"/>
      <c r="J1929" s="245" t="s">
        <v>561</v>
      </c>
      <c r="K1929" s="216" t="s">
        <v>158</v>
      </c>
      <c r="L1929" s="216" t="s">
        <v>1021</v>
      </c>
      <c r="M1929" s="216" t="s">
        <v>1021</v>
      </c>
      <c r="N1929" s="245"/>
      <c r="O1929" s="216" t="s">
        <v>1219</v>
      </c>
      <c r="P1929" s="446"/>
      <c r="Q1929" s="344" t="s">
        <v>132</v>
      </c>
      <c r="R1929" s="1540" t="s">
        <v>3295</v>
      </c>
      <c r="S1929" s="279">
        <v>35949</v>
      </c>
      <c r="T1929" s="250"/>
      <c r="U1929" s="251" t="s">
        <v>54</v>
      </c>
      <c r="V1929" s="197" t="s">
        <v>101</v>
      </c>
      <c r="W1929" s="197" t="s">
        <v>70</v>
      </c>
      <c r="X1929" s="197" t="s">
        <v>71</v>
      </c>
      <c r="Y1929" s="197" t="s">
        <v>1220</v>
      </c>
      <c r="Z1929" s="246">
        <v>44991</v>
      </c>
      <c r="AA1929" s="246"/>
      <c r="AB1929" s="282"/>
      <c r="AC1929" s="223" t="s">
        <v>946</v>
      </c>
      <c r="AD1929" s="282"/>
      <c r="AE1929" s="494">
        <v>44298</v>
      </c>
      <c r="AF1929" s="494">
        <v>45393</v>
      </c>
      <c r="AG1929" s="241" t="s">
        <v>61</v>
      </c>
      <c r="AH1929" s="283"/>
      <c r="AI1929" s="254"/>
      <c r="AJ1929" s="348" t="s">
        <v>560</v>
      </c>
      <c r="AK1929" s="241">
        <v>4</v>
      </c>
      <c r="AL1929" s="123" t="s">
        <v>4196</v>
      </c>
      <c r="AM1929" s="122" t="s">
        <v>547</v>
      </c>
      <c r="AN1929" s="121" t="s">
        <v>1384</v>
      </c>
      <c r="AO1929" s="3"/>
      <c r="AR1929" s="115"/>
      <c r="AS1929" s="115"/>
      <c r="AT1929" s="115"/>
    </row>
    <row r="1930" spans="1:46" ht="39" customHeight="1" x14ac:dyDescent="0.3">
      <c r="A1930" s="1468">
        <v>1929</v>
      </c>
      <c r="B1930" s="190"/>
      <c r="C1930" s="260" t="s">
        <v>592</v>
      </c>
      <c r="D1930" s="241"/>
      <c r="E1930" s="241"/>
      <c r="F1930" s="241"/>
      <c r="G1930" s="261" t="s">
        <v>613</v>
      </c>
      <c r="H1930" s="262" t="s">
        <v>87</v>
      </c>
      <c r="I1930" s="357" t="s">
        <v>361</v>
      </c>
      <c r="J1930" s="245" t="s">
        <v>561</v>
      </c>
      <c r="K1930" s="257"/>
      <c r="L1930" s="301" t="s">
        <v>4055</v>
      </c>
      <c r="M1930" s="301" t="s">
        <v>4055</v>
      </c>
      <c r="N1930" s="366"/>
      <c r="O1930" s="1457" t="s">
        <v>4068</v>
      </c>
      <c r="P1930" s="402" t="s">
        <v>1828</v>
      </c>
      <c r="Q1930" s="373" t="s">
        <v>87</v>
      </c>
      <c r="R1930" s="1540" t="s">
        <v>4067</v>
      </c>
      <c r="S1930" s="279">
        <v>32806</v>
      </c>
      <c r="T1930" s="289"/>
      <c r="U1930" s="250"/>
      <c r="V1930" s="299"/>
      <c r="W1930" s="250" t="s">
        <v>5772</v>
      </c>
      <c r="X1930" s="250"/>
      <c r="Y1930" s="299"/>
      <c r="Z1930" s="289"/>
      <c r="AA1930" s="289"/>
      <c r="AB1930" s="299"/>
      <c r="AC1930" s="223"/>
      <c r="AD1930" s="299"/>
      <c r="AE1930" s="494"/>
      <c r="AF1930" s="494"/>
      <c r="AG1930" s="299"/>
      <c r="AH1930" s="299"/>
      <c r="AI1930" s="254"/>
      <c r="AJ1930" s="348" t="s">
        <v>560</v>
      </c>
      <c r="AK1930" s="241">
        <v>4</v>
      </c>
      <c r="AL1930" s="123" t="s">
        <v>4196</v>
      </c>
      <c r="AM1930" s="122" t="s">
        <v>547</v>
      </c>
      <c r="AN1930" s="121"/>
      <c r="AO1930" s="3"/>
      <c r="AR1930" s="115"/>
    </row>
    <row r="1931" spans="1:46" ht="39" customHeight="1" x14ac:dyDescent="0.3">
      <c r="A1931" s="1468">
        <v>1930</v>
      </c>
      <c r="B1931" s="190"/>
      <c r="C1931" s="503" t="s">
        <v>932</v>
      </c>
      <c r="D1931" s="471"/>
      <c r="E1931" s="471"/>
      <c r="F1931" s="471"/>
      <c r="G1931" s="472" t="s">
        <v>613</v>
      </c>
      <c r="H1931" s="262" t="s">
        <v>87</v>
      </c>
      <c r="I1931" s="473"/>
      <c r="J1931" s="245" t="s">
        <v>561</v>
      </c>
      <c r="K1931" s="401"/>
      <c r="L1931" s="281" t="s">
        <v>1685</v>
      </c>
      <c r="M1931" s="281" t="s">
        <v>2783</v>
      </c>
      <c r="N1931" s="366"/>
      <c r="O1931" s="1457" t="s">
        <v>3152</v>
      </c>
      <c r="P1931" s="402"/>
      <c r="Q1931" s="301" t="s">
        <v>87</v>
      </c>
      <c r="R1931" s="1537" t="s">
        <v>1896</v>
      </c>
      <c r="S1931" s="279"/>
      <c r="T1931" s="197"/>
      <c r="U1931" s="251" t="s">
        <v>391</v>
      </c>
      <c r="V1931" s="289" t="s">
        <v>6136</v>
      </c>
      <c r="W1931" s="250" t="s">
        <v>6137</v>
      </c>
      <c r="X1931" s="250" t="s">
        <v>2002</v>
      </c>
      <c r="Y1931" s="245" t="s">
        <v>6138</v>
      </c>
      <c r="Z1931" s="246">
        <v>45321</v>
      </c>
      <c r="AA1931" s="246"/>
      <c r="AB1931" s="288"/>
      <c r="AC1931" s="223" t="s">
        <v>946</v>
      </c>
      <c r="AD1931" s="376"/>
      <c r="AE1931" s="494">
        <v>45111</v>
      </c>
      <c r="AF1931" s="494">
        <v>45476</v>
      </c>
      <c r="AG1931" s="241"/>
      <c r="AH1931" s="283"/>
      <c r="AI1931" s="254" t="s">
        <v>1351</v>
      </c>
      <c r="AJ1931" s="303" t="s">
        <v>136</v>
      </c>
      <c r="AK1931" s="471">
        <v>4</v>
      </c>
      <c r="AL1931" s="123" t="s">
        <v>4196</v>
      </c>
      <c r="AM1931" s="749" t="s">
        <v>547</v>
      </c>
      <c r="AN1931" s="166"/>
      <c r="AO1931" s="875"/>
      <c r="AR1931" s="115"/>
    </row>
    <row r="1932" spans="1:46" s="827" customFormat="1" ht="39" customHeight="1" x14ac:dyDescent="0.3">
      <c r="A1932" s="1468">
        <v>1931</v>
      </c>
      <c r="B1932" s="190"/>
      <c r="C1932" s="324"/>
      <c r="D1932" s="664"/>
      <c r="E1932" s="664"/>
      <c r="F1932" s="664"/>
      <c r="G1932" s="227"/>
      <c r="H1932" s="228"/>
      <c r="I1932" s="228"/>
      <c r="J1932" s="229"/>
      <c r="K1932" s="227"/>
      <c r="L1932" s="229"/>
      <c r="M1932" s="229"/>
      <c r="N1932" s="229"/>
      <c r="O1932" s="309"/>
      <c r="P1932" s="230" t="s">
        <v>617</v>
      </c>
      <c r="Q1932" s="664"/>
      <c r="R1932" s="995"/>
      <c r="S1932" s="279"/>
      <c r="T1932" s="232"/>
      <c r="U1932" s="250"/>
      <c r="V1932" s="232"/>
      <c r="W1932" s="232"/>
      <c r="X1932" s="232"/>
      <c r="Y1932" s="232"/>
      <c r="Z1932" s="233"/>
      <c r="AA1932" s="234"/>
      <c r="AB1932" s="235"/>
      <c r="AC1932" s="236"/>
      <c r="AD1932" s="235"/>
      <c r="AE1932" s="494"/>
      <c r="AF1932" s="494"/>
      <c r="AG1932" s="664"/>
      <c r="AH1932" s="238"/>
      <c r="AI1932" s="239"/>
      <c r="AJ1932" s="576"/>
      <c r="AK1932" s="664"/>
      <c r="AL1932" s="113"/>
      <c r="AM1932" s="113"/>
      <c r="AN1932" s="748"/>
      <c r="AO1932" s="750"/>
      <c r="AP1932" s="192"/>
      <c r="AQ1932" s="192"/>
      <c r="AR1932" s="192"/>
      <c r="AS1932" s="192"/>
      <c r="AT1932" s="192"/>
    </row>
    <row r="1933" spans="1:46" ht="39" customHeight="1" x14ac:dyDescent="0.3">
      <c r="A1933" s="1468">
        <v>1932</v>
      </c>
      <c r="B1933" s="161">
        <v>5</v>
      </c>
      <c r="C1933" s="497" t="s">
        <v>618</v>
      </c>
      <c r="D1933" s="498"/>
      <c r="E1933" s="498" t="s">
        <v>47</v>
      </c>
      <c r="F1933" s="498"/>
      <c r="G1933" s="499" t="s">
        <v>619</v>
      </c>
      <c r="H1933" s="500" t="s">
        <v>132</v>
      </c>
      <c r="I1933" s="479" t="s">
        <v>620</v>
      </c>
      <c r="J1933" s="256">
        <v>403</v>
      </c>
      <c r="K1933" s="277" t="s">
        <v>144</v>
      </c>
      <c r="L1933" s="441" t="s">
        <v>1222</v>
      </c>
      <c r="M1933" s="441" t="s">
        <v>1222</v>
      </c>
      <c r="N1933" s="441"/>
      <c r="O1933" s="277" t="s">
        <v>1223</v>
      </c>
      <c r="P1933" s="889"/>
      <c r="Q1933" s="709" t="s">
        <v>132</v>
      </c>
      <c r="R1933" s="1540" t="s">
        <v>1224</v>
      </c>
      <c r="S1933" s="279">
        <v>30637</v>
      </c>
      <c r="T1933" s="443"/>
      <c r="U1933" s="250" t="s">
        <v>54</v>
      </c>
      <c r="V1933" s="392" t="s">
        <v>5830</v>
      </c>
      <c r="W1933" s="392" t="s">
        <v>5852</v>
      </c>
      <c r="X1933" s="392" t="s">
        <v>6186</v>
      </c>
      <c r="Y1933" s="979" t="s">
        <v>6185</v>
      </c>
      <c r="Z1933" s="612">
        <v>45299</v>
      </c>
      <c r="AA1933" s="398"/>
      <c r="AB1933" s="487"/>
      <c r="AC1933" s="488" t="s">
        <v>946</v>
      </c>
      <c r="AD1933" s="487"/>
      <c r="AE1933" s="494">
        <v>43715</v>
      </c>
      <c r="AF1933" s="494">
        <v>45541</v>
      </c>
      <c r="AG1933" s="476" t="s">
        <v>61</v>
      </c>
      <c r="AH1933" s="489"/>
      <c r="AI1933" s="712"/>
      <c r="AJ1933" s="491" t="s">
        <v>560</v>
      </c>
      <c r="AK1933" s="491">
        <v>3</v>
      </c>
      <c r="AL1933" s="123" t="s">
        <v>4196</v>
      </c>
      <c r="AM1933" s="177" t="s">
        <v>547</v>
      </c>
      <c r="AN1933" s="169"/>
      <c r="AO1933" s="878"/>
      <c r="AR1933" s="115"/>
    </row>
    <row r="1934" spans="1:46" ht="39" customHeight="1" x14ac:dyDescent="0.3">
      <c r="A1934" s="1468">
        <v>1933</v>
      </c>
      <c r="B1934" s="190"/>
      <c r="C1934" s="260" t="s">
        <v>621</v>
      </c>
      <c r="D1934" s="241"/>
      <c r="E1934" s="241"/>
      <c r="F1934" s="241"/>
      <c r="G1934" s="261" t="s">
        <v>300</v>
      </c>
      <c r="H1934" s="262" t="s">
        <v>87</v>
      </c>
      <c r="I1934" s="364"/>
      <c r="J1934" s="245" t="s">
        <v>561</v>
      </c>
      <c r="K1934" s="216"/>
      <c r="L1934" s="288" t="s">
        <v>5144</v>
      </c>
      <c r="M1934" s="288" t="s">
        <v>5144</v>
      </c>
      <c r="N1934" s="216"/>
      <c r="O1934" s="1484" t="s">
        <v>5332</v>
      </c>
      <c r="P1934" s="320"/>
      <c r="Q1934" s="1484" t="s">
        <v>87</v>
      </c>
      <c r="R1934" s="1537" t="s">
        <v>5330</v>
      </c>
      <c r="S1934" s="279">
        <v>37436</v>
      </c>
      <c r="T1934" s="197"/>
      <c r="U1934" s="250"/>
      <c r="V1934" s="245"/>
      <c r="W1934" s="250"/>
      <c r="X1934" s="197"/>
      <c r="Y1934" s="949"/>
      <c r="Z1934" s="246"/>
      <c r="AA1934" s="252"/>
      <c r="AB1934" s="301"/>
      <c r="AC1934" s="223"/>
      <c r="AD1934" s="245" t="s">
        <v>467</v>
      </c>
      <c r="AE1934" s="494"/>
      <c r="AF1934" s="494"/>
      <c r="AG1934" s="301"/>
      <c r="AH1934" s="301"/>
      <c r="AI1934" s="254" t="s">
        <v>4208</v>
      </c>
      <c r="AJ1934" s="303" t="s">
        <v>136</v>
      </c>
      <c r="AK1934" s="241">
        <v>4</v>
      </c>
      <c r="AL1934" s="123" t="s">
        <v>4196</v>
      </c>
      <c r="AM1934" s="122" t="s">
        <v>547</v>
      </c>
      <c r="AN1934" s="121"/>
      <c r="AO1934" s="3"/>
      <c r="AR1934" s="115"/>
    </row>
    <row r="1935" spans="1:46" ht="39" customHeight="1" x14ac:dyDescent="0.3">
      <c r="A1935" s="1468">
        <v>1934</v>
      </c>
      <c r="B1935" s="190"/>
      <c r="C1935" s="260" t="s">
        <v>622</v>
      </c>
      <c r="D1935" s="241"/>
      <c r="E1935" s="241"/>
      <c r="F1935" s="241"/>
      <c r="G1935" s="261" t="s">
        <v>623</v>
      </c>
      <c r="H1935" s="262" t="s">
        <v>87</v>
      </c>
      <c r="I1935" s="357" t="s">
        <v>624</v>
      </c>
      <c r="J1935" s="245" t="s">
        <v>561</v>
      </c>
      <c r="K1935" s="216"/>
      <c r="L1935" s="281"/>
      <c r="M1935" s="281"/>
      <c r="N1935" s="366"/>
      <c r="O1935" s="277" t="s">
        <v>3396</v>
      </c>
      <c r="P1935" s="889"/>
      <c r="Q1935" s="709" t="s">
        <v>87</v>
      </c>
      <c r="R1935" s="1540" t="s">
        <v>3395</v>
      </c>
      <c r="S1935" s="279">
        <v>37051</v>
      </c>
      <c r="T1935" s="197"/>
      <c r="U1935" s="251" t="s">
        <v>886</v>
      </c>
      <c r="V1935" s="289" t="s">
        <v>6149</v>
      </c>
      <c r="W1935" s="197" t="s">
        <v>886</v>
      </c>
      <c r="X1935" s="197" t="s">
        <v>886</v>
      </c>
      <c r="Y1935" s="245"/>
      <c r="Z1935" s="246">
        <v>45226</v>
      </c>
      <c r="AA1935" s="246"/>
      <c r="AB1935" s="361"/>
      <c r="AC1935" s="223"/>
      <c r="AD1935" s="376"/>
      <c r="AE1935" s="494"/>
      <c r="AF1935" s="494"/>
      <c r="AG1935" s="241"/>
      <c r="AH1935" s="283"/>
      <c r="AI1935" s="254"/>
      <c r="AJ1935" s="491" t="s">
        <v>560</v>
      </c>
      <c r="AK1935" s="241">
        <v>4</v>
      </c>
      <c r="AL1935" s="123" t="s">
        <v>4196</v>
      </c>
      <c r="AM1935" s="122" t="s">
        <v>547</v>
      </c>
      <c r="AN1935" s="121"/>
      <c r="AO1935" s="3"/>
      <c r="AR1935" s="115"/>
    </row>
    <row r="1936" spans="1:46" ht="39" customHeight="1" x14ac:dyDescent="0.3">
      <c r="A1936" s="1468">
        <v>1935</v>
      </c>
      <c r="B1936" s="190"/>
      <c r="C1936" s="549" t="s">
        <v>625</v>
      </c>
      <c r="D1936" s="471" t="s">
        <v>134</v>
      </c>
      <c r="E1936" s="471"/>
      <c r="F1936" s="471"/>
      <c r="G1936" s="472" t="s">
        <v>626</v>
      </c>
      <c r="H1936" s="262" t="s">
        <v>87</v>
      </c>
      <c r="I1936" s="473" t="s">
        <v>627</v>
      </c>
      <c r="J1936" s="245" t="s">
        <v>561</v>
      </c>
      <c r="K1936" s="288" t="s">
        <v>158</v>
      </c>
      <c r="L1936" s="263" t="s">
        <v>3678</v>
      </c>
      <c r="M1936" s="263" t="s">
        <v>3678</v>
      </c>
      <c r="N1936" s="281" t="s">
        <v>4217</v>
      </c>
      <c r="O1936" s="392" t="s">
        <v>3890</v>
      </c>
      <c r="P1936" s="266"/>
      <c r="Q1936" s="301" t="s">
        <v>87</v>
      </c>
      <c r="R1936" s="1006" t="s">
        <v>3889</v>
      </c>
      <c r="S1936" s="279">
        <v>38247</v>
      </c>
      <c r="T1936" s="414"/>
      <c r="U1936" s="250"/>
      <c r="V1936" s="595"/>
      <c r="W1936" s="1389"/>
      <c r="X1936" s="1389"/>
      <c r="Y1936" s="496"/>
      <c r="Z1936" s="440"/>
      <c r="AA1936" s="395"/>
      <c r="AB1936" s="288" t="s">
        <v>4278</v>
      </c>
      <c r="AC1936" s="223" t="s">
        <v>1475</v>
      </c>
      <c r="AD1936" s="299" t="s">
        <v>467</v>
      </c>
      <c r="AE1936" s="494">
        <v>45110</v>
      </c>
      <c r="AF1936" s="494">
        <v>45475</v>
      </c>
      <c r="AG1936" s="481"/>
      <c r="AH1936" s="481"/>
      <c r="AI1936" s="254" t="s">
        <v>1351</v>
      </c>
      <c r="AJ1936" s="303" t="s">
        <v>136</v>
      </c>
      <c r="AK1936" s="471">
        <v>4</v>
      </c>
      <c r="AL1936" s="123" t="s">
        <v>4196</v>
      </c>
      <c r="AM1936" s="749" t="s">
        <v>547</v>
      </c>
      <c r="AN1936" s="166" t="s">
        <v>1384</v>
      </c>
      <c r="AO1936" s="875"/>
      <c r="AR1936" s="115"/>
      <c r="AS1936" s="115"/>
      <c r="AT1936" s="115"/>
    </row>
    <row r="1937" spans="1:46" s="827" customFormat="1" ht="39" customHeight="1" x14ac:dyDescent="0.3">
      <c r="A1937" s="1468">
        <v>1936</v>
      </c>
      <c r="B1937" s="190"/>
      <c r="C1937" s="324"/>
      <c r="D1937" s="664"/>
      <c r="E1937" s="664"/>
      <c r="F1937" s="664"/>
      <c r="G1937" s="227"/>
      <c r="H1937" s="228"/>
      <c r="I1937" s="228"/>
      <c r="J1937" s="229"/>
      <c r="K1937" s="227"/>
      <c r="L1937" s="229"/>
      <c r="M1937" s="229"/>
      <c r="N1937" s="229"/>
      <c r="O1937" s="309"/>
      <c r="P1937" s="230" t="s">
        <v>628</v>
      </c>
      <c r="Q1937" s="664"/>
      <c r="R1937" s="995"/>
      <c r="S1937" s="279"/>
      <c r="T1937" s="369"/>
      <c r="U1937" s="250"/>
      <c r="V1937" s="232"/>
      <c r="W1937" s="232"/>
      <c r="X1937" s="232"/>
      <c r="Y1937" s="232"/>
      <c r="Z1937" s="233"/>
      <c r="AA1937" s="234"/>
      <c r="AB1937" s="235"/>
      <c r="AC1937" s="236"/>
      <c r="AD1937" s="235"/>
      <c r="AE1937" s="494"/>
      <c r="AF1937" s="494"/>
      <c r="AG1937" s="664"/>
      <c r="AH1937" s="238"/>
      <c r="AI1937" s="239"/>
      <c r="AJ1937" s="576"/>
      <c r="AK1937" s="664"/>
      <c r="AL1937" s="113"/>
      <c r="AM1937" s="113"/>
      <c r="AN1937" s="748"/>
      <c r="AO1937" s="750"/>
      <c r="AP1937" s="192"/>
      <c r="AQ1937" s="192"/>
      <c r="AR1937" s="192"/>
      <c r="AS1937" s="192"/>
      <c r="AT1937" s="192"/>
    </row>
    <row r="1938" spans="1:46" ht="39" customHeight="1" x14ac:dyDescent="0.3">
      <c r="A1938" s="1468">
        <v>1937</v>
      </c>
      <c r="B1938" s="161">
        <v>10</v>
      </c>
      <c r="C1938" s="793" t="s">
        <v>305</v>
      </c>
      <c r="D1938" s="476"/>
      <c r="E1938" s="442" t="s">
        <v>47</v>
      </c>
      <c r="F1938" s="476"/>
      <c r="G1938" s="757" t="s">
        <v>546</v>
      </c>
      <c r="H1938" s="244" t="s">
        <v>83</v>
      </c>
      <c r="I1938" s="870"/>
      <c r="J1938" s="245">
        <v>302</v>
      </c>
      <c r="K1938" s="216"/>
      <c r="L1938" s="281" t="s">
        <v>4811</v>
      </c>
      <c r="M1938" s="281" t="s">
        <v>4811</v>
      </c>
      <c r="N1938" s="281"/>
      <c r="O1938" s="216" t="s">
        <v>4810</v>
      </c>
      <c r="P1938" s="287"/>
      <c r="Q1938" s="326" t="s">
        <v>2053</v>
      </c>
      <c r="R1938" s="995" t="s">
        <v>4809</v>
      </c>
      <c r="S1938" s="279">
        <v>32486</v>
      </c>
      <c r="T1938" s="250"/>
      <c r="U1938" s="250"/>
      <c r="V1938" s="197" t="s">
        <v>6234</v>
      </c>
      <c r="W1938" s="197" t="s">
        <v>6235</v>
      </c>
      <c r="X1938" s="197" t="s">
        <v>6236</v>
      </c>
      <c r="Y1938" s="1461" t="s">
        <v>6237</v>
      </c>
      <c r="Z1938" s="246">
        <v>45348</v>
      </c>
      <c r="AA1938" s="252">
        <v>45362</v>
      </c>
      <c r="AB1938" s="282"/>
      <c r="AC1938" s="223"/>
      <c r="AD1938" s="281"/>
      <c r="AE1938" s="494"/>
      <c r="AF1938" s="494"/>
      <c r="AG1938" s="241"/>
      <c r="AH1938" s="283"/>
      <c r="AI1938" s="254"/>
      <c r="AJ1938" s="755" t="s">
        <v>62</v>
      </c>
      <c r="AK1938" s="442">
        <v>1</v>
      </c>
      <c r="AL1938" s="175" t="s">
        <v>4197</v>
      </c>
      <c r="AM1938" s="175" t="s">
        <v>547</v>
      </c>
      <c r="AN1938" s="169"/>
      <c r="AO1938" s="878"/>
      <c r="AR1938" s="115"/>
    </row>
    <row r="1939" spans="1:46" ht="39" customHeight="1" x14ac:dyDescent="0.3">
      <c r="A1939" s="1468">
        <v>1938</v>
      </c>
      <c r="B1939" s="161">
        <v>2</v>
      </c>
      <c r="C1939" s="501" t="s">
        <v>353</v>
      </c>
      <c r="D1939" s="241"/>
      <c r="E1939" s="241"/>
      <c r="F1939" s="241"/>
      <c r="G1939" s="261" t="s">
        <v>354</v>
      </c>
      <c r="H1939" s="262" t="s">
        <v>87</v>
      </c>
      <c r="I1939" s="357"/>
      <c r="J1939" s="245" t="s">
        <v>561</v>
      </c>
      <c r="K1939" s="216"/>
      <c r="L1939" s="281"/>
      <c r="M1939" s="281"/>
      <c r="N1939" s="366"/>
      <c r="O1939" s="1373"/>
      <c r="P1939" s="402"/>
      <c r="Q1939" s="344"/>
      <c r="R1939" s="982" t="s">
        <v>66</v>
      </c>
      <c r="S1939" s="279"/>
      <c r="T1939" s="197"/>
      <c r="U1939" s="250"/>
      <c r="V1939" s="197"/>
      <c r="W1939" s="197"/>
      <c r="X1939" s="197"/>
      <c r="Y1939" s="288"/>
      <c r="Z1939" s="246"/>
      <c r="AA1939" s="252"/>
      <c r="AB1939" s="361"/>
      <c r="AC1939" s="223"/>
      <c r="AD1939" s="376"/>
      <c r="AE1939" s="494"/>
      <c r="AF1939" s="494"/>
      <c r="AG1939" s="241"/>
      <c r="AH1939" s="283"/>
      <c r="AI1939" s="254"/>
      <c r="AJ1939" s="348"/>
      <c r="AK1939" s="241">
        <v>4</v>
      </c>
      <c r="AL1939" s="175" t="s">
        <v>4197</v>
      </c>
      <c r="AM1939" s="122" t="s">
        <v>547</v>
      </c>
      <c r="AN1939" s="121" t="s">
        <v>5764</v>
      </c>
      <c r="AO1939" s="3"/>
      <c r="AR1939" s="115"/>
      <c r="AS1939" s="115"/>
      <c r="AT1939" s="115"/>
    </row>
    <row r="1940" spans="1:46" ht="39" customHeight="1" x14ac:dyDescent="0.3">
      <c r="A1940" s="1468">
        <v>1939</v>
      </c>
      <c r="B1940" s="161">
        <v>2</v>
      </c>
      <c r="C1940" s="501" t="s">
        <v>353</v>
      </c>
      <c r="D1940" s="241"/>
      <c r="E1940" s="241"/>
      <c r="F1940" s="241"/>
      <c r="G1940" s="261" t="s">
        <v>354</v>
      </c>
      <c r="H1940" s="262" t="s">
        <v>87</v>
      </c>
      <c r="I1940" s="357"/>
      <c r="J1940" s="245" t="s">
        <v>561</v>
      </c>
      <c r="K1940" s="257"/>
      <c r="L1940" s="301" t="s">
        <v>1113</v>
      </c>
      <c r="M1940" s="301" t="s">
        <v>1208</v>
      </c>
      <c r="N1940" s="299"/>
      <c r="O1940" s="392" t="s">
        <v>3086</v>
      </c>
      <c r="P1940" s="300"/>
      <c r="Q1940" s="301" t="s">
        <v>293</v>
      </c>
      <c r="R1940" s="381" t="s">
        <v>1377</v>
      </c>
      <c r="S1940" s="279"/>
      <c r="T1940" s="289"/>
      <c r="U1940" s="251" t="s">
        <v>54</v>
      </c>
      <c r="V1940" s="306" t="s">
        <v>4607</v>
      </c>
      <c r="W1940" s="250" t="s">
        <v>4605</v>
      </c>
      <c r="X1940" s="250" t="s">
        <v>465</v>
      </c>
      <c r="Y1940" s="197" t="s">
        <v>4606</v>
      </c>
      <c r="Z1940" s="246">
        <v>45238</v>
      </c>
      <c r="AA1940" s="289"/>
      <c r="AB1940" s="288" t="s">
        <v>4366</v>
      </c>
      <c r="AC1940" s="223" t="s">
        <v>946</v>
      </c>
      <c r="AD1940" s="299"/>
      <c r="AE1940" s="494">
        <v>45076</v>
      </c>
      <c r="AF1940" s="494">
        <v>45441</v>
      </c>
      <c r="AG1940" s="299"/>
      <c r="AH1940" s="299"/>
      <c r="AI1940" s="254" t="s">
        <v>1351</v>
      </c>
      <c r="AJ1940" s="303" t="s">
        <v>136</v>
      </c>
      <c r="AK1940" s="241">
        <v>4</v>
      </c>
      <c r="AL1940" s="175" t="s">
        <v>4197</v>
      </c>
      <c r="AM1940" s="122" t="s">
        <v>547</v>
      </c>
      <c r="AN1940" s="121" t="s">
        <v>5764</v>
      </c>
      <c r="AO1940" s="3"/>
      <c r="AR1940" s="115"/>
      <c r="AS1940" s="115"/>
      <c r="AT1940" s="115"/>
    </row>
    <row r="1941" spans="1:46" ht="39" customHeight="1" x14ac:dyDescent="0.3">
      <c r="A1941" s="1468">
        <v>1940</v>
      </c>
      <c r="B1941" s="1105">
        <v>7</v>
      </c>
      <c r="C1941" s="290" t="s">
        <v>591</v>
      </c>
      <c r="D1941" s="291"/>
      <c r="E1941" s="291" t="s">
        <v>47</v>
      </c>
      <c r="F1941" s="291"/>
      <c r="G1941" s="292" t="s">
        <v>610</v>
      </c>
      <c r="H1941" s="293" t="s">
        <v>132</v>
      </c>
      <c r="I1941" s="346" t="s">
        <v>629</v>
      </c>
      <c r="J1941" s="256">
        <v>403</v>
      </c>
      <c r="K1941" s="216" t="s">
        <v>158</v>
      </c>
      <c r="L1941" s="281" t="s">
        <v>1226</v>
      </c>
      <c r="M1941" s="281" t="s">
        <v>1227</v>
      </c>
      <c r="N1941" s="401"/>
      <c r="O1941" s="216" t="s">
        <v>1228</v>
      </c>
      <c r="P1941" s="294"/>
      <c r="Q1941" s="344" t="s">
        <v>132</v>
      </c>
      <c r="R1941" s="982" t="s">
        <v>1229</v>
      </c>
      <c r="S1941" s="279">
        <v>32442</v>
      </c>
      <c r="T1941" s="250"/>
      <c r="U1941" s="251" t="s">
        <v>886</v>
      </c>
      <c r="V1941" s="197" t="s">
        <v>5904</v>
      </c>
      <c r="W1941" s="197" t="s">
        <v>886</v>
      </c>
      <c r="X1941" s="197" t="s">
        <v>886</v>
      </c>
      <c r="Y1941" s="949"/>
      <c r="Z1941" s="246">
        <v>45301</v>
      </c>
      <c r="AA1941" s="252"/>
      <c r="AB1941" s="282"/>
      <c r="AC1941" s="223" t="s">
        <v>946</v>
      </c>
      <c r="AD1941" s="282" t="s">
        <v>907</v>
      </c>
      <c r="AE1941" s="494">
        <v>44155</v>
      </c>
      <c r="AF1941" s="494">
        <v>45249</v>
      </c>
      <c r="AG1941" s="241" t="s">
        <v>61</v>
      </c>
      <c r="AH1941" s="283"/>
      <c r="AI1941" s="254"/>
      <c r="AJ1941" s="348" t="s">
        <v>560</v>
      </c>
      <c r="AK1941" s="291">
        <v>3</v>
      </c>
      <c r="AL1941" s="175" t="s">
        <v>4197</v>
      </c>
      <c r="AM1941" s="130" t="s">
        <v>547</v>
      </c>
      <c r="AN1941" s="121"/>
      <c r="AO1941" s="3"/>
      <c r="AR1941" s="115"/>
    </row>
    <row r="1942" spans="1:46" ht="39" customHeight="1" x14ac:dyDescent="0.3">
      <c r="A1942" s="1468">
        <v>1941</v>
      </c>
      <c r="B1942" s="190"/>
      <c r="C1942" s="378" t="s">
        <v>346</v>
      </c>
      <c r="D1942" s="303"/>
      <c r="E1942" s="241"/>
      <c r="F1942" s="241"/>
      <c r="G1942" s="261" t="s">
        <v>612</v>
      </c>
      <c r="H1942" s="262" t="s">
        <v>85</v>
      </c>
      <c r="I1942" s="357"/>
      <c r="J1942" s="245" t="s">
        <v>556</v>
      </c>
      <c r="K1942" s="216"/>
      <c r="L1942" s="301" t="s">
        <v>4055</v>
      </c>
      <c r="M1942" s="301" t="s">
        <v>4055</v>
      </c>
      <c r="N1942" s="366"/>
      <c r="O1942" s="216" t="s">
        <v>4063</v>
      </c>
      <c r="P1942" s="402" t="s">
        <v>1828</v>
      </c>
      <c r="Q1942" s="344" t="s">
        <v>87</v>
      </c>
      <c r="R1942" s="982" t="s">
        <v>4062</v>
      </c>
      <c r="S1942" s="279">
        <v>28075</v>
      </c>
      <c r="T1942" s="306"/>
      <c r="U1942" s="251" t="s">
        <v>54</v>
      </c>
      <c r="V1942" s="197" t="s">
        <v>5955</v>
      </c>
      <c r="W1942" s="197" t="s">
        <v>70</v>
      </c>
      <c r="X1942" s="197" t="s">
        <v>71</v>
      </c>
      <c r="Y1942" s="949" t="s">
        <v>5964</v>
      </c>
      <c r="Z1942" s="612">
        <v>45312</v>
      </c>
      <c r="AA1942" s="246"/>
      <c r="AB1942" s="301"/>
      <c r="AC1942" s="223"/>
      <c r="AD1942" s="301"/>
      <c r="AE1942" s="494"/>
      <c r="AF1942" s="494"/>
      <c r="AG1942" s="241"/>
      <c r="AH1942" s="301"/>
      <c r="AI1942" s="223"/>
      <c r="AJ1942" s="348" t="s">
        <v>560</v>
      </c>
      <c r="AK1942" s="241">
        <v>4</v>
      </c>
      <c r="AL1942" s="175" t="s">
        <v>4197</v>
      </c>
      <c r="AM1942" s="122" t="s">
        <v>547</v>
      </c>
      <c r="AN1942" s="121"/>
      <c r="AO1942" s="3"/>
      <c r="AR1942" s="115"/>
    </row>
    <row r="1943" spans="1:46" ht="39" customHeight="1" x14ac:dyDescent="0.3">
      <c r="A1943" s="1468">
        <v>1942</v>
      </c>
      <c r="B1943" s="146">
        <v>2</v>
      </c>
      <c r="C1943" s="260" t="s">
        <v>319</v>
      </c>
      <c r="D1943" s="241"/>
      <c r="E1943" s="241"/>
      <c r="F1943" s="241"/>
      <c r="G1943" s="261" t="s">
        <v>613</v>
      </c>
      <c r="H1943" s="262" t="s">
        <v>87</v>
      </c>
      <c r="I1943" s="357"/>
      <c r="J1943" s="245" t="s">
        <v>561</v>
      </c>
      <c r="K1943" s="216"/>
      <c r="L1943" s="288" t="s">
        <v>5144</v>
      </c>
      <c r="M1943" s="288" t="s">
        <v>5144</v>
      </c>
      <c r="N1943" s="245"/>
      <c r="O1943" s="1463" t="s">
        <v>5329</v>
      </c>
      <c r="P1943" s="372"/>
      <c r="Q1943" s="1463" t="s">
        <v>87</v>
      </c>
      <c r="R1943" s="381" t="s">
        <v>5327</v>
      </c>
      <c r="S1943" s="279">
        <v>37468</v>
      </c>
      <c r="T1943" s="250"/>
      <c r="U1943" s="250"/>
      <c r="V1943" s="245"/>
      <c r="W1943" s="250"/>
      <c r="X1943" s="197"/>
      <c r="Y1943" s="949"/>
      <c r="Z1943" s="246"/>
      <c r="AA1943" s="252"/>
      <c r="AB1943" s="301"/>
      <c r="AC1943" s="223"/>
      <c r="AD1943" s="245" t="s">
        <v>467</v>
      </c>
      <c r="AE1943" s="494"/>
      <c r="AF1943" s="494"/>
      <c r="AG1943" s="301"/>
      <c r="AH1943" s="301"/>
      <c r="AI1943" s="254" t="s">
        <v>4208</v>
      </c>
      <c r="AJ1943" s="303" t="s">
        <v>136</v>
      </c>
      <c r="AK1943" s="241">
        <v>4</v>
      </c>
      <c r="AL1943" s="175" t="s">
        <v>4197</v>
      </c>
      <c r="AM1943" s="139" t="s">
        <v>547</v>
      </c>
      <c r="AN1943" s="121"/>
      <c r="AO1943" s="3"/>
      <c r="AR1943" s="115"/>
    </row>
    <row r="1944" spans="1:46" ht="39" customHeight="1" x14ac:dyDescent="0.3">
      <c r="A1944" s="1468">
        <v>1943</v>
      </c>
      <c r="B1944" s="190"/>
      <c r="C1944" s="260" t="s">
        <v>932</v>
      </c>
      <c r="D1944" s="241"/>
      <c r="E1944" s="241"/>
      <c r="F1944" s="241"/>
      <c r="G1944" s="261" t="s">
        <v>613</v>
      </c>
      <c r="H1944" s="262" t="s">
        <v>87</v>
      </c>
      <c r="I1944" s="357"/>
      <c r="J1944" s="245" t="s">
        <v>561</v>
      </c>
      <c r="K1944" s="197"/>
      <c r="L1944" s="301" t="s">
        <v>4055</v>
      </c>
      <c r="M1944" s="301" t="s">
        <v>4055</v>
      </c>
      <c r="N1944" s="366"/>
      <c r="O1944" s="392" t="s">
        <v>4061</v>
      </c>
      <c r="P1944" s="402" t="s">
        <v>1828</v>
      </c>
      <c r="Q1944" s="344" t="s">
        <v>87</v>
      </c>
      <c r="R1944" s="982" t="s">
        <v>4060</v>
      </c>
      <c r="S1944" s="279">
        <v>32911</v>
      </c>
      <c r="T1944" s="250"/>
      <c r="U1944" s="251" t="s">
        <v>54</v>
      </c>
      <c r="V1944" s="197" t="s">
        <v>5955</v>
      </c>
      <c r="W1944" s="197" t="s">
        <v>70</v>
      </c>
      <c r="X1944" s="197" t="s">
        <v>71</v>
      </c>
      <c r="Y1944" s="949" t="s">
        <v>5993</v>
      </c>
      <c r="Z1944" s="612">
        <v>45312</v>
      </c>
      <c r="AA1944" s="246"/>
      <c r="AB1944" s="299"/>
      <c r="AC1944" s="223"/>
      <c r="AD1944" s="299"/>
      <c r="AE1944" s="494"/>
      <c r="AF1944" s="494"/>
      <c r="AG1944" s="299"/>
      <c r="AH1944" s="299"/>
      <c r="AI1944" s="296"/>
      <c r="AJ1944" s="348" t="s">
        <v>560</v>
      </c>
      <c r="AK1944" s="241">
        <v>4</v>
      </c>
      <c r="AL1944" s="175" t="s">
        <v>4197</v>
      </c>
      <c r="AM1944" s="139" t="s">
        <v>547</v>
      </c>
      <c r="AN1944" s="121"/>
      <c r="AO1944" s="3"/>
      <c r="AR1944" s="115"/>
    </row>
    <row r="1945" spans="1:46" ht="39" customHeight="1" x14ac:dyDescent="0.3">
      <c r="A1945" s="1468">
        <v>1944</v>
      </c>
      <c r="B1945" s="190"/>
      <c r="C1945" s="290" t="s">
        <v>593</v>
      </c>
      <c r="D1945" s="291"/>
      <c r="E1945" s="291" t="s">
        <v>47</v>
      </c>
      <c r="F1945" s="291"/>
      <c r="G1945" s="292" t="s">
        <v>630</v>
      </c>
      <c r="H1945" s="293" t="s">
        <v>132</v>
      </c>
      <c r="I1945" s="346">
        <v>181</v>
      </c>
      <c r="J1945" s="256">
        <v>403</v>
      </c>
      <c r="K1945" s="216" t="s">
        <v>144</v>
      </c>
      <c r="L1945" s="281" t="s">
        <v>3481</v>
      </c>
      <c r="M1945" s="281" t="s">
        <v>3481</v>
      </c>
      <c r="N1945" s="245"/>
      <c r="O1945" s="216" t="s">
        <v>1231</v>
      </c>
      <c r="P1945" s="359"/>
      <c r="Q1945" s="344" t="s">
        <v>519</v>
      </c>
      <c r="R1945" s="982" t="s">
        <v>1232</v>
      </c>
      <c r="S1945" s="279">
        <v>34777</v>
      </c>
      <c r="T1945" s="250"/>
      <c r="U1945" s="251" t="s">
        <v>886</v>
      </c>
      <c r="V1945" s="197" t="s">
        <v>1812</v>
      </c>
      <c r="W1945" s="197">
        <v>200</v>
      </c>
      <c r="X1945" s="197" t="s">
        <v>886</v>
      </c>
      <c r="Y1945" s="197"/>
      <c r="Z1945" s="246">
        <v>45106</v>
      </c>
      <c r="AA1945" s="246"/>
      <c r="AB1945" s="376"/>
      <c r="AC1945" s="223" t="s">
        <v>946</v>
      </c>
      <c r="AD1945" s="281"/>
      <c r="AE1945" s="494">
        <v>42917</v>
      </c>
      <c r="AF1945" s="494">
        <v>44742</v>
      </c>
      <c r="AG1945" s="241" t="s">
        <v>61</v>
      </c>
      <c r="AH1945" s="283"/>
      <c r="AI1945" s="297"/>
      <c r="AJ1945" s="348" t="s">
        <v>560</v>
      </c>
      <c r="AK1945" s="291">
        <v>3</v>
      </c>
      <c r="AL1945" s="175" t="s">
        <v>4197</v>
      </c>
      <c r="AM1945" s="130" t="s">
        <v>547</v>
      </c>
      <c r="AN1945" s="121"/>
      <c r="AO1945" s="3"/>
      <c r="AR1945" s="115"/>
    </row>
    <row r="1946" spans="1:46" ht="39" customHeight="1" x14ac:dyDescent="0.3">
      <c r="A1946" s="1468">
        <v>1945</v>
      </c>
      <c r="B1946" s="190"/>
      <c r="C1946" s="356" t="s">
        <v>290</v>
      </c>
      <c r="D1946" s="241" t="s">
        <v>134</v>
      </c>
      <c r="E1946" s="241"/>
      <c r="F1946" s="241"/>
      <c r="G1946" s="261" t="s">
        <v>615</v>
      </c>
      <c r="H1946" s="262" t="s">
        <v>87</v>
      </c>
      <c r="I1946" s="357"/>
      <c r="J1946" s="245" t="s">
        <v>561</v>
      </c>
      <c r="K1946" s="216"/>
      <c r="L1946" s="281"/>
      <c r="M1946" s="281"/>
      <c r="N1946" s="366"/>
      <c r="O1946" s="392"/>
      <c r="P1946" s="402"/>
      <c r="Q1946" s="344"/>
      <c r="R1946" s="982" t="s">
        <v>66</v>
      </c>
      <c r="S1946" s="279"/>
      <c r="T1946" s="197"/>
      <c r="U1946" s="197"/>
      <c r="V1946" s="197"/>
      <c r="W1946" s="250"/>
      <c r="X1946" s="197"/>
      <c r="Y1946" s="197"/>
      <c r="Z1946" s="246"/>
      <c r="AA1946" s="246"/>
      <c r="AB1946" s="361"/>
      <c r="AC1946" s="223"/>
      <c r="AD1946" s="376"/>
      <c r="AE1946" s="494"/>
      <c r="AF1946" s="494"/>
      <c r="AG1946" s="241"/>
      <c r="AH1946" s="283"/>
      <c r="AI1946" s="254"/>
      <c r="AJ1946" s="348"/>
      <c r="AK1946" s="241">
        <v>4</v>
      </c>
      <c r="AL1946" s="175" t="s">
        <v>4197</v>
      </c>
      <c r="AM1946" s="122" t="s">
        <v>547</v>
      </c>
      <c r="AN1946" s="121" t="s">
        <v>1384</v>
      </c>
      <c r="AO1946" s="3"/>
      <c r="AR1946" s="115"/>
      <c r="AS1946" s="115"/>
      <c r="AT1946" s="115"/>
    </row>
    <row r="1947" spans="1:46" ht="39" customHeight="1" x14ac:dyDescent="0.3">
      <c r="A1947" s="1468">
        <v>1946</v>
      </c>
      <c r="B1947" s="190"/>
      <c r="C1947" s="260" t="s">
        <v>346</v>
      </c>
      <c r="D1947" s="241"/>
      <c r="E1947" s="241"/>
      <c r="F1947" s="241"/>
      <c r="G1947" s="261" t="s">
        <v>612</v>
      </c>
      <c r="H1947" s="262" t="s">
        <v>85</v>
      </c>
      <c r="I1947" s="357"/>
      <c r="J1947" s="245" t="s">
        <v>556</v>
      </c>
      <c r="K1947" s="197"/>
      <c r="L1947" s="288" t="s">
        <v>5144</v>
      </c>
      <c r="M1947" s="288" t="s">
        <v>5144</v>
      </c>
      <c r="N1947" s="245"/>
      <c r="O1947" s="1543" t="s">
        <v>5333</v>
      </c>
      <c r="P1947" s="402"/>
      <c r="Q1947" s="1542" t="s">
        <v>87</v>
      </c>
      <c r="R1947" s="1494" t="s">
        <v>5331</v>
      </c>
      <c r="S1947" s="279">
        <v>37943</v>
      </c>
      <c r="T1947" s="250"/>
      <c r="U1947" s="250"/>
      <c r="V1947" s="245"/>
      <c r="W1947" s="250"/>
      <c r="X1947" s="197"/>
      <c r="Y1947" s="949"/>
      <c r="Z1947" s="246"/>
      <c r="AA1947" s="252"/>
      <c r="AB1947" s="301"/>
      <c r="AC1947" s="223"/>
      <c r="AD1947" s="245" t="s">
        <v>467</v>
      </c>
      <c r="AE1947" s="494"/>
      <c r="AF1947" s="494"/>
      <c r="AG1947" s="301"/>
      <c r="AH1947" s="301"/>
      <c r="AI1947" s="254" t="s">
        <v>4208</v>
      </c>
      <c r="AJ1947" s="303" t="s">
        <v>136</v>
      </c>
      <c r="AK1947" s="241">
        <v>4</v>
      </c>
      <c r="AL1947" s="175" t="s">
        <v>4197</v>
      </c>
      <c r="AM1947" s="122" t="s">
        <v>547</v>
      </c>
      <c r="AN1947" s="121"/>
      <c r="AO1947" s="3"/>
      <c r="AR1947" s="115"/>
    </row>
    <row r="1948" spans="1:46" ht="39" customHeight="1" x14ac:dyDescent="0.3">
      <c r="A1948" s="1468">
        <v>1947</v>
      </c>
      <c r="B1948" s="190"/>
      <c r="C1948" s="260" t="s">
        <v>592</v>
      </c>
      <c r="D1948" s="241"/>
      <c r="E1948" s="241"/>
      <c r="F1948" s="241"/>
      <c r="G1948" s="261" t="s">
        <v>613</v>
      </c>
      <c r="H1948" s="262" t="s">
        <v>87</v>
      </c>
      <c r="I1948" s="357" t="s">
        <v>361</v>
      </c>
      <c r="J1948" s="245" t="s">
        <v>561</v>
      </c>
      <c r="K1948" s="216"/>
      <c r="L1948" s="289" t="s">
        <v>3596</v>
      </c>
      <c r="M1948" s="289" t="s">
        <v>3596</v>
      </c>
      <c r="N1948" s="366"/>
      <c r="O1948" s="216" t="s">
        <v>4602</v>
      </c>
      <c r="P1948" s="374"/>
      <c r="Q1948" s="831" t="s">
        <v>87</v>
      </c>
      <c r="R1948" s="834" t="s">
        <v>3612</v>
      </c>
      <c r="S1948" s="279">
        <v>30996</v>
      </c>
      <c r="T1948" s="257"/>
      <c r="U1948" s="251" t="s">
        <v>54</v>
      </c>
      <c r="V1948" s="197" t="s">
        <v>5512</v>
      </c>
      <c r="W1948" s="250" t="s">
        <v>56</v>
      </c>
      <c r="X1948" s="197" t="s">
        <v>57</v>
      </c>
      <c r="Y1948" s="197" t="s">
        <v>5726</v>
      </c>
      <c r="Z1948" s="246">
        <v>45272</v>
      </c>
      <c r="AA1948" s="374"/>
      <c r="AB1948" s="257"/>
      <c r="AC1948" s="223"/>
      <c r="AD1948" s="257"/>
      <c r="AE1948" s="494"/>
      <c r="AF1948" s="494"/>
      <c r="AG1948" s="282"/>
      <c r="AH1948" s="283"/>
      <c r="AI1948" s="296"/>
      <c r="AJ1948" s="743" t="s">
        <v>560</v>
      </c>
      <c r="AK1948" s="241">
        <v>4</v>
      </c>
      <c r="AL1948" s="175" t="s">
        <v>4197</v>
      </c>
      <c r="AM1948" s="122" t="s">
        <v>547</v>
      </c>
      <c r="AN1948" s="121"/>
      <c r="AO1948" s="3"/>
      <c r="AR1948" s="115"/>
    </row>
    <row r="1949" spans="1:46" ht="39" customHeight="1" x14ac:dyDescent="0.3">
      <c r="A1949" s="1468">
        <v>1948</v>
      </c>
      <c r="B1949" s="190"/>
      <c r="C1949" s="260" t="s">
        <v>932</v>
      </c>
      <c r="D1949" s="241"/>
      <c r="E1949" s="241"/>
      <c r="F1949" s="241"/>
      <c r="G1949" s="261" t="s">
        <v>613</v>
      </c>
      <c r="H1949" s="262" t="s">
        <v>87</v>
      </c>
      <c r="I1949" s="364"/>
      <c r="J1949" s="245" t="s">
        <v>561</v>
      </c>
      <c r="K1949" s="216"/>
      <c r="L1949" s="288" t="s">
        <v>5144</v>
      </c>
      <c r="M1949" s="288" t="s">
        <v>5144</v>
      </c>
      <c r="N1949" s="366"/>
      <c r="O1949" s="1463" t="s">
        <v>5320</v>
      </c>
      <c r="P1949" s="402"/>
      <c r="Q1949" s="1463" t="s">
        <v>87</v>
      </c>
      <c r="R1949" s="1003" t="s">
        <v>5321</v>
      </c>
      <c r="S1949" s="279">
        <v>37721</v>
      </c>
      <c r="T1949" s="250"/>
      <c r="U1949" s="250" t="s">
        <v>54</v>
      </c>
      <c r="V1949" s="1546" t="s">
        <v>6226</v>
      </c>
      <c r="W1949" s="1546" t="s">
        <v>6228</v>
      </c>
      <c r="X1949" s="1546" t="s">
        <v>475</v>
      </c>
      <c r="Y1949" s="1547" t="s">
        <v>6229</v>
      </c>
      <c r="Z1949" s="612">
        <v>45327</v>
      </c>
      <c r="AA1949" s="252"/>
      <c r="AB1949" s="301"/>
      <c r="AC1949" s="223"/>
      <c r="AD1949" s="245" t="s">
        <v>467</v>
      </c>
      <c r="AE1949" s="494"/>
      <c r="AF1949" s="494"/>
      <c r="AG1949" s="301"/>
      <c r="AH1949" s="301"/>
      <c r="AI1949" s="254" t="s">
        <v>4208</v>
      </c>
      <c r="AJ1949" s="303" t="s">
        <v>136</v>
      </c>
      <c r="AK1949" s="241">
        <v>4</v>
      </c>
      <c r="AL1949" s="175" t="s">
        <v>4197</v>
      </c>
      <c r="AM1949" s="139" t="s">
        <v>547</v>
      </c>
      <c r="AN1949" s="121"/>
      <c r="AO1949" s="3"/>
      <c r="AR1949" s="115"/>
    </row>
    <row r="1950" spans="1:46" ht="39" customHeight="1" x14ac:dyDescent="0.3">
      <c r="A1950" s="1468">
        <v>1949</v>
      </c>
      <c r="B1950" s="190"/>
      <c r="C1950" s="290" t="s">
        <v>593</v>
      </c>
      <c r="D1950" s="291"/>
      <c r="E1950" s="291" t="s">
        <v>47</v>
      </c>
      <c r="F1950" s="291"/>
      <c r="G1950" s="292" t="s">
        <v>630</v>
      </c>
      <c r="H1950" s="293" t="s">
        <v>132</v>
      </c>
      <c r="I1950" s="346" t="s">
        <v>629</v>
      </c>
      <c r="J1950" s="256">
        <v>403</v>
      </c>
      <c r="K1950" s="216"/>
      <c r="L1950" s="281"/>
      <c r="M1950" s="281"/>
      <c r="N1950" s="366"/>
      <c r="O1950" s="1481"/>
      <c r="P1950" s="402"/>
      <c r="Q1950" s="831"/>
      <c r="R1950" s="834" t="s">
        <v>66</v>
      </c>
      <c r="S1950" s="279"/>
      <c r="T1950" s="197"/>
      <c r="U1950" s="250"/>
      <c r="V1950" s="595"/>
      <c r="W1950" s="1481"/>
      <c r="X1950" s="1481"/>
      <c r="Y1950" s="245"/>
      <c r="Z1950" s="246"/>
      <c r="AA1950" s="246"/>
      <c r="AB1950" s="288"/>
      <c r="AC1950" s="223"/>
      <c r="AD1950" s="376"/>
      <c r="AE1950" s="494"/>
      <c r="AF1950" s="494"/>
      <c r="AG1950" s="241"/>
      <c r="AH1950" s="283"/>
      <c r="AI1950" s="254"/>
      <c r="AJ1950" s="743"/>
      <c r="AK1950" s="291">
        <v>3</v>
      </c>
      <c r="AL1950" s="175" t="s">
        <v>4197</v>
      </c>
      <c r="AM1950" s="130" t="s">
        <v>547</v>
      </c>
      <c r="AN1950" s="121"/>
      <c r="AO1950" s="3"/>
      <c r="AR1950" s="115"/>
    </row>
    <row r="1951" spans="1:46" ht="39" customHeight="1" x14ac:dyDescent="0.3">
      <c r="A1951" s="1468">
        <v>1950</v>
      </c>
      <c r="B1951" s="190"/>
      <c r="C1951" s="260" t="s">
        <v>346</v>
      </c>
      <c r="D1951" s="241"/>
      <c r="E1951" s="241"/>
      <c r="F1951" s="241"/>
      <c r="G1951" s="261" t="s">
        <v>612</v>
      </c>
      <c r="H1951" s="262" t="s">
        <v>85</v>
      </c>
      <c r="I1951" s="364"/>
      <c r="J1951" s="245" t="s">
        <v>556</v>
      </c>
      <c r="K1951" s="216"/>
      <c r="L1951" s="216"/>
      <c r="M1951" s="216"/>
      <c r="N1951" s="245"/>
      <c r="O1951" s="216"/>
      <c r="P1951" s="247"/>
      <c r="Q1951" s="344"/>
      <c r="R1951" s="360"/>
      <c r="S1951" s="279"/>
      <c r="T1951" s="250"/>
      <c r="U1951" s="197"/>
      <c r="V1951" s="414"/>
      <c r="W1951" s="414"/>
      <c r="X1951" s="414"/>
      <c r="Y1951" s="264"/>
      <c r="Z1951" s="405"/>
      <c r="AA1951" s="252"/>
      <c r="AB1951" s="281"/>
      <c r="AC1951" s="223"/>
      <c r="AD1951" s="281"/>
      <c r="AE1951" s="494"/>
      <c r="AF1951" s="494"/>
      <c r="AG1951" s="305"/>
      <c r="AH1951" s="283"/>
      <c r="AI1951" s="296"/>
      <c r="AJ1951" s="348"/>
      <c r="AK1951" s="241">
        <v>4</v>
      </c>
      <c r="AL1951" s="175" t="s">
        <v>4197</v>
      </c>
      <c r="AM1951" s="139" t="s">
        <v>547</v>
      </c>
      <c r="AN1951" s="121"/>
      <c r="AO1951" s="3"/>
      <c r="AR1951" s="115"/>
    </row>
    <row r="1952" spans="1:46" ht="39" customHeight="1" x14ac:dyDescent="0.3">
      <c r="A1952" s="1468">
        <v>1951</v>
      </c>
      <c r="B1952" s="190"/>
      <c r="C1952" s="260" t="s">
        <v>356</v>
      </c>
      <c r="D1952" s="241"/>
      <c r="E1952" s="241"/>
      <c r="F1952" s="241"/>
      <c r="G1952" s="261" t="s">
        <v>631</v>
      </c>
      <c r="H1952" s="262" t="s">
        <v>87</v>
      </c>
      <c r="I1952" s="357" t="s">
        <v>632</v>
      </c>
      <c r="J1952" s="245" t="s">
        <v>561</v>
      </c>
      <c r="K1952" s="288" t="s">
        <v>4571</v>
      </c>
      <c r="L1952" s="277" t="s">
        <v>4641</v>
      </c>
      <c r="M1952" s="277" t="s">
        <v>4641</v>
      </c>
      <c r="N1952" s="366"/>
      <c r="O1952" s="1440" t="s">
        <v>4728</v>
      </c>
      <c r="P1952" s="402"/>
      <c r="Q1952" s="301" t="s">
        <v>87</v>
      </c>
      <c r="R1952" s="427" t="s">
        <v>4676</v>
      </c>
      <c r="S1952" s="279">
        <v>37929</v>
      </c>
      <c r="T1952" s="197"/>
      <c r="U1952" s="250"/>
      <c r="V1952" s="216"/>
      <c r="W1952" s="1440"/>
      <c r="X1952" s="1440"/>
      <c r="Y1952" s="288"/>
      <c r="Z1952" s="612"/>
      <c r="AA1952" s="246"/>
      <c r="AB1952" s="288" t="s">
        <v>4727</v>
      </c>
      <c r="AC1952" s="1440" t="s">
        <v>946</v>
      </c>
      <c r="AD1952" s="281" t="s">
        <v>467</v>
      </c>
      <c r="AE1952" s="494">
        <v>45238</v>
      </c>
      <c r="AF1952" s="494">
        <v>45603</v>
      </c>
      <c r="AG1952" s="241"/>
      <c r="AH1952" s="283"/>
      <c r="AI1952" s="254" t="s">
        <v>4208</v>
      </c>
      <c r="AJ1952" s="303" t="s">
        <v>136</v>
      </c>
      <c r="AK1952" s="241">
        <v>4</v>
      </c>
      <c r="AL1952" s="175" t="s">
        <v>4197</v>
      </c>
      <c r="AM1952" s="122" t="s">
        <v>547</v>
      </c>
      <c r="AN1952" s="121"/>
      <c r="AO1952" s="3"/>
      <c r="AR1952" s="115"/>
    </row>
    <row r="1953" spans="1:46" ht="39" customHeight="1" x14ac:dyDescent="0.3">
      <c r="A1953" s="1468">
        <v>1952</v>
      </c>
      <c r="B1953" s="190"/>
      <c r="C1953" s="503" t="s">
        <v>932</v>
      </c>
      <c r="D1953" s="471"/>
      <c r="E1953" s="471"/>
      <c r="F1953" s="471"/>
      <c r="G1953" s="472" t="s">
        <v>613</v>
      </c>
      <c r="H1953" s="262" t="s">
        <v>87</v>
      </c>
      <c r="I1953" s="473"/>
      <c r="J1953" s="245" t="s">
        <v>561</v>
      </c>
      <c r="K1953" s="257"/>
      <c r="L1953" s="301" t="s">
        <v>4055</v>
      </c>
      <c r="M1953" s="301" t="s">
        <v>4055</v>
      </c>
      <c r="N1953" s="366"/>
      <c r="O1953" s="1463" t="s">
        <v>4066</v>
      </c>
      <c r="P1953" s="402" t="s">
        <v>1828</v>
      </c>
      <c r="Q1953" s="344" t="s">
        <v>567</v>
      </c>
      <c r="R1953" s="982" t="s">
        <v>4579</v>
      </c>
      <c r="S1953" s="279">
        <v>28601</v>
      </c>
      <c r="T1953" s="197"/>
      <c r="U1953" s="251" t="s">
        <v>54</v>
      </c>
      <c r="V1953" s="197" t="s">
        <v>5955</v>
      </c>
      <c r="W1953" s="197" t="s">
        <v>70</v>
      </c>
      <c r="X1953" s="197" t="s">
        <v>71</v>
      </c>
      <c r="Y1953" s="949" t="s">
        <v>5964</v>
      </c>
      <c r="Z1953" s="612">
        <v>45312</v>
      </c>
      <c r="AA1953" s="246"/>
      <c r="AB1953" s="361"/>
      <c r="AC1953" s="223"/>
      <c r="AD1953" s="376"/>
      <c r="AE1953" s="494"/>
      <c r="AF1953" s="494"/>
      <c r="AG1953" s="241"/>
      <c r="AH1953" s="283"/>
      <c r="AI1953" s="254"/>
      <c r="AJ1953" s="348" t="s">
        <v>560</v>
      </c>
      <c r="AK1953" s="471">
        <v>4</v>
      </c>
      <c r="AL1953" s="175" t="s">
        <v>4197</v>
      </c>
      <c r="AM1953" s="749" t="s">
        <v>547</v>
      </c>
      <c r="AN1953" s="166"/>
      <c r="AO1953" s="875"/>
      <c r="AR1953" s="115"/>
    </row>
    <row r="1954" spans="1:46" s="827" customFormat="1" ht="39" customHeight="1" x14ac:dyDescent="0.3">
      <c r="A1954" s="1468">
        <v>1953</v>
      </c>
      <c r="B1954" s="190"/>
      <c r="C1954" s="324"/>
      <c r="D1954" s="664"/>
      <c r="E1954" s="664"/>
      <c r="F1954" s="664"/>
      <c r="G1954" s="227"/>
      <c r="H1954" s="228"/>
      <c r="I1954" s="228"/>
      <c r="J1954" s="229"/>
      <c r="K1954" s="227"/>
      <c r="L1954" s="229"/>
      <c r="M1954" s="229"/>
      <c r="N1954" s="229"/>
      <c r="O1954" s="309"/>
      <c r="P1954" s="230" t="s">
        <v>633</v>
      </c>
      <c r="Q1954" s="664"/>
      <c r="R1954" s="324"/>
      <c r="S1954" s="279"/>
      <c r="T1954" s="232"/>
      <c r="U1954" s="250"/>
      <c r="V1954" s="232"/>
      <c r="W1954" s="232"/>
      <c r="X1954" s="232"/>
      <c r="Y1954" s="232"/>
      <c r="Z1954" s="233"/>
      <c r="AA1954" s="234"/>
      <c r="AB1954" s="235"/>
      <c r="AC1954" s="236"/>
      <c r="AD1954" s="235"/>
      <c r="AE1954" s="494"/>
      <c r="AF1954" s="494"/>
      <c r="AG1954" s="664"/>
      <c r="AH1954" s="238"/>
      <c r="AI1954" s="239"/>
      <c r="AJ1954" s="576"/>
      <c r="AK1954" s="664"/>
      <c r="AL1954" s="113"/>
      <c r="AM1954" s="113"/>
      <c r="AN1954" s="748"/>
      <c r="AO1954" s="750"/>
      <c r="AP1954" s="192"/>
      <c r="AQ1954" s="192"/>
      <c r="AR1954" s="192"/>
      <c r="AS1954" s="192"/>
      <c r="AT1954" s="192"/>
    </row>
    <row r="1955" spans="1:46" ht="39" customHeight="1" x14ac:dyDescent="0.3">
      <c r="A1955" s="1468">
        <v>1954</v>
      </c>
      <c r="B1955" s="1105">
        <v>10</v>
      </c>
      <c r="C1955" s="259" t="s">
        <v>305</v>
      </c>
      <c r="D1955" s="241"/>
      <c r="E1955" s="242" t="s">
        <v>47</v>
      </c>
      <c r="F1955" s="241"/>
      <c r="G1955" s="243" t="s">
        <v>546</v>
      </c>
      <c r="H1955" s="244" t="s">
        <v>83</v>
      </c>
      <c r="I1955" s="340"/>
      <c r="J1955" s="245">
        <v>302</v>
      </c>
      <c r="K1955" s="197" t="s">
        <v>50</v>
      </c>
      <c r="L1955" s="281" t="s">
        <v>2386</v>
      </c>
      <c r="M1955" s="281" t="s">
        <v>2386</v>
      </c>
      <c r="N1955" s="245"/>
      <c r="O1955" s="1476" t="s">
        <v>3221</v>
      </c>
      <c r="P1955" s="247"/>
      <c r="Q1955" s="338" t="s">
        <v>119</v>
      </c>
      <c r="R1955" s="990" t="s">
        <v>2358</v>
      </c>
      <c r="S1955" s="279">
        <v>36152</v>
      </c>
      <c r="T1955" s="197"/>
      <c r="U1955" s="251" t="s">
        <v>54</v>
      </c>
      <c r="V1955" s="282" t="s">
        <v>5415</v>
      </c>
      <c r="W1955" s="197" t="s">
        <v>56</v>
      </c>
      <c r="X1955" s="197" t="s">
        <v>57</v>
      </c>
      <c r="Y1955" s="197" t="s">
        <v>5439</v>
      </c>
      <c r="Z1955" s="327">
        <v>45267</v>
      </c>
      <c r="AA1955" s="246"/>
      <c r="AB1955" s="281"/>
      <c r="AC1955" s="223"/>
      <c r="AD1955" s="281"/>
      <c r="AE1955" s="494"/>
      <c r="AF1955" s="494"/>
      <c r="AG1955" s="282"/>
      <c r="AH1955" s="283"/>
      <c r="AI1955" s="296"/>
      <c r="AJ1955" s="255" t="s">
        <v>62</v>
      </c>
      <c r="AK1955" s="242">
        <v>1</v>
      </c>
      <c r="AL1955" s="123" t="s">
        <v>4207</v>
      </c>
      <c r="AM1955" s="123" t="s">
        <v>547</v>
      </c>
      <c r="AN1955" s="121"/>
      <c r="AO1955" s="3"/>
      <c r="AR1955" s="115"/>
    </row>
    <row r="1956" spans="1:46" s="827" customFormat="1" ht="39" customHeight="1" x14ac:dyDescent="0.3">
      <c r="A1956" s="1468">
        <v>1955</v>
      </c>
      <c r="B1956" s="190"/>
      <c r="C1956" s="324"/>
      <c r="D1956" s="664"/>
      <c r="E1956" s="664"/>
      <c r="F1956" s="664"/>
      <c r="G1956" s="227"/>
      <c r="H1956" s="228"/>
      <c r="I1956" s="228"/>
      <c r="J1956" s="229"/>
      <c r="K1956" s="227"/>
      <c r="L1956" s="229"/>
      <c r="M1956" s="229"/>
      <c r="N1956" s="229"/>
      <c r="O1956" s="309"/>
      <c r="P1956" s="230" t="s">
        <v>634</v>
      </c>
      <c r="Q1956" s="664"/>
      <c r="R1956" s="324"/>
      <c r="S1956" s="279"/>
      <c r="T1956" s="232"/>
      <c r="U1956" s="250"/>
      <c r="V1956" s="232"/>
      <c r="W1956" s="232"/>
      <c r="X1956" s="232"/>
      <c r="Y1956" s="232"/>
      <c r="Z1956" s="233"/>
      <c r="AA1956" s="234"/>
      <c r="AB1956" s="235"/>
      <c r="AC1956" s="236"/>
      <c r="AD1956" s="235"/>
      <c r="AE1956" s="494"/>
      <c r="AF1956" s="494"/>
      <c r="AG1956" s="664"/>
      <c r="AH1956" s="238"/>
      <c r="AI1956" s="239"/>
      <c r="AJ1956" s="576"/>
      <c r="AK1956" s="664"/>
      <c r="AL1956" s="113"/>
      <c r="AM1956" s="113"/>
      <c r="AN1956" s="748"/>
      <c r="AO1956" s="750"/>
      <c r="AP1956" s="192"/>
      <c r="AQ1956" s="192"/>
      <c r="AR1956" s="192"/>
      <c r="AS1956" s="192"/>
      <c r="AT1956" s="192"/>
    </row>
    <row r="1957" spans="1:46" ht="39" customHeight="1" x14ac:dyDescent="0.3">
      <c r="A1957" s="1468">
        <v>1956</v>
      </c>
      <c r="B1957" s="161">
        <v>5</v>
      </c>
      <c r="C1957" s="944" t="s">
        <v>635</v>
      </c>
      <c r="D1957" s="894"/>
      <c r="E1957" s="498" t="s">
        <v>47</v>
      </c>
      <c r="F1957" s="894"/>
      <c r="G1957" s="895" t="s">
        <v>636</v>
      </c>
      <c r="H1957" s="896" t="s">
        <v>132</v>
      </c>
      <c r="I1957" s="863" t="s">
        <v>624</v>
      </c>
      <c r="J1957" s="256">
        <v>403</v>
      </c>
      <c r="K1957" s="277"/>
      <c r="L1957" s="441"/>
      <c r="M1957" s="441"/>
      <c r="N1957" s="277"/>
      <c r="O1957" s="277"/>
      <c r="P1957" s="720"/>
      <c r="Q1957" s="709"/>
      <c r="R1957" s="683" t="s">
        <v>66</v>
      </c>
      <c r="S1957" s="279"/>
      <c r="T1957" s="443"/>
      <c r="U1957" s="250"/>
      <c r="V1957" s="280"/>
      <c r="W1957" s="280"/>
      <c r="X1957" s="280"/>
      <c r="Y1957" s="280"/>
      <c r="Z1957" s="486"/>
      <c r="AA1957" s="452"/>
      <c r="AB1957" s="441"/>
      <c r="AC1957" s="488"/>
      <c r="AD1957" s="441"/>
      <c r="AE1957" s="494"/>
      <c r="AF1957" s="494"/>
      <c r="AG1957" s="476"/>
      <c r="AH1957" s="489"/>
      <c r="AI1957" s="721"/>
      <c r="AJ1957" s="491"/>
      <c r="AK1957" s="491">
        <v>3</v>
      </c>
      <c r="AL1957" s="123" t="s">
        <v>4207</v>
      </c>
      <c r="AM1957" s="177" t="s">
        <v>547</v>
      </c>
      <c r="AN1957" s="169"/>
      <c r="AO1957" s="878"/>
      <c r="AR1957" s="115"/>
    </row>
    <row r="1958" spans="1:46" ht="39" customHeight="1" x14ac:dyDescent="0.3">
      <c r="A1958" s="1468">
        <v>1957</v>
      </c>
      <c r="B1958" s="190"/>
      <c r="C1958" s="260" t="s">
        <v>637</v>
      </c>
      <c r="D1958" s="241"/>
      <c r="E1958" s="241"/>
      <c r="F1958" s="241"/>
      <c r="G1958" s="261" t="s">
        <v>638</v>
      </c>
      <c r="H1958" s="262" t="s">
        <v>85</v>
      </c>
      <c r="I1958" s="357" t="s">
        <v>639</v>
      </c>
      <c r="J1958" s="245" t="s">
        <v>556</v>
      </c>
      <c r="K1958" s="216"/>
      <c r="L1958" s="301" t="s">
        <v>1432</v>
      </c>
      <c r="M1958" s="281" t="s">
        <v>2869</v>
      </c>
      <c r="N1958" s="245"/>
      <c r="O1958" s="392" t="s">
        <v>2955</v>
      </c>
      <c r="P1958" s="372"/>
      <c r="Q1958" s="281" t="s">
        <v>293</v>
      </c>
      <c r="R1958" s="682" t="s">
        <v>1434</v>
      </c>
      <c r="S1958" s="279"/>
      <c r="T1958" s="197"/>
      <c r="U1958" s="250" t="s">
        <v>178</v>
      </c>
      <c r="V1958" s="246" t="s">
        <v>6163</v>
      </c>
      <c r="W1958" s="197" t="s">
        <v>1955</v>
      </c>
      <c r="X1958" s="197" t="s">
        <v>5845</v>
      </c>
      <c r="Y1958" s="197" t="s">
        <v>6162</v>
      </c>
      <c r="Z1958" s="246">
        <v>45324</v>
      </c>
      <c r="AA1958" s="246">
        <v>45333</v>
      </c>
      <c r="AB1958" s="288" t="s">
        <v>4366</v>
      </c>
      <c r="AC1958" s="223" t="s">
        <v>946</v>
      </c>
      <c r="AD1958" s="281"/>
      <c r="AE1958" s="494">
        <v>45091</v>
      </c>
      <c r="AF1958" s="494">
        <v>45456</v>
      </c>
      <c r="AG1958" s="241"/>
      <c r="AH1958" s="283"/>
      <c r="AI1958" s="296" t="s">
        <v>1351</v>
      </c>
      <c r="AJ1958" s="303" t="s">
        <v>136</v>
      </c>
      <c r="AK1958" s="241">
        <v>4</v>
      </c>
      <c r="AL1958" s="123" t="s">
        <v>4207</v>
      </c>
      <c r="AM1958" s="122" t="s">
        <v>547</v>
      </c>
      <c r="AN1958" s="121"/>
      <c r="AO1958" s="3"/>
      <c r="AR1958" s="115"/>
    </row>
    <row r="1959" spans="1:46" ht="39" customHeight="1" x14ac:dyDescent="0.3">
      <c r="A1959" s="1468">
        <v>1958</v>
      </c>
      <c r="B1959" s="190"/>
      <c r="C1959" s="260" t="s">
        <v>621</v>
      </c>
      <c r="D1959" s="241"/>
      <c r="E1959" s="241"/>
      <c r="F1959" s="241"/>
      <c r="G1959" s="261" t="s">
        <v>300</v>
      </c>
      <c r="H1959" s="262" t="s">
        <v>87</v>
      </c>
      <c r="I1959" s="364"/>
      <c r="J1959" s="245" t="s">
        <v>561</v>
      </c>
      <c r="K1959" s="288" t="s">
        <v>313</v>
      </c>
      <c r="L1959" s="277" t="s">
        <v>4641</v>
      </c>
      <c r="M1959" s="277" t="s">
        <v>4641</v>
      </c>
      <c r="N1959" s="450"/>
      <c r="O1959" s="265" t="s">
        <v>4682</v>
      </c>
      <c r="P1959" s="450"/>
      <c r="Q1959" s="301" t="s">
        <v>293</v>
      </c>
      <c r="R1959" s="572" t="s">
        <v>4664</v>
      </c>
      <c r="S1959" s="279">
        <v>37879</v>
      </c>
      <c r="T1959" s="289"/>
      <c r="U1959" s="250"/>
      <c r="V1959" s="216"/>
      <c r="W1959" s="1439"/>
      <c r="X1959" s="1439"/>
      <c r="Y1959" s="288"/>
      <c r="Z1959" s="612"/>
      <c r="AA1959" s="246"/>
      <c r="AB1959" s="288" t="s">
        <v>4681</v>
      </c>
      <c r="AC1959" s="1439" t="s">
        <v>946</v>
      </c>
      <c r="AD1959" s="281" t="s">
        <v>467</v>
      </c>
      <c r="AE1959" s="494">
        <v>45237</v>
      </c>
      <c r="AF1959" s="494">
        <v>45602</v>
      </c>
      <c r="AG1959" s="305"/>
      <c r="AH1959" s="283"/>
      <c r="AI1959" s="254" t="s">
        <v>4208</v>
      </c>
      <c r="AJ1959" s="303" t="s">
        <v>136</v>
      </c>
      <c r="AK1959" s="241">
        <v>4</v>
      </c>
      <c r="AL1959" s="123" t="s">
        <v>4207</v>
      </c>
      <c r="AM1959" s="122" t="s">
        <v>547</v>
      </c>
      <c r="AN1959" s="121"/>
      <c r="AO1959" s="3"/>
      <c r="AR1959" s="115"/>
    </row>
    <row r="1960" spans="1:46" ht="39" customHeight="1" x14ac:dyDescent="0.3">
      <c r="A1960" s="1468">
        <v>1959</v>
      </c>
      <c r="B1960" s="190"/>
      <c r="C1960" s="549" t="s">
        <v>625</v>
      </c>
      <c r="D1960" s="471" t="s">
        <v>134</v>
      </c>
      <c r="E1960" s="471"/>
      <c r="F1960" s="471"/>
      <c r="G1960" s="472" t="s">
        <v>626</v>
      </c>
      <c r="H1960" s="262" t="s">
        <v>87</v>
      </c>
      <c r="I1960" s="473"/>
      <c r="J1960" s="245" t="s">
        <v>561</v>
      </c>
      <c r="K1960" s="288" t="s">
        <v>158</v>
      </c>
      <c r="L1960" s="263" t="s">
        <v>3678</v>
      </c>
      <c r="M1960" s="263" t="s">
        <v>3678</v>
      </c>
      <c r="N1960" s="281" t="s">
        <v>4217</v>
      </c>
      <c r="O1960" s="392" t="s">
        <v>3891</v>
      </c>
      <c r="P1960" s="300"/>
      <c r="Q1960" s="380" t="s">
        <v>87</v>
      </c>
      <c r="R1960" s="1192" t="s">
        <v>4849</v>
      </c>
      <c r="S1960" s="279">
        <v>38125</v>
      </c>
      <c r="T1960" s="289"/>
      <c r="U1960" s="250"/>
      <c r="V1960" s="595"/>
      <c r="W1960" s="1389"/>
      <c r="X1960" s="1389"/>
      <c r="Y1960" s="197"/>
      <c r="Z1960" s="246"/>
      <c r="AA1960" s="289"/>
      <c r="AB1960" s="288" t="s">
        <v>4247</v>
      </c>
      <c r="AC1960" s="223" t="s">
        <v>946</v>
      </c>
      <c r="AD1960" s="299" t="s">
        <v>467</v>
      </c>
      <c r="AE1960" s="494">
        <v>45103</v>
      </c>
      <c r="AF1960" s="494">
        <v>45468</v>
      </c>
      <c r="AG1960" s="299"/>
      <c r="AH1960" s="299"/>
      <c r="AI1960" s="296" t="s">
        <v>1351</v>
      </c>
      <c r="AJ1960" s="303" t="s">
        <v>136</v>
      </c>
      <c r="AK1960" s="471">
        <v>4</v>
      </c>
      <c r="AL1960" s="123" t="s">
        <v>4207</v>
      </c>
      <c r="AM1960" s="749" t="s">
        <v>547</v>
      </c>
      <c r="AN1960" s="166" t="s">
        <v>1384</v>
      </c>
      <c r="AO1960" s="875"/>
      <c r="AR1960" s="115"/>
      <c r="AS1960" s="115"/>
      <c r="AT1960" s="115"/>
    </row>
    <row r="1961" spans="1:46" s="827" customFormat="1" ht="39" customHeight="1" x14ac:dyDescent="0.3">
      <c r="A1961" s="1468">
        <v>1960</v>
      </c>
      <c r="B1961" s="190"/>
      <c r="C1961" s="324"/>
      <c r="D1961" s="664"/>
      <c r="E1961" s="664"/>
      <c r="F1961" s="664"/>
      <c r="G1961" s="227"/>
      <c r="H1961" s="228"/>
      <c r="I1961" s="228"/>
      <c r="J1961" s="229"/>
      <c r="K1961" s="227"/>
      <c r="L1961" s="229"/>
      <c r="M1961" s="229"/>
      <c r="N1961" s="229"/>
      <c r="O1961" s="309"/>
      <c r="P1961" s="230" t="s">
        <v>640</v>
      </c>
      <c r="Q1961" s="664"/>
      <c r="R1961" s="324"/>
      <c r="S1961" s="279"/>
      <c r="T1961" s="232"/>
      <c r="U1961" s="250"/>
      <c r="V1961" s="232"/>
      <c r="W1961" s="232"/>
      <c r="X1961" s="232"/>
      <c r="Y1961" s="232"/>
      <c r="Z1961" s="233"/>
      <c r="AA1961" s="234"/>
      <c r="AB1961" s="235"/>
      <c r="AC1961" s="236"/>
      <c r="AD1961" s="235"/>
      <c r="AE1961" s="494"/>
      <c r="AF1961" s="494"/>
      <c r="AG1961" s="664"/>
      <c r="AH1961" s="238"/>
      <c r="AI1961" s="239"/>
      <c r="AJ1961" s="576"/>
      <c r="AK1961" s="664"/>
      <c r="AL1961" s="113"/>
      <c r="AM1961" s="113"/>
      <c r="AN1961" s="748"/>
      <c r="AO1961" s="750"/>
      <c r="AP1961" s="192"/>
      <c r="AQ1961" s="192"/>
      <c r="AR1961" s="192"/>
      <c r="AS1961" s="192"/>
      <c r="AT1961" s="192"/>
    </row>
    <row r="1962" spans="1:46" ht="39" customHeight="1" x14ac:dyDescent="0.3">
      <c r="A1962" s="1468">
        <v>1961</v>
      </c>
      <c r="B1962" s="190"/>
      <c r="C1962" s="944" t="s">
        <v>374</v>
      </c>
      <c r="D1962" s="894"/>
      <c r="E1962" s="498" t="s">
        <v>47</v>
      </c>
      <c r="F1962" s="894"/>
      <c r="G1962" s="895" t="s">
        <v>641</v>
      </c>
      <c r="H1962" s="896" t="s">
        <v>132</v>
      </c>
      <c r="I1962" s="863" t="s">
        <v>642</v>
      </c>
      <c r="J1962" s="256">
        <v>403</v>
      </c>
      <c r="K1962" s="277"/>
      <c r="L1962" s="441"/>
      <c r="M1962" s="441"/>
      <c r="N1962" s="443"/>
      <c r="O1962" s="277"/>
      <c r="P1962" s="887"/>
      <c r="Q1962" s="709"/>
      <c r="R1962" s="683" t="s">
        <v>66</v>
      </c>
      <c r="S1962" s="279"/>
      <c r="T1962" s="443"/>
      <c r="U1962" s="250"/>
      <c r="V1962" s="398"/>
      <c r="W1962" s="280"/>
      <c r="X1962" s="280"/>
      <c r="Y1962" s="280"/>
      <c r="Z1962" s="398"/>
      <c r="AA1962" s="486"/>
      <c r="AB1962" s="487"/>
      <c r="AC1962" s="488"/>
      <c r="AD1962" s="441"/>
      <c r="AE1962" s="494"/>
      <c r="AF1962" s="494"/>
      <c r="AG1962" s="476"/>
      <c r="AH1962" s="489"/>
      <c r="AI1962" s="760"/>
      <c r="AJ1962" s="491"/>
      <c r="AK1962" s="498">
        <v>3</v>
      </c>
      <c r="AL1962" s="123" t="s">
        <v>4207</v>
      </c>
      <c r="AM1962" s="177" t="s">
        <v>547</v>
      </c>
      <c r="AN1962" s="169"/>
      <c r="AO1962" s="878"/>
      <c r="AR1962" s="115"/>
    </row>
    <row r="1963" spans="1:46" ht="39" customHeight="1" x14ac:dyDescent="0.3">
      <c r="A1963" s="1468">
        <v>1962</v>
      </c>
      <c r="B1963" s="190"/>
      <c r="C1963" s="260" t="s">
        <v>643</v>
      </c>
      <c r="D1963" s="241"/>
      <c r="E1963" s="241"/>
      <c r="F1963" s="241"/>
      <c r="G1963" s="261" t="s">
        <v>644</v>
      </c>
      <c r="H1963" s="262" t="s">
        <v>87</v>
      </c>
      <c r="I1963" s="357" t="s">
        <v>639</v>
      </c>
      <c r="J1963" s="245" t="s">
        <v>561</v>
      </c>
      <c r="K1963" s="288" t="s">
        <v>313</v>
      </c>
      <c r="L1963" s="216" t="s">
        <v>4641</v>
      </c>
      <c r="M1963" s="216" t="s">
        <v>4641</v>
      </c>
      <c r="N1963" s="305"/>
      <c r="O1963" s="1457" t="s">
        <v>4704</v>
      </c>
      <c r="P1963" s="305"/>
      <c r="Q1963" s="301" t="s">
        <v>293</v>
      </c>
      <c r="R1963" s="381" t="s">
        <v>4665</v>
      </c>
      <c r="S1963" s="279">
        <v>37879</v>
      </c>
      <c r="T1963" s="595"/>
      <c r="U1963" s="250"/>
      <c r="V1963" s="216"/>
      <c r="W1963" s="1457"/>
      <c r="X1963" s="1457"/>
      <c r="Y1963" s="288"/>
      <c r="Z1963" s="612"/>
      <c r="AA1963" s="595"/>
      <c r="AB1963" s="288" t="s">
        <v>4705</v>
      </c>
      <c r="AC1963" s="1457" t="s">
        <v>946</v>
      </c>
      <c r="AD1963" s="281" t="s">
        <v>467</v>
      </c>
      <c r="AE1963" s="494">
        <v>45237</v>
      </c>
      <c r="AF1963" s="494">
        <v>45602</v>
      </c>
      <c r="AG1963" s="595"/>
      <c r="AH1963" s="595"/>
      <c r="AI1963" s="254" t="s">
        <v>4208</v>
      </c>
      <c r="AJ1963" s="303" t="s">
        <v>136</v>
      </c>
      <c r="AK1963" s="241">
        <v>4</v>
      </c>
      <c r="AL1963" s="123" t="s">
        <v>4207</v>
      </c>
      <c r="AM1963" s="122" t="s">
        <v>547</v>
      </c>
      <c r="AN1963" s="121"/>
      <c r="AO1963" s="3"/>
      <c r="AR1963" s="115"/>
    </row>
    <row r="1964" spans="1:46" ht="39" customHeight="1" x14ac:dyDescent="0.3">
      <c r="A1964" s="1468">
        <v>1963</v>
      </c>
      <c r="B1964" s="190"/>
      <c r="C1964" s="378" t="s">
        <v>621</v>
      </c>
      <c r="D1964" s="303"/>
      <c r="E1964" s="241"/>
      <c r="F1964" s="241"/>
      <c r="G1964" s="629" t="s">
        <v>300</v>
      </c>
      <c r="H1964" s="262" t="s">
        <v>87</v>
      </c>
      <c r="I1964" s="364"/>
      <c r="J1964" s="245" t="s">
        <v>561</v>
      </c>
      <c r="K1964" s="216"/>
      <c r="L1964" s="288" t="s">
        <v>2444</v>
      </c>
      <c r="M1964" s="288" t="s">
        <v>2444</v>
      </c>
      <c r="N1964" s="366"/>
      <c r="O1964" s="392" t="s">
        <v>3147</v>
      </c>
      <c r="P1964" s="402"/>
      <c r="Q1964" s="301" t="s">
        <v>87</v>
      </c>
      <c r="R1964" s="381" t="s">
        <v>5170</v>
      </c>
      <c r="S1964" s="279"/>
      <c r="T1964" s="197"/>
      <c r="U1964" s="250"/>
      <c r="V1964" s="306"/>
      <c r="W1964" s="250"/>
      <c r="X1964" s="250"/>
      <c r="Y1964" s="197"/>
      <c r="Z1964" s="246"/>
      <c r="AA1964" s="246"/>
      <c r="AB1964" s="361"/>
      <c r="AC1964" s="223" t="s">
        <v>946</v>
      </c>
      <c r="AD1964" s="376"/>
      <c r="AE1964" s="494"/>
      <c r="AF1964" s="494"/>
      <c r="AG1964" s="241"/>
      <c r="AH1964" s="283"/>
      <c r="AI1964" s="254" t="s">
        <v>1351</v>
      </c>
      <c r="AJ1964" s="303" t="s">
        <v>136</v>
      </c>
      <c r="AK1964" s="241">
        <v>4</v>
      </c>
      <c r="AL1964" s="123" t="s">
        <v>4207</v>
      </c>
      <c r="AM1964" s="122" t="s">
        <v>547</v>
      </c>
      <c r="AN1964" s="121"/>
      <c r="AO1964" s="3"/>
      <c r="AR1964" s="115"/>
    </row>
    <row r="1965" spans="1:46" ht="39" customHeight="1" x14ac:dyDescent="0.3">
      <c r="A1965" s="1468">
        <v>1964</v>
      </c>
      <c r="B1965" s="161">
        <v>2</v>
      </c>
      <c r="C1965" s="504" t="s">
        <v>360</v>
      </c>
      <c r="D1965" s="471"/>
      <c r="E1965" s="471"/>
      <c r="F1965" s="471"/>
      <c r="G1965" s="472" t="s">
        <v>354</v>
      </c>
      <c r="H1965" s="262" t="s">
        <v>87</v>
      </c>
      <c r="I1965" s="473" t="s">
        <v>361</v>
      </c>
      <c r="J1965" s="245" t="s">
        <v>561</v>
      </c>
      <c r="K1965" s="197"/>
      <c r="L1965" s="288" t="s">
        <v>2444</v>
      </c>
      <c r="M1965" s="288" t="s">
        <v>2444</v>
      </c>
      <c r="N1965" s="245"/>
      <c r="O1965" s="392" t="s">
        <v>2980</v>
      </c>
      <c r="P1965" s="247"/>
      <c r="Q1965" s="197" t="s">
        <v>87</v>
      </c>
      <c r="R1965" s="302" t="s">
        <v>2310</v>
      </c>
      <c r="S1965" s="279"/>
      <c r="T1965" s="250"/>
      <c r="U1965" s="250"/>
      <c r="V1965" s="595"/>
      <c r="W1965" s="1389"/>
      <c r="X1965" s="1389"/>
      <c r="Y1965" s="197"/>
      <c r="Z1965" s="246"/>
      <c r="AA1965" s="246"/>
      <c r="AB1965" s="281"/>
      <c r="AC1965" s="223" t="s">
        <v>946</v>
      </c>
      <c r="AD1965" s="281"/>
      <c r="AE1965" s="494"/>
      <c r="AF1965" s="494"/>
      <c r="AG1965" s="282"/>
      <c r="AH1965" s="282"/>
      <c r="AI1965" s="254" t="s">
        <v>1351</v>
      </c>
      <c r="AJ1965" s="303" t="s">
        <v>136</v>
      </c>
      <c r="AK1965" s="471">
        <v>4</v>
      </c>
      <c r="AL1965" s="123" t="s">
        <v>4207</v>
      </c>
      <c r="AM1965" s="749" t="s">
        <v>547</v>
      </c>
      <c r="AN1965" s="166" t="s">
        <v>5764</v>
      </c>
      <c r="AO1965" s="875"/>
      <c r="AR1965" s="115"/>
      <c r="AS1965" s="115"/>
      <c r="AT1965" s="115"/>
    </row>
    <row r="1966" spans="1:46" s="827" customFormat="1" ht="39" customHeight="1" x14ac:dyDescent="0.3">
      <c r="A1966" s="1468">
        <v>1965</v>
      </c>
      <c r="B1966" s="190"/>
      <c r="C1966" s="324"/>
      <c r="D1966" s="664"/>
      <c r="E1966" s="664"/>
      <c r="F1966" s="664"/>
      <c r="G1966" s="227"/>
      <c r="H1966" s="228"/>
      <c r="I1966" s="228"/>
      <c r="J1966" s="229"/>
      <c r="K1966" s="227"/>
      <c r="L1966" s="229"/>
      <c r="M1966" s="229"/>
      <c r="N1966" s="229"/>
      <c r="O1966" s="309"/>
      <c r="P1966" s="230" t="s">
        <v>645</v>
      </c>
      <c r="Q1966" s="664"/>
      <c r="R1966" s="324"/>
      <c r="S1966" s="279"/>
      <c r="T1966" s="232"/>
      <c r="U1966" s="250"/>
      <c r="V1966" s="232"/>
      <c r="W1966" s="232"/>
      <c r="X1966" s="232"/>
      <c r="Y1966" s="232"/>
      <c r="Z1966" s="233"/>
      <c r="AA1966" s="234"/>
      <c r="AB1966" s="235"/>
      <c r="AC1966" s="236"/>
      <c r="AD1966" s="235"/>
      <c r="AE1966" s="494"/>
      <c r="AF1966" s="494"/>
      <c r="AG1966" s="664"/>
      <c r="AH1966" s="238"/>
      <c r="AI1966" s="239"/>
      <c r="AJ1966" s="576"/>
      <c r="AK1966" s="664"/>
      <c r="AL1966" s="113"/>
      <c r="AM1966" s="113"/>
      <c r="AN1966" s="748"/>
      <c r="AO1966" s="750"/>
      <c r="AP1966" s="192"/>
      <c r="AQ1966" s="192"/>
      <c r="AR1966" s="192"/>
      <c r="AS1966" s="192"/>
      <c r="AT1966" s="192"/>
    </row>
    <row r="1967" spans="1:46" ht="39" customHeight="1" x14ac:dyDescent="0.3">
      <c r="A1967" s="1468">
        <v>1966</v>
      </c>
      <c r="B1967" s="190"/>
      <c r="C1967" s="793" t="s">
        <v>339</v>
      </c>
      <c r="D1967" s="476"/>
      <c r="E1967" s="442" t="s">
        <v>47</v>
      </c>
      <c r="F1967" s="476"/>
      <c r="G1967" s="757" t="s">
        <v>166</v>
      </c>
      <c r="H1967" s="868" t="s">
        <v>78</v>
      </c>
      <c r="I1967" s="870"/>
      <c r="J1967" s="245">
        <v>300</v>
      </c>
      <c r="K1967" s="277" t="s">
        <v>50</v>
      </c>
      <c r="L1967" s="441" t="s">
        <v>1237</v>
      </c>
      <c r="M1967" s="441" t="s">
        <v>215</v>
      </c>
      <c r="N1967" s="441"/>
      <c r="O1967" s="277" t="s">
        <v>1238</v>
      </c>
      <c r="P1967" s="484"/>
      <c r="Q1967" s="728" t="s">
        <v>119</v>
      </c>
      <c r="R1967" s="1167" t="s">
        <v>2027</v>
      </c>
      <c r="S1967" s="279">
        <v>36418</v>
      </c>
      <c r="T1967" s="398"/>
      <c r="U1967" s="251" t="s">
        <v>54</v>
      </c>
      <c r="V1967" s="280" t="s">
        <v>4214</v>
      </c>
      <c r="W1967" s="280" t="s">
        <v>56</v>
      </c>
      <c r="X1967" s="280" t="s">
        <v>57</v>
      </c>
      <c r="Y1967" s="280" t="s">
        <v>4350</v>
      </c>
      <c r="Z1967" s="486">
        <v>45236</v>
      </c>
      <c r="AA1967" s="588"/>
      <c r="AB1967" s="487" t="s">
        <v>1239</v>
      </c>
      <c r="AC1967" s="488" t="s">
        <v>946</v>
      </c>
      <c r="AD1967" s="487" t="s">
        <v>1240</v>
      </c>
      <c r="AE1967" s="494"/>
      <c r="AF1967" s="494"/>
      <c r="AG1967" s="487" t="s">
        <v>61</v>
      </c>
      <c r="AH1967" s="489"/>
      <c r="AI1967" s="490"/>
      <c r="AJ1967" s="755" t="s">
        <v>62</v>
      </c>
      <c r="AK1967" s="442">
        <v>1</v>
      </c>
      <c r="AL1967" s="175" t="s">
        <v>4198</v>
      </c>
      <c r="AM1967" s="175" t="s">
        <v>646</v>
      </c>
      <c r="AN1967" s="169"/>
      <c r="AO1967" s="878"/>
      <c r="AR1967" s="115"/>
    </row>
    <row r="1968" spans="1:46" ht="39" customHeight="1" x14ac:dyDescent="0.3">
      <c r="A1968" s="1468">
        <v>1967</v>
      </c>
      <c r="B1968" s="190"/>
      <c r="C1968" s="773" t="s">
        <v>284</v>
      </c>
      <c r="D1968" s="471"/>
      <c r="E1968" s="774" t="s">
        <v>47</v>
      </c>
      <c r="F1968" s="471"/>
      <c r="G1968" s="775" t="s">
        <v>285</v>
      </c>
      <c r="H1968" s="776" t="s">
        <v>283</v>
      </c>
      <c r="I1968" s="777"/>
      <c r="J1968" s="281">
        <v>410</v>
      </c>
      <c r="K1968" s="265"/>
      <c r="L1968" s="438"/>
      <c r="M1968" s="438"/>
      <c r="N1968" s="264"/>
      <c r="O1968" s="392" t="s">
        <v>3222</v>
      </c>
      <c r="P1968" s="266"/>
      <c r="Q1968" s="778" t="s">
        <v>153</v>
      </c>
      <c r="R1968" s="1180" t="s">
        <v>1241</v>
      </c>
      <c r="S1968" s="279">
        <v>37280</v>
      </c>
      <c r="T1968" s="414"/>
      <c r="U1968" s="251" t="s">
        <v>54</v>
      </c>
      <c r="V1968" s="280" t="s">
        <v>4214</v>
      </c>
      <c r="W1968" s="280" t="s">
        <v>56</v>
      </c>
      <c r="X1968" s="280" t="s">
        <v>57</v>
      </c>
      <c r="Y1968" s="280" t="s">
        <v>4350</v>
      </c>
      <c r="Z1968" s="486">
        <v>45236</v>
      </c>
      <c r="AA1968" s="405"/>
      <c r="AB1968" s="438"/>
      <c r="AC1968" s="474" t="s">
        <v>946</v>
      </c>
      <c r="AD1968" s="438"/>
      <c r="AE1968" s="494"/>
      <c r="AF1968" s="494"/>
      <c r="AG1968" s="481" t="s">
        <v>61</v>
      </c>
      <c r="AH1968" s="585"/>
      <c r="AI1968" s="586"/>
      <c r="AJ1968" s="779" t="s">
        <v>47</v>
      </c>
      <c r="AK1968" s="774">
        <v>2</v>
      </c>
      <c r="AL1968" s="175" t="s">
        <v>4198</v>
      </c>
      <c r="AM1968" s="780" t="s">
        <v>646</v>
      </c>
      <c r="AN1968" s="166"/>
      <c r="AO1968" s="875"/>
      <c r="AR1968" s="115"/>
    </row>
    <row r="1969" spans="1:46" s="827" customFormat="1" ht="39" customHeight="1" x14ac:dyDescent="0.3">
      <c r="A1969" s="1468">
        <v>1968</v>
      </c>
      <c r="B1969" s="190"/>
      <c r="C1969" s="324"/>
      <c r="D1969" s="664"/>
      <c r="E1969" s="664"/>
      <c r="F1969" s="664"/>
      <c r="G1969" s="227"/>
      <c r="H1969" s="228"/>
      <c r="I1969" s="228"/>
      <c r="J1969" s="229"/>
      <c r="K1969" s="227"/>
      <c r="L1969" s="229"/>
      <c r="M1969" s="229"/>
      <c r="N1969" s="229"/>
      <c r="O1969" s="309"/>
      <c r="P1969" s="230" t="s">
        <v>647</v>
      </c>
      <c r="Q1969" s="664"/>
      <c r="R1969" s="324"/>
      <c r="S1969" s="279"/>
      <c r="T1969" s="232"/>
      <c r="U1969" s="250"/>
      <c r="V1969" s="232"/>
      <c r="W1969" s="232"/>
      <c r="X1969" s="232"/>
      <c r="Y1969" s="232"/>
      <c r="Z1969" s="233"/>
      <c r="AA1969" s="234"/>
      <c r="AB1969" s="235"/>
      <c r="AC1969" s="236"/>
      <c r="AD1969" s="235"/>
      <c r="AE1969" s="494"/>
      <c r="AF1969" s="494"/>
      <c r="AG1969" s="664"/>
      <c r="AH1969" s="238"/>
      <c r="AI1969" s="239"/>
      <c r="AJ1969" s="576"/>
      <c r="AK1969" s="664"/>
      <c r="AL1969" s="113"/>
      <c r="AM1969" s="113"/>
      <c r="AN1969" s="748"/>
      <c r="AO1969" s="750"/>
      <c r="AP1969" s="192"/>
      <c r="AQ1969" s="192"/>
      <c r="AR1969" s="192"/>
      <c r="AS1969" s="192"/>
      <c r="AT1969" s="192"/>
    </row>
    <row r="1970" spans="1:46" ht="39" customHeight="1" x14ac:dyDescent="0.3">
      <c r="A1970" s="1468">
        <v>1969</v>
      </c>
      <c r="B1970" s="190"/>
      <c r="C1970" s="793" t="s">
        <v>305</v>
      </c>
      <c r="D1970" s="476"/>
      <c r="E1970" s="442" t="s">
        <v>47</v>
      </c>
      <c r="F1970" s="476"/>
      <c r="G1970" s="757" t="s">
        <v>166</v>
      </c>
      <c r="H1970" s="244" t="s">
        <v>83</v>
      </c>
      <c r="I1970" s="733"/>
      <c r="J1970" s="245">
        <v>302</v>
      </c>
      <c r="K1970" s="197" t="s">
        <v>50</v>
      </c>
      <c r="L1970" s="441"/>
      <c r="M1970" s="441"/>
      <c r="N1970" s="441"/>
      <c r="O1970" s="1476" t="s">
        <v>3223</v>
      </c>
      <c r="P1970" s="484"/>
      <c r="Q1970" s="728" t="s">
        <v>119</v>
      </c>
      <c r="R1970" s="995" t="s">
        <v>1242</v>
      </c>
      <c r="S1970" s="279">
        <v>36823</v>
      </c>
      <c r="T1970" s="398"/>
      <c r="U1970" s="251" t="s">
        <v>54</v>
      </c>
      <c r="V1970" s="280" t="s">
        <v>4214</v>
      </c>
      <c r="W1970" s="280" t="s">
        <v>56</v>
      </c>
      <c r="X1970" s="280" t="s">
        <v>57</v>
      </c>
      <c r="Y1970" s="280" t="s">
        <v>4349</v>
      </c>
      <c r="Z1970" s="486">
        <v>45236</v>
      </c>
      <c r="AA1970" s="588"/>
      <c r="AB1970" s="487"/>
      <c r="AC1970" s="488"/>
      <c r="AD1970" s="487"/>
      <c r="AE1970" s="494"/>
      <c r="AF1970" s="494"/>
      <c r="AG1970" s="487"/>
      <c r="AH1970" s="489"/>
      <c r="AI1970" s="490"/>
      <c r="AJ1970" s="755" t="s">
        <v>62</v>
      </c>
      <c r="AK1970" s="442">
        <v>1</v>
      </c>
      <c r="AL1970" s="175" t="s">
        <v>4199</v>
      </c>
      <c r="AM1970" s="175" t="s">
        <v>646</v>
      </c>
      <c r="AN1970" s="169"/>
      <c r="AO1970" s="878"/>
      <c r="AR1970" s="115"/>
    </row>
    <row r="1971" spans="1:46" ht="39" customHeight="1" x14ac:dyDescent="0.3">
      <c r="A1971" s="1468">
        <v>1970</v>
      </c>
      <c r="B1971" s="161">
        <v>7</v>
      </c>
      <c r="C1971" s="290" t="s">
        <v>374</v>
      </c>
      <c r="D1971" s="291"/>
      <c r="E1971" s="291" t="s">
        <v>47</v>
      </c>
      <c r="F1971" s="291"/>
      <c r="G1971" s="292" t="s">
        <v>648</v>
      </c>
      <c r="H1971" s="293" t="s">
        <v>132</v>
      </c>
      <c r="I1971" s="346">
        <v>182</v>
      </c>
      <c r="J1971" s="256">
        <v>403</v>
      </c>
      <c r="K1971" s="216" t="s">
        <v>313</v>
      </c>
      <c r="L1971" s="281" t="s">
        <v>1243</v>
      </c>
      <c r="M1971" s="281" t="s">
        <v>1243</v>
      </c>
      <c r="N1971" s="411"/>
      <c r="O1971" s="216" t="s">
        <v>1244</v>
      </c>
      <c r="P1971" s="372"/>
      <c r="Q1971" s="344" t="s">
        <v>132</v>
      </c>
      <c r="R1971" s="982" t="s">
        <v>1245</v>
      </c>
      <c r="S1971" s="279">
        <v>34494</v>
      </c>
      <c r="T1971" s="250"/>
      <c r="U1971" s="251" t="s">
        <v>54</v>
      </c>
      <c r="V1971" s="280" t="s">
        <v>4214</v>
      </c>
      <c r="W1971" s="280" t="s">
        <v>56</v>
      </c>
      <c r="X1971" s="280" t="s">
        <v>57</v>
      </c>
      <c r="Y1971" s="280" t="s">
        <v>4349</v>
      </c>
      <c r="Z1971" s="486">
        <v>45236</v>
      </c>
      <c r="AA1971" s="252"/>
      <c r="AB1971" s="281"/>
      <c r="AC1971" s="223" t="s">
        <v>946</v>
      </c>
      <c r="AD1971" s="281"/>
      <c r="AE1971" s="494">
        <v>44498</v>
      </c>
      <c r="AF1971" s="494">
        <v>44862</v>
      </c>
      <c r="AG1971" s="241" t="s">
        <v>61</v>
      </c>
      <c r="AH1971" s="283"/>
      <c r="AI1971" s="296"/>
      <c r="AJ1971" s="348" t="s">
        <v>560</v>
      </c>
      <c r="AK1971" s="291">
        <v>3</v>
      </c>
      <c r="AL1971" s="175" t="s">
        <v>4199</v>
      </c>
      <c r="AM1971" s="130" t="s">
        <v>646</v>
      </c>
      <c r="AN1971" s="121"/>
      <c r="AO1971" s="3"/>
      <c r="AR1971" s="115"/>
    </row>
    <row r="1972" spans="1:46" ht="39" customHeight="1" x14ac:dyDescent="0.3">
      <c r="A1972" s="1468">
        <v>1971</v>
      </c>
      <c r="B1972" s="190"/>
      <c r="C1972" s="260" t="s">
        <v>649</v>
      </c>
      <c r="D1972" s="241"/>
      <c r="E1972" s="241"/>
      <c r="F1972" s="241"/>
      <c r="G1972" s="261" t="s">
        <v>650</v>
      </c>
      <c r="H1972" s="262" t="s">
        <v>87</v>
      </c>
      <c r="I1972" s="357"/>
      <c r="J1972" s="245" t="s">
        <v>561</v>
      </c>
      <c r="K1972" s="197"/>
      <c r="L1972" s="281"/>
      <c r="M1972" s="281"/>
      <c r="N1972" s="366"/>
      <c r="O1972" s="216" t="s">
        <v>3918</v>
      </c>
      <c r="P1972" s="247"/>
      <c r="Q1972" s="709" t="s">
        <v>567</v>
      </c>
      <c r="R1972" s="982" t="s">
        <v>3917</v>
      </c>
      <c r="S1972" s="279">
        <v>35650</v>
      </c>
      <c r="T1972" s="250"/>
      <c r="U1972" s="251" t="s">
        <v>54</v>
      </c>
      <c r="V1972" s="280" t="s">
        <v>4214</v>
      </c>
      <c r="W1972" s="280" t="s">
        <v>56</v>
      </c>
      <c r="X1972" s="280" t="s">
        <v>57</v>
      </c>
      <c r="Y1972" s="280" t="s">
        <v>4349</v>
      </c>
      <c r="Z1972" s="486">
        <v>45236</v>
      </c>
      <c r="AA1972" s="289"/>
      <c r="AB1972" s="299"/>
      <c r="AC1972" s="223"/>
      <c r="AD1972" s="299"/>
      <c r="AE1972" s="494"/>
      <c r="AF1972" s="494"/>
      <c r="AG1972" s="299"/>
      <c r="AH1972" s="299"/>
      <c r="AI1972" s="296"/>
      <c r="AJ1972" s="348" t="s">
        <v>560</v>
      </c>
      <c r="AK1972" s="241">
        <v>4</v>
      </c>
      <c r="AL1972" s="175" t="s">
        <v>4199</v>
      </c>
      <c r="AM1972" s="139" t="s">
        <v>646</v>
      </c>
      <c r="AN1972" s="121"/>
      <c r="AO1972" s="3"/>
      <c r="AR1972" s="115"/>
    </row>
    <row r="1973" spans="1:46" ht="39" customHeight="1" x14ac:dyDescent="0.3">
      <c r="A1973" s="1468">
        <v>1972</v>
      </c>
      <c r="B1973" s="190"/>
      <c r="C1973" s="260" t="s">
        <v>649</v>
      </c>
      <c r="D1973" s="241"/>
      <c r="E1973" s="241"/>
      <c r="F1973" s="241"/>
      <c r="G1973" s="261" t="s">
        <v>650</v>
      </c>
      <c r="H1973" s="262" t="s">
        <v>87</v>
      </c>
      <c r="I1973" s="357"/>
      <c r="J1973" s="245" t="s">
        <v>561</v>
      </c>
      <c r="K1973" s="450"/>
      <c r="L1973" s="394"/>
      <c r="M1973" s="394"/>
      <c r="N1973" s="450"/>
      <c r="O1973" s="265" t="s">
        <v>3912</v>
      </c>
      <c r="P1973" s="287"/>
      <c r="Q1973" s="344" t="s">
        <v>132</v>
      </c>
      <c r="R1973" s="998" t="s">
        <v>3911</v>
      </c>
      <c r="S1973" s="279">
        <v>33592</v>
      </c>
      <c r="T1973" s="396"/>
      <c r="U1973" s="251" t="s">
        <v>54</v>
      </c>
      <c r="V1973" s="280" t="s">
        <v>4214</v>
      </c>
      <c r="W1973" s="280" t="s">
        <v>56</v>
      </c>
      <c r="X1973" s="280" t="s">
        <v>57</v>
      </c>
      <c r="Y1973" s="280" t="s">
        <v>4349</v>
      </c>
      <c r="Z1973" s="486">
        <v>45236</v>
      </c>
      <c r="AA1973" s="252"/>
      <c r="AB1973" s="450"/>
      <c r="AC1973" s="474"/>
      <c r="AD1973" s="396"/>
      <c r="AE1973" s="494"/>
      <c r="AF1973" s="494"/>
      <c r="AG1973" s="450"/>
      <c r="AH1973" s="438"/>
      <c r="AI1973" s="254"/>
      <c r="AJ1973" s="348" t="s">
        <v>560</v>
      </c>
      <c r="AK1973" s="241">
        <v>4</v>
      </c>
      <c r="AL1973" s="175" t="s">
        <v>4199</v>
      </c>
      <c r="AM1973" s="139" t="s">
        <v>646</v>
      </c>
      <c r="AN1973" s="121"/>
      <c r="AO1973" s="3"/>
      <c r="AR1973" s="115"/>
    </row>
    <row r="1974" spans="1:46" ht="39" customHeight="1" x14ac:dyDescent="0.3">
      <c r="A1974" s="1468">
        <v>1973</v>
      </c>
      <c r="B1974" s="190"/>
      <c r="C1974" s="356" t="s">
        <v>382</v>
      </c>
      <c r="D1974" s="241" t="s">
        <v>134</v>
      </c>
      <c r="E1974" s="241"/>
      <c r="F1974" s="241"/>
      <c r="G1974" s="261" t="s">
        <v>651</v>
      </c>
      <c r="H1974" s="262" t="s">
        <v>85</v>
      </c>
      <c r="I1974" s="357"/>
      <c r="J1974" s="245" t="s">
        <v>556</v>
      </c>
      <c r="K1974" s="216"/>
      <c r="L1974" s="281"/>
      <c r="M1974" s="281"/>
      <c r="N1974" s="366"/>
      <c r="O1974" s="1283" t="s">
        <v>3503</v>
      </c>
      <c r="P1974" s="402" t="s">
        <v>1828</v>
      </c>
      <c r="Q1974" s="709" t="s">
        <v>85</v>
      </c>
      <c r="R1974" s="998" t="s">
        <v>3502</v>
      </c>
      <c r="S1974" s="279">
        <v>26070</v>
      </c>
      <c r="T1974" s="197"/>
      <c r="U1974" s="251" t="s">
        <v>54</v>
      </c>
      <c r="V1974" s="280" t="s">
        <v>4214</v>
      </c>
      <c r="W1974" s="280" t="s">
        <v>56</v>
      </c>
      <c r="X1974" s="280" t="s">
        <v>57</v>
      </c>
      <c r="Y1974" s="280" t="s">
        <v>4349</v>
      </c>
      <c r="Z1974" s="486">
        <v>45236</v>
      </c>
      <c r="AA1974" s="246"/>
      <c r="AB1974" s="361"/>
      <c r="AC1974" s="223"/>
      <c r="AD1974" s="376"/>
      <c r="AE1974" s="494"/>
      <c r="AF1974" s="494"/>
      <c r="AG1974" s="241"/>
      <c r="AH1974" s="283"/>
      <c r="AI1974" s="254"/>
      <c r="AJ1974" s="348" t="s">
        <v>560</v>
      </c>
      <c r="AK1974" s="241">
        <v>4</v>
      </c>
      <c r="AL1974" s="175" t="s">
        <v>4199</v>
      </c>
      <c r="AM1974" s="122" t="s">
        <v>646</v>
      </c>
      <c r="AN1974" s="121" t="s">
        <v>4122</v>
      </c>
      <c r="AO1974" s="3"/>
      <c r="AR1974" s="115"/>
      <c r="AS1974" s="115"/>
      <c r="AT1974" s="115"/>
    </row>
    <row r="1975" spans="1:46" ht="39" customHeight="1" x14ac:dyDescent="0.3">
      <c r="A1975" s="1468">
        <v>1974</v>
      </c>
      <c r="B1975" s="161">
        <v>5</v>
      </c>
      <c r="C1975" s="290" t="s">
        <v>367</v>
      </c>
      <c r="D1975" s="291"/>
      <c r="E1975" s="291" t="s">
        <v>47</v>
      </c>
      <c r="F1975" s="291"/>
      <c r="G1975" s="292" t="s">
        <v>652</v>
      </c>
      <c r="H1975" s="370" t="s">
        <v>132</v>
      </c>
      <c r="I1975" s="371"/>
      <c r="J1975" s="256">
        <v>403</v>
      </c>
      <c r="K1975" s="307"/>
      <c r="L1975" s="301" t="s">
        <v>3518</v>
      </c>
      <c r="M1975" s="281" t="s">
        <v>3518</v>
      </c>
      <c r="N1975" s="366"/>
      <c r="O1975" s="216" t="s">
        <v>3533</v>
      </c>
      <c r="P1975" s="706" t="s">
        <v>1828</v>
      </c>
      <c r="Q1975" s="373" t="s">
        <v>85</v>
      </c>
      <c r="R1975" s="982" t="s">
        <v>3546</v>
      </c>
      <c r="S1975" s="279">
        <v>35881</v>
      </c>
      <c r="T1975" s="250"/>
      <c r="U1975" s="251" t="s">
        <v>54</v>
      </c>
      <c r="V1975" s="280" t="s">
        <v>4214</v>
      </c>
      <c r="W1975" s="280" t="s">
        <v>56</v>
      </c>
      <c r="X1975" s="280" t="s">
        <v>57</v>
      </c>
      <c r="Y1975" s="280" t="s">
        <v>4349</v>
      </c>
      <c r="Z1975" s="486">
        <v>45236</v>
      </c>
      <c r="AA1975" s="289"/>
      <c r="AB1975" s="299"/>
      <c r="AC1975" s="223"/>
      <c r="AD1975" s="299"/>
      <c r="AE1975" s="494"/>
      <c r="AF1975" s="494"/>
      <c r="AG1975" s="299"/>
      <c r="AH1975" s="299"/>
      <c r="AI1975" s="296"/>
      <c r="AJ1975" s="348" t="s">
        <v>560</v>
      </c>
      <c r="AK1975" s="348">
        <v>3</v>
      </c>
      <c r="AL1975" s="175" t="s">
        <v>4199</v>
      </c>
      <c r="AM1975" s="130" t="s">
        <v>646</v>
      </c>
      <c r="AN1975" s="121"/>
      <c r="AO1975" s="3"/>
      <c r="AR1975" s="115"/>
    </row>
    <row r="1976" spans="1:46" ht="39" customHeight="1" x14ac:dyDescent="0.3">
      <c r="A1976" s="1468">
        <v>1975</v>
      </c>
      <c r="B1976" s="190"/>
      <c r="C1976" s="260" t="s">
        <v>649</v>
      </c>
      <c r="D1976" s="241"/>
      <c r="E1976" s="241"/>
      <c r="F1976" s="241"/>
      <c r="G1976" s="261" t="s">
        <v>650</v>
      </c>
      <c r="H1976" s="262" t="s">
        <v>87</v>
      </c>
      <c r="I1976" s="357"/>
      <c r="J1976" s="245" t="s">
        <v>561</v>
      </c>
      <c r="K1976" s="216" t="s">
        <v>158</v>
      </c>
      <c r="L1976" s="301" t="s">
        <v>1103</v>
      </c>
      <c r="M1976" s="301" t="s">
        <v>1103</v>
      </c>
      <c r="N1976" s="299"/>
      <c r="O1976" s="216" t="s">
        <v>1246</v>
      </c>
      <c r="P1976" s="402"/>
      <c r="Q1976" s="375" t="s">
        <v>293</v>
      </c>
      <c r="R1976" s="360" t="s">
        <v>1247</v>
      </c>
      <c r="S1976" s="279">
        <v>37460</v>
      </c>
      <c r="T1976" s="301"/>
      <c r="U1976" s="251" t="s">
        <v>54</v>
      </c>
      <c r="V1976" s="280" t="s">
        <v>4214</v>
      </c>
      <c r="W1976" s="280" t="s">
        <v>56</v>
      </c>
      <c r="X1976" s="280" t="s">
        <v>57</v>
      </c>
      <c r="Y1976" s="280" t="s">
        <v>4349</v>
      </c>
      <c r="Z1976" s="486">
        <v>45236</v>
      </c>
      <c r="AA1976" s="252"/>
      <c r="AB1976" s="281" t="s">
        <v>115</v>
      </c>
      <c r="AC1976" s="223" t="s">
        <v>946</v>
      </c>
      <c r="AD1976" s="281" t="s">
        <v>1248</v>
      </c>
      <c r="AE1976" s="494">
        <v>44385</v>
      </c>
      <c r="AF1976" s="494">
        <v>45114</v>
      </c>
      <c r="AG1976" s="282" t="s">
        <v>61</v>
      </c>
      <c r="AH1976" s="283"/>
      <c r="AI1976" s="296"/>
      <c r="AJ1976" s="348" t="s">
        <v>560</v>
      </c>
      <c r="AK1976" s="241">
        <v>4</v>
      </c>
      <c r="AL1976" s="175" t="s">
        <v>4199</v>
      </c>
      <c r="AM1976" s="139" t="s">
        <v>646</v>
      </c>
      <c r="AN1976" s="121"/>
      <c r="AO1976" s="3"/>
      <c r="AR1976" s="115"/>
    </row>
    <row r="1977" spans="1:46" ht="39" customHeight="1" x14ac:dyDescent="0.3">
      <c r="A1977" s="1468">
        <v>1976</v>
      </c>
      <c r="B1977" s="190"/>
      <c r="C1977" s="260" t="s">
        <v>649</v>
      </c>
      <c r="D1977" s="241"/>
      <c r="E1977" s="241"/>
      <c r="F1977" s="241"/>
      <c r="G1977" s="261" t="s">
        <v>650</v>
      </c>
      <c r="H1977" s="262" t="s">
        <v>87</v>
      </c>
      <c r="I1977" s="357"/>
      <c r="J1977" s="245" t="s">
        <v>561</v>
      </c>
      <c r="K1977" s="216"/>
      <c r="L1977" s="301" t="s">
        <v>3968</v>
      </c>
      <c r="M1977" s="301" t="s">
        <v>3968</v>
      </c>
      <c r="N1977" s="245"/>
      <c r="O1977" s="1311" t="s">
        <v>2911</v>
      </c>
      <c r="P1977" s="421"/>
      <c r="Q1977" s="375" t="s">
        <v>293</v>
      </c>
      <c r="R1977" s="982" t="s">
        <v>1373</v>
      </c>
      <c r="S1977" s="279">
        <v>37712</v>
      </c>
      <c r="T1977" s="250"/>
      <c r="U1977" s="251" t="s">
        <v>54</v>
      </c>
      <c r="V1977" s="280" t="s">
        <v>4214</v>
      </c>
      <c r="W1977" s="280" t="s">
        <v>56</v>
      </c>
      <c r="X1977" s="280" t="s">
        <v>57</v>
      </c>
      <c r="Y1977" s="280" t="s">
        <v>4349</v>
      </c>
      <c r="Z1977" s="486">
        <v>45236</v>
      </c>
      <c r="AA1977" s="698"/>
      <c r="AB1977" s="281"/>
      <c r="AC1977" s="223"/>
      <c r="AD1977" s="376"/>
      <c r="AE1977" s="494"/>
      <c r="AF1977" s="494"/>
      <c r="AG1977" s="241"/>
      <c r="AH1977" s="283"/>
      <c r="AI1977" s="254"/>
      <c r="AJ1977" s="348" t="s">
        <v>560</v>
      </c>
      <c r="AK1977" s="241">
        <v>4</v>
      </c>
      <c r="AL1977" s="175" t="s">
        <v>4199</v>
      </c>
      <c r="AM1977" s="139" t="s">
        <v>646</v>
      </c>
      <c r="AN1977" s="121"/>
      <c r="AO1977" s="3"/>
      <c r="AR1977" s="115"/>
    </row>
    <row r="1978" spans="1:46" ht="39" customHeight="1" x14ac:dyDescent="0.3">
      <c r="A1978" s="1468">
        <v>1977</v>
      </c>
      <c r="B1978" s="161">
        <v>2</v>
      </c>
      <c r="C1978" s="356" t="s">
        <v>290</v>
      </c>
      <c r="D1978" s="241" t="s">
        <v>134</v>
      </c>
      <c r="E1978" s="241"/>
      <c r="F1978" s="241"/>
      <c r="G1978" s="261" t="s">
        <v>626</v>
      </c>
      <c r="H1978" s="262" t="s">
        <v>87</v>
      </c>
      <c r="I1978" s="357"/>
      <c r="J1978" s="245" t="s">
        <v>561</v>
      </c>
      <c r="K1978" s="257"/>
      <c r="L1978" s="281" t="s">
        <v>3596</v>
      </c>
      <c r="M1978" s="281" t="s">
        <v>3596</v>
      </c>
      <c r="N1978" s="299"/>
      <c r="O1978" s="216" t="s">
        <v>3605</v>
      </c>
      <c r="P1978" s="706" t="s">
        <v>1828</v>
      </c>
      <c r="Q1978" s="373" t="s">
        <v>87</v>
      </c>
      <c r="R1978" s="982" t="s">
        <v>4850</v>
      </c>
      <c r="S1978" s="279">
        <v>31120</v>
      </c>
      <c r="T1978" s="289"/>
      <c r="U1978" s="251" t="s">
        <v>54</v>
      </c>
      <c r="V1978" s="280" t="s">
        <v>4214</v>
      </c>
      <c r="W1978" s="280" t="s">
        <v>56</v>
      </c>
      <c r="X1978" s="280" t="s">
        <v>57</v>
      </c>
      <c r="Y1978" s="280" t="s">
        <v>4349</v>
      </c>
      <c r="Z1978" s="486">
        <v>45236</v>
      </c>
      <c r="AA1978" s="289"/>
      <c r="AB1978" s="299"/>
      <c r="AC1978" s="223"/>
      <c r="AD1978" s="299"/>
      <c r="AE1978" s="494"/>
      <c r="AF1978" s="494"/>
      <c r="AG1978" s="299"/>
      <c r="AH1978" s="299"/>
      <c r="AI1978" s="296"/>
      <c r="AJ1978" s="348" t="s">
        <v>560</v>
      </c>
      <c r="AK1978" s="241">
        <v>4</v>
      </c>
      <c r="AL1978" s="175" t="s">
        <v>4199</v>
      </c>
      <c r="AM1978" s="139" t="s">
        <v>646</v>
      </c>
      <c r="AN1978" s="121" t="s">
        <v>4122</v>
      </c>
      <c r="AO1978" s="3"/>
      <c r="AR1978" s="115"/>
      <c r="AS1978" s="115"/>
      <c r="AT1978" s="115"/>
    </row>
    <row r="1979" spans="1:46" ht="39" customHeight="1" x14ac:dyDescent="0.3">
      <c r="A1979" s="1468">
        <v>1978</v>
      </c>
      <c r="B1979" s="161">
        <v>5</v>
      </c>
      <c r="C1979" s="290" t="s">
        <v>367</v>
      </c>
      <c r="D1979" s="291"/>
      <c r="E1979" s="291" t="s">
        <v>47</v>
      </c>
      <c r="F1979" s="291"/>
      <c r="G1979" s="292" t="s">
        <v>652</v>
      </c>
      <c r="H1979" s="293" t="s">
        <v>132</v>
      </c>
      <c r="I1979" s="346"/>
      <c r="J1979" s="256">
        <v>403</v>
      </c>
      <c r="K1979" s="216"/>
      <c r="L1979" s="301" t="s">
        <v>3998</v>
      </c>
      <c r="M1979" s="301" t="s">
        <v>3998</v>
      </c>
      <c r="N1979" s="299"/>
      <c r="O1979" s="216" t="s">
        <v>3997</v>
      </c>
      <c r="P1979" s="402"/>
      <c r="Q1979" s="344" t="s">
        <v>132</v>
      </c>
      <c r="R1979" s="982" t="s">
        <v>4054</v>
      </c>
      <c r="S1979" s="279">
        <v>37039</v>
      </c>
      <c r="T1979" s="301"/>
      <c r="U1979" s="251" t="s">
        <v>54</v>
      </c>
      <c r="V1979" s="280" t="s">
        <v>4214</v>
      </c>
      <c r="W1979" s="280" t="s">
        <v>56</v>
      </c>
      <c r="X1979" s="280" t="s">
        <v>57</v>
      </c>
      <c r="Y1979" s="280" t="s">
        <v>4349</v>
      </c>
      <c r="Z1979" s="486">
        <v>45236</v>
      </c>
      <c r="AA1979" s="252"/>
      <c r="AB1979" s="281"/>
      <c r="AC1979" s="223"/>
      <c r="AD1979" s="281"/>
      <c r="AE1979" s="494"/>
      <c r="AF1979" s="494"/>
      <c r="AG1979" s="282"/>
      <c r="AH1979" s="283"/>
      <c r="AI1979" s="296"/>
      <c r="AJ1979" s="348" t="s">
        <v>560</v>
      </c>
      <c r="AK1979" s="348">
        <v>3</v>
      </c>
      <c r="AL1979" s="175" t="s">
        <v>4199</v>
      </c>
      <c r="AM1979" s="130" t="s">
        <v>646</v>
      </c>
      <c r="AN1979" s="121"/>
      <c r="AO1979" s="3"/>
      <c r="AR1979" s="115"/>
    </row>
    <row r="1980" spans="1:46" ht="39" customHeight="1" x14ac:dyDescent="0.3">
      <c r="A1980" s="1468">
        <v>1979</v>
      </c>
      <c r="B1980" s="190"/>
      <c r="C1980" s="260" t="s">
        <v>649</v>
      </c>
      <c r="D1980" s="241"/>
      <c r="E1980" s="241"/>
      <c r="F1980" s="241"/>
      <c r="G1980" s="261" t="s">
        <v>650</v>
      </c>
      <c r="H1980" s="262" t="s">
        <v>87</v>
      </c>
      <c r="I1980" s="357"/>
      <c r="J1980" s="245" t="s">
        <v>561</v>
      </c>
      <c r="K1980" s="216"/>
      <c r="L1980" s="281" t="s">
        <v>1925</v>
      </c>
      <c r="M1980" s="281" t="s">
        <v>1925</v>
      </c>
      <c r="N1980" s="245"/>
      <c r="O1980" s="950" t="s">
        <v>2013</v>
      </c>
      <c r="P1980" s="372"/>
      <c r="Q1980" s="373" t="s">
        <v>85</v>
      </c>
      <c r="R1980" s="982" t="s">
        <v>2012</v>
      </c>
      <c r="S1980" s="279">
        <v>36887</v>
      </c>
      <c r="T1980" s="448"/>
      <c r="U1980" s="251" t="s">
        <v>54</v>
      </c>
      <c r="V1980" s="280" t="s">
        <v>4214</v>
      </c>
      <c r="W1980" s="280" t="s">
        <v>56</v>
      </c>
      <c r="X1980" s="280" t="s">
        <v>57</v>
      </c>
      <c r="Y1980" s="280" t="s">
        <v>4349</v>
      </c>
      <c r="Z1980" s="486">
        <v>45236</v>
      </c>
      <c r="AA1980" s="449"/>
      <c r="AB1980" s="281"/>
      <c r="AC1980" s="223"/>
      <c r="AD1980" s="281"/>
      <c r="AE1980" s="494"/>
      <c r="AF1980" s="494"/>
      <c r="AG1980" s="241"/>
      <c r="AH1980" s="283"/>
      <c r="AI1980" s="296"/>
      <c r="AJ1980" s="348" t="s">
        <v>560</v>
      </c>
      <c r="AK1980" s="241">
        <v>4</v>
      </c>
      <c r="AL1980" s="175" t="s">
        <v>4199</v>
      </c>
      <c r="AM1980" s="139" t="s">
        <v>646</v>
      </c>
      <c r="AN1980" s="121"/>
      <c r="AO1980" s="3"/>
      <c r="AR1980" s="115"/>
    </row>
    <row r="1981" spans="1:46" ht="39" customHeight="1" x14ac:dyDescent="0.3">
      <c r="A1981" s="1468">
        <v>1980</v>
      </c>
      <c r="B1981" s="190"/>
      <c r="C1981" s="260" t="s">
        <v>649</v>
      </c>
      <c r="D1981" s="241"/>
      <c r="E1981" s="241"/>
      <c r="F1981" s="241"/>
      <c r="G1981" s="261" t="s">
        <v>650</v>
      </c>
      <c r="H1981" s="262" t="s">
        <v>87</v>
      </c>
      <c r="I1981" s="357"/>
      <c r="J1981" s="245" t="s">
        <v>561</v>
      </c>
      <c r="K1981" s="216"/>
      <c r="L1981" s="281" t="s">
        <v>3482</v>
      </c>
      <c r="M1981" s="281" t="s">
        <v>3482</v>
      </c>
      <c r="N1981" s="366"/>
      <c r="O1981" s="392" t="s">
        <v>3050</v>
      </c>
      <c r="P1981" s="402"/>
      <c r="Q1981" s="485" t="s">
        <v>87</v>
      </c>
      <c r="R1981" s="998" t="s">
        <v>1709</v>
      </c>
      <c r="S1981" s="279">
        <v>37892</v>
      </c>
      <c r="T1981" s="306"/>
      <c r="U1981" s="251" t="s">
        <v>54</v>
      </c>
      <c r="V1981" s="280" t="s">
        <v>4214</v>
      </c>
      <c r="W1981" s="280" t="s">
        <v>56</v>
      </c>
      <c r="X1981" s="280" t="s">
        <v>57</v>
      </c>
      <c r="Y1981" s="280" t="s">
        <v>4349</v>
      </c>
      <c r="Z1981" s="486">
        <v>45236</v>
      </c>
      <c r="AA1981" s="246"/>
      <c r="AB1981" s="361"/>
      <c r="AC1981" s="223"/>
      <c r="AD1981" s="376"/>
      <c r="AE1981" s="494"/>
      <c r="AF1981" s="494"/>
      <c r="AG1981" s="241"/>
      <c r="AH1981" s="283"/>
      <c r="AI1981" s="254"/>
      <c r="AJ1981" s="348" t="s">
        <v>560</v>
      </c>
      <c r="AK1981" s="241">
        <v>4</v>
      </c>
      <c r="AL1981" s="175" t="s">
        <v>4199</v>
      </c>
      <c r="AM1981" s="139" t="s">
        <v>646</v>
      </c>
      <c r="AN1981" s="121"/>
      <c r="AO1981" s="3"/>
      <c r="AR1981" s="115"/>
    </row>
    <row r="1982" spans="1:46" ht="39" customHeight="1" x14ac:dyDescent="0.3">
      <c r="A1982" s="1468">
        <v>1981</v>
      </c>
      <c r="B1982" s="161">
        <v>2</v>
      </c>
      <c r="C1982" s="549" t="s">
        <v>290</v>
      </c>
      <c r="D1982" s="471" t="s">
        <v>134</v>
      </c>
      <c r="E1982" s="471"/>
      <c r="F1982" s="471"/>
      <c r="G1982" s="472" t="s">
        <v>626</v>
      </c>
      <c r="H1982" s="262" t="s">
        <v>87</v>
      </c>
      <c r="I1982" s="473"/>
      <c r="J1982" s="245" t="s">
        <v>561</v>
      </c>
      <c r="K1982" s="756"/>
      <c r="L1982" s="277"/>
      <c r="M1982" s="277"/>
      <c r="N1982" s="451"/>
      <c r="O1982" s="277" t="s">
        <v>3932</v>
      </c>
      <c r="P1982" s="287"/>
      <c r="Q1982" s="344" t="s">
        <v>293</v>
      </c>
      <c r="R1982" s="982" t="s">
        <v>3931</v>
      </c>
      <c r="S1982" s="279">
        <v>28796</v>
      </c>
      <c r="T1982" s="399"/>
      <c r="U1982" s="251" t="s">
        <v>54</v>
      </c>
      <c r="V1982" s="280" t="s">
        <v>4214</v>
      </c>
      <c r="W1982" s="280" t="s">
        <v>56</v>
      </c>
      <c r="X1982" s="280" t="s">
        <v>57</v>
      </c>
      <c r="Y1982" s="280" t="s">
        <v>4349</v>
      </c>
      <c r="Z1982" s="486">
        <v>45236</v>
      </c>
      <c r="AA1982" s="252"/>
      <c r="AB1982" s="849"/>
      <c r="AC1982" s="488"/>
      <c r="AD1982" s="849"/>
      <c r="AE1982" s="494"/>
      <c r="AF1982" s="494"/>
      <c r="AG1982" s="487"/>
      <c r="AH1982" s="850"/>
      <c r="AI1982" s="721"/>
      <c r="AJ1982" s="348" t="s">
        <v>560</v>
      </c>
      <c r="AK1982" s="471">
        <v>4</v>
      </c>
      <c r="AL1982" s="175" t="s">
        <v>4199</v>
      </c>
      <c r="AM1982" s="833" t="s">
        <v>646</v>
      </c>
      <c r="AN1982" s="121" t="s">
        <v>4122</v>
      </c>
      <c r="AO1982" s="875"/>
      <c r="AR1982" s="115"/>
      <c r="AS1982" s="115"/>
      <c r="AT1982" s="115"/>
    </row>
    <row r="1983" spans="1:46" s="827" customFormat="1" ht="39" customHeight="1" x14ac:dyDescent="0.3">
      <c r="A1983" s="1468">
        <v>1982</v>
      </c>
      <c r="B1983" s="190"/>
      <c r="C1983" s="324"/>
      <c r="D1983" s="664"/>
      <c r="E1983" s="664"/>
      <c r="F1983" s="664"/>
      <c r="G1983" s="227"/>
      <c r="H1983" s="228"/>
      <c r="I1983" s="228"/>
      <c r="J1983" s="229"/>
      <c r="K1983" s="227"/>
      <c r="L1983" s="229"/>
      <c r="M1983" s="229"/>
      <c r="N1983" s="229"/>
      <c r="O1983" s="309"/>
      <c r="P1983" s="230" t="s">
        <v>653</v>
      </c>
      <c r="Q1983" s="664"/>
      <c r="R1983" s="324"/>
      <c r="S1983" s="279"/>
      <c r="T1983" s="232"/>
      <c r="U1983" s="250"/>
      <c r="V1983" s="232"/>
      <c r="W1983" s="232"/>
      <c r="X1983" s="232"/>
      <c r="Y1983" s="232"/>
      <c r="Z1983" s="233"/>
      <c r="AA1983" s="234"/>
      <c r="AB1983" s="235"/>
      <c r="AC1983" s="236"/>
      <c r="AD1983" s="235"/>
      <c r="AE1983" s="494"/>
      <c r="AF1983" s="494"/>
      <c r="AG1983" s="664"/>
      <c r="AH1983" s="238"/>
      <c r="AI1983" s="239"/>
      <c r="AJ1983" s="576"/>
      <c r="AK1983" s="664"/>
      <c r="AL1983" s="113"/>
      <c r="AM1983" s="113"/>
      <c r="AN1983" s="748"/>
      <c r="AO1983" s="750"/>
      <c r="AP1983" s="192"/>
      <c r="AQ1983" s="192"/>
      <c r="AR1983" s="192"/>
      <c r="AS1983" s="192"/>
      <c r="AT1983" s="192"/>
    </row>
    <row r="1984" spans="1:46" ht="39" customHeight="1" x14ac:dyDescent="0.3">
      <c r="A1984" s="1468">
        <v>1983</v>
      </c>
      <c r="B1984" s="190"/>
      <c r="C1984" s="793" t="s">
        <v>305</v>
      </c>
      <c r="D1984" s="476"/>
      <c r="E1984" s="442" t="s">
        <v>47</v>
      </c>
      <c r="F1984" s="476"/>
      <c r="G1984" s="757" t="s">
        <v>166</v>
      </c>
      <c r="H1984" s="244" t="s">
        <v>83</v>
      </c>
      <c r="I1984" s="733"/>
      <c r="J1984" s="245">
        <v>302</v>
      </c>
      <c r="K1984" s="277" t="s">
        <v>50</v>
      </c>
      <c r="L1984" s="441" t="s">
        <v>1276</v>
      </c>
      <c r="M1984" s="441" t="s">
        <v>1276</v>
      </c>
      <c r="N1984" s="441"/>
      <c r="O1984" s="277" t="s">
        <v>1277</v>
      </c>
      <c r="P1984" s="708"/>
      <c r="Q1984" s="728" t="s">
        <v>119</v>
      </c>
      <c r="R1984" s="1163" t="s">
        <v>1278</v>
      </c>
      <c r="S1984" s="279">
        <v>34344</v>
      </c>
      <c r="T1984" s="443"/>
      <c r="U1984" s="251" t="s">
        <v>54</v>
      </c>
      <c r="V1984" s="299" t="s">
        <v>3485</v>
      </c>
      <c r="W1984" s="280" t="s">
        <v>56</v>
      </c>
      <c r="X1984" s="487" t="s">
        <v>57</v>
      </c>
      <c r="Y1984" s="1038" t="s">
        <v>3486</v>
      </c>
      <c r="Z1984" s="588">
        <v>45205</v>
      </c>
      <c r="AA1984" s="759"/>
      <c r="AB1984" s="476"/>
      <c r="AC1984" s="488"/>
      <c r="AD1984" s="487"/>
      <c r="AE1984" s="494">
        <v>43891</v>
      </c>
      <c r="AF1984" s="494">
        <v>44985</v>
      </c>
      <c r="AG1984" s="476" t="s">
        <v>61</v>
      </c>
      <c r="AH1984" s="489"/>
      <c r="AI1984" s="760"/>
      <c r="AJ1984" s="755" t="s">
        <v>62</v>
      </c>
      <c r="AK1984" s="442">
        <v>1</v>
      </c>
      <c r="AL1984" s="175" t="s">
        <v>4200</v>
      </c>
      <c r="AM1984" s="175" t="s">
        <v>646</v>
      </c>
      <c r="AN1984" s="169"/>
      <c r="AO1984" s="878"/>
      <c r="AR1984" s="115"/>
    </row>
    <row r="1985" spans="1:46" ht="39" customHeight="1" x14ac:dyDescent="0.3">
      <c r="A1985" s="1468">
        <v>1984</v>
      </c>
      <c r="B1985" s="161">
        <v>7</v>
      </c>
      <c r="C1985" s="290" t="s">
        <v>374</v>
      </c>
      <c r="D1985" s="291"/>
      <c r="E1985" s="291" t="s">
        <v>47</v>
      </c>
      <c r="F1985" s="291"/>
      <c r="G1985" s="292" t="s">
        <v>648</v>
      </c>
      <c r="H1985" s="370" t="s">
        <v>132</v>
      </c>
      <c r="I1985" s="371">
        <v>182</v>
      </c>
      <c r="J1985" s="256">
        <v>403</v>
      </c>
      <c r="K1985" s="216"/>
      <c r="L1985" s="252"/>
      <c r="M1985" s="252"/>
      <c r="N1985" s="245"/>
      <c r="O1985" s="950" t="s">
        <v>2103</v>
      </c>
      <c r="P1985" s="374"/>
      <c r="Q1985" s="298" t="s">
        <v>519</v>
      </c>
      <c r="R1985" s="982" t="s">
        <v>2102</v>
      </c>
      <c r="S1985" s="279">
        <v>34096</v>
      </c>
      <c r="T1985" s="250"/>
      <c r="U1985" s="251" t="s">
        <v>54</v>
      </c>
      <c r="V1985" s="299" t="s">
        <v>3485</v>
      </c>
      <c r="W1985" s="280" t="s">
        <v>56</v>
      </c>
      <c r="X1985" s="487" t="s">
        <v>57</v>
      </c>
      <c r="Y1985" s="1038" t="s">
        <v>3486</v>
      </c>
      <c r="Z1985" s="588">
        <v>45205</v>
      </c>
      <c r="AA1985" s="252"/>
      <c r="AB1985" s="245"/>
      <c r="AC1985" s="223"/>
      <c r="AD1985" s="245"/>
      <c r="AE1985" s="494"/>
      <c r="AF1985" s="494"/>
      <c r="AG1985" s="241"/>
      <c r="AH1985" s="253"/>
      <c r="AI1985" s="296"/>
      <c r="AJ1985" s="348" t="s">
        <v>560</v>
      </c>
      <c r="AK1985" s="291">
        <v>3</v>
      </c>
      <c r="AL1985" s="175" t="s">
        <v>4200</v>
      </c>
      <c r="AM1985" s="130" t="s">
        <v>646</v>
      </c>
      <c r="AN1985" s="121"/>
      <c r="AO1985" s="3"/>
      <c r="AR1985" s="115"/>
    </row>
    <row r="1986" spans="1:46" ht="39" customHeight="1" x14ac:dyDescent="0.3">
      <c r="A1986" s="1468">
        <v>1985</v>
      </c>
      <c r="B1986" s="190"/>
      <c r="C1986" s="260" t="s">
        <v>649</v>
      </c>
      <c r="D1986" s="241"/>
      <c r="E1986" s="241"/>
      <c r="F1986" s="241"/>
      <c r="G1986" s="261" t="s">
        <v>650</v>
      </c>
      <c r="H1986" s="262" t="s">
        <v>87</v>
      </c>
      <c r="I1986" s="357"/>
      <c r="J1986" s="245" t="s">
        <v>561</v>
      </c>
      <c r="K1986" s="257"/>
      <c r="L1986" s="301"/>
      <c r="M1986" s="301"/>
      <c r="N1986" s="299"/>
      <c r="O1986" s="216" t="s">
        <v>3639</v>
      </c>
      <c r="P1986" s="439"/>
      <c r="Q1986" s="375" t="s">
        <v>132</v>
      </c>
      <c r="R1986" s="982" t="s">
        <v>3638</v>
      </c>
      <c r="S1986" s="279">
        <v>29605</v>
      </c>
      <c r="T1986" s="289"/>
      <c r="U1986" s="251" t="s">
        <v>54</v>
      </c>
      <c r="V1986" s="306" t="s">
        <v>3959</v>
      </c>
      <c r="W1986" s="197" t="s">
        <v>56</v>
      </c>
      <c r="X1986" s="197" t="s">
        <v>57</v>
      </c>
      <c r="Y1986" s="299" t="s">
        <v>3960</v>
      </c>
      <c r="Z1986" s="289">
        <v>45204</v>
      </c>
      <c r="AA1986" s="289"/>
      <c r="AB1986" s="299"/>
      <c r="AC1986" s="223"/>
      <c r="AD1986" s="299"/>
      <c r="AE1986" s="494"/>
      <c r="AF1986" s="494"/>
      <c r="AG1986" s="299"/>
      <c r="AH1986" s="299"/>
      <c r="AI1986" s="254"/>
      <c r="AJ1986" s="348" t="s">
        <v>560</v>
      </c>
      <c r="AK1986" s="241">
        <v>4</v>
      </c>
      <c r="AL1986" s="175" t="s">
        <v>4200</v>
      </c>
      <c r="AM1986" s="122" t="s">
        <v>646</v>
      </c>
      <c r="AN1986" s="121"/>
      <c r="AO1986" s="3"/>
      <c r="AR1986" s="115"/>
    </row>
    <row r="1987" spans="1:46" ht="39" customHeight="1" x14ac:dyDescent="0.3">
      <c r="A1987" s="1468">
        <v>1986</v>
      </c>
      <c r="B1987" s="190"/>
      <c r="C1987" s="260" t="s">
        <v>649</v>
      </c>
      <c r="D1987" s="241"/>
      <c r="E1987" s="241"/>
      <c r="F1987" s="241"/>
      <c r="G1987" s="261" t="s">
        <v>650</v>
      </c>
      <c r="H1987" s="262" t="s">
        <v>87</v>
      </c>
      <c r="I1987" s="357"/>
      <c r="J1987" s="245" t="s">
        <v>561</v>
      </c>
      <c r="K1987" s="216"/>
      <c r="L1987" s="301"/>
      <c r="M1987" s="281"/>
      <c r="N1987" s="245"/>
      <c r="O1987" s="216" t="s">
        <v>3641</v>
      </c>
      <c r="P1987" s="439"/>
      <c r="Q1987" s="375" t="s">
        <v>293</v>
      </c>
      <c r="R1987" s="982" t="s">
        <v>3640</v>
      </c>
      <c r="S1987" s="279">
        <v>31632</v>
      </c>
      <c r="T1987" s="197"/>
      <c r="U1987" s="251" t="s">
        <v>54</v>
      </c>
      <c r="V1987" s="306" t="s">
        <v>3959</v>
      </c>
      <c r="W1987" s="197" t="s">
        <v>56</v>
      </c>
      <c r="X1987" s="197" t="s">
        <v>57</v>
      </c>
      <c r="Y1987" s="299" t="s">
        <v>3960</v>
      </c>
      <c r="Z1987" s="289">
        <v>45204</v>
      </c>
      <c r="AA1987" s="246"/>
      <c r="AB1987" s="282"/>
      <c r="AC1987" s="223"/>
      <c r="AD1987" s="282"/>
      <c r="AE1987" s="494"/>
      <c r="AF1987" s="494"/>
      <c r="AG1987" s="241"/>
      <c r="AH1987" s="283"/>
      <c r="AI1987" s="254"/>
      <c r="AJ1987" s="348" t="s">
        <v>560</v>
      </c>
      <c r="AK1987" s="241">
        <v>4</v>
      </c>
      <c r="AL1987" s="175" t="s">
        <v>4200</v>
      </c>
      <c r="AM1987" s="139" t="s">
        <v>646</v>
      </c>
      <c r="AN1987" s="121"/>
      <c r="AO1987" s="3"/>
      <c r="AR1987" s="115"/>
    </row>
    <row r="1988" spans="1:46" ht="39" customHeight="1" x14ac:dyDescent="0.3">
      <c r="A1988" s="1468">
        <v>1987</v>
      </c>
      <c r="B1988" s="190"/>
      <c r="C1988" s="356" t="s">
        <v>382</v>
      </c>
      <c r="D1988" s="241" t="s">
        <v>134</v>
      </c>
      <c r="E1988" s="241"/>
      <c r="F1988" s="241"/>
      <c r="G1988" s="261" t="s">
        <v>651</v>
      </c>
      <c r="H1988" s="262" t="s">
        <v>85</v>
      </c>
      <c r="I1988" s="262"/>
      <c r="J1988" s="245" t="s">
        <v>556</v>
      </c>
      <c r="K1988" s="595"/>
      <c r="L1988" s="281"/>
      <c r="M1988" s="281"/>
      <c r="N1988" s="366"/>
      <c r="O1988" s="216" t="s">
        <v>3627</v>
      </c>
      <c r="P1988" s="372"/>
      <c r="Q1988" s="344" t="s">
        <v>87</v>
      </c>
      <c r="R1988" s="360" t="s">
        <v>3626</v>
      </c>
      <c r="S1988" s="279">
        <v>34442</v>
      </c>
      <c r="T1988" s="197"/>
      <c r="U1988" s="251" t="s">
        <v>54</v>
      </c>
      <c r="V1988" s="306" t="s">
        <v>3959</v>
      </c>
      <c r="W1988" s="197" t="s">
        <v>56</v>
      </c>
      <c r="X1988" s="197" t="s">
        <v>57</v>
      </c>
      <c r="Y1988" s="299" t="s">
        <v>3960</v>
      </c>
      <c r="Z1988" s="289">
        <v>45204</v>
      </c>
      <c r="AA1988" s="246"/>
      <c r="AB1988" s="361"/>
      <c r="AC1988" s="223"/>
      <c r="AD1988" s="376"/>
      <c r="AE1988" s="494"/>
      <c r="AF1988" s="494"/>
      <c r="AG1988" s="241"/>
      <c r="AH1988" s="283"/>
      <c r="AI1988" s="254"/>
      <c r="AJ1988" s="348" t="s">
        <v>560</v>
      </c>
      <c r="AK1988" s="241">
        <v>4</v>
      </c>
      <c r="AL1988" s="175" t="s">
        <v>4200</v>
      </c>
      <c r="AM1988" s="122" t="s">
        <v>646</v>
      </c>
      <c r="AN1988" s="121" t="s">
        <v>4122</v>
      </c>
      <c r="AO1988" s="3"/>
      <c r="AR1988" s="115"/>
      <c r="AS1988" s="115"/>
      <c r="AT1988" s="115"/>
    </row>
    <row r="1989" spans="1:46" ht="39" customHeight="1" x14ac:dyDescent="0.3">
      <c r="A1989" s="1468">
        <v>1988</v>
      </c>
      <c r="B1989" s="161">
        <v>5</v>
      </c>
      <c r="C1989" s="290" t="s">
        <v>367</v>
      </c>
      <c r="D1989" s="291"/>
      <c r="E1989" s="291" t="s">
        <v>47</v>
      </c>
      <c r="F1989" s="291"/>
      <c r="G1989" s="292" t="s">
        <v>652</v>
      </c>
      <c r="H1989" s="293" t="s">
        <v>132</v>
      </c>
      <c r="I1989" s="346"/>
      <c r="J1989" s="256">
        <v>403</v>
      </c>
      <c r="K1989" s="216"/>
      <c r="L1989" s="245"/>
      <c r="M1989" s="245"/>
      <c r="N1989" s="245"/>
      <c r="O1989" s="950" t="s">
        <v>4601</v>
      </c>
      <c r="P1989" s="304"/>
      <c r="Q1989" s="298" t="s">
        <v>519</v>
      </c>
      <c r="R1989" s="982" t="s">
        <v>4600</v>
      </c>
      <c r="S1989" s="279">
        <v>29204</v>
      </c>
      <c r="T1989" s="250"/>
      <c r="U1989" s="251" t="s">
        <v>54</v>
      </c>
      <c r="V1989" s="280" t="s">
        <v>4214</v>
      </c>
      <c r="W1989" s="280" t="s">
        <v>56</v>
      </c>
      <c r="X1989" s="280" t="s">
        <v>57</v>
      </c>
      <c r="Y1989" s="280" t="s">
        <v>4349</v>
      </c>
      <c r="Z1989" s="486">
        <v>45236</v>
      </c>
      <c r="AA1989" s="252"/>
      <c r="AB1989" s="281"/>
      <c r="AC1989" s="223"/>
      <c r="AD1989" s="657"/>
      <c r="AE1989" s="494"/>
      <c r="AF1989" s="494"/>
      <c r="AG1989" s="305"/>
      <c r="AH1989" s="283"/>
      <c r="AI1989" s="296"/>
      <c r="AJ1989" s="348" t="s">
        <v>560</v>
      </c>
      <c r="AK1989" s="348">
        <v>3</v>
      </c>
      <c r="AL1989" s="175" t="s">
        <v>4200</v>
      </c>
      <c r="AM1989" s="130" t="s">
        <v>646</v>
      </c>
      <c r="AN1989" s="121"/>
      <c r="AO1989" s="3"/>
      <c r="AR1989" s="115"/>
    </row>
    <row r="1990" spans="1:46" ht="39" customHeight="1" x14ac:dyDescent="0.3">
      <c r="A1990" s="1468">
        <v>1989</v>
      </c>
      <c r="B1990" s="190"/>
      <c r="C1990" s="260" t="s">
        <v>649</v>
      </c>
      <c r="D1990" s="241"/>
      <c r="E1990" s="241"/>
      <c r="F1990" s="241"/>
      <c r="G1990" s="261" t="s">
        <v>650</v>
      </c>
      <c r="H1990" s="262" t="s">
        <v>87</v>
      </c>
      <c r="I1990" s="357"/>
      <c r="J1990" s="245" t="s">
        <v>561</v>
      </c>
      <c r="K1990" s="216"/>
      <c r="L1990" s="245" t="s">
        <v>1925</v>
      </c>
      <c r="M1990" s="245" t="s">
        <v>1925</v>
      </c>
      <c r="N1990" s="245"/>
      <c r="O1990" s="950" t="s">
        <v>1982</v>
      </c>
      <c r="P1990" s="304" t="s">
        <v>1828</v>
      </c>
      <c r="Q1990" s="375" t="s">
        <v>293</v>
      </c>
      <c r="R1990" s="982" t="s">
        <v>1981</v>
      </c>
      <c r="S1990" s="279">
        <v>36013</v>
      </c>
      <c r="T1990" s="250"/>
      <c r="U1990" s="251" t="s">
        <v>54</v>
      </c>
      <c r="V1990" s="299" t="s">
        <v>3485</v>
      </c>
      <c r="W1990" s="280" t="s">
        <v>56</v>
      </c>
      <c r="X1990" s="487" t="s">
        <v>57</v>
      </c>
      <c r="Y1990" s="1038" t="s">
        <v>3486</v>
      </c>
      <c r="Z1990" s="588">
        <v>45205</v>
      </c>
      <c r="AA1990" s="252"/>
      <c r="AB1990" s="281"/>
      <c r="AC1990" s="223"/>
      <c r="AD1990" s="657"/>
      <c r="AE1990" s="494"/>
      <c r="AF1990" s="494"/>
      <c r="AG1990" s="305"/>
      <c r="AH1990" s="283"/>
      <c r="AI1990" s="296"/>
      <c r="AJ1990" s="348" t="s">
        <v>560</v>
      </c>
      <c r="AK1990" s="241">
        <v>4</v>
      </c>
      <c r="AL1990" s="175" t="s">
        <v>4200</v>
      </c>
      <c r="AM1990" s="122" t="s">
        <v>646</v>
      </c>
      <c r="AN1990" s="121"/>
      <c r="AO1990" s="3"/>
      <c r="AR1990" s="115"/>
    </row>
    <row r="1991" spans="1:46" ht="39" customHeight="1" x14ac:dyDescent="0.3">
      <c r="A1991" s="1468">
        <v>1990</v>
      </c>
      <c r="B1991" s="190"/>
      <c r="C1991" s="260" t="s">
        <v>649</v>
      </c>
      <c r="D1991" s="241"/>
      <c r="E1991" s="241"/>
      <c r="F1991" s="241"/>
      <c r="G1991" s="261" t="s">
        <v>650</v>
      </c>
      <c r="H1991" s="262" t="s">
        <v>87</v>
      </c>
      <c r="I1991" s="357"/>
      <c r="J1991" s="245" t="s">
        <v>561</v>
      </c>
      <c r="K1991" s="268"/>
      <c r="L1991" s="394"/>
      <c r="M1991" s="438"/>
      <c r="N1991" s="496"/>
      <c r="O1991" s="216" t="s">
        <v>3637</v>
      </c>
      <c r="P1991" s="630"/>
      <c r="Q1991" s="344" t="s">
        <v>293</v>
      </c>
      <c r="R1991" s="1252" t="s">
        <v>3636</v>
      </c>
      <c r="S1991" s="279">
        <v>31416</v>
      </c>
      <c r="T1991" s="414"/>
      <c r="U1991" s="251" t="s">
        <v>54</v>
      </c>
      <c r="V1991" s="306" t="s">
        <v>3959</v>
      </c>
      <c r="W1991" s="197" t="s">
        <v>56</v>
      </c>
      <c r="X1991" s="197" t="s">
        <v>57</v>
      </c>
      <c r="Y1991" s="299" t="s">
        <v>3960</v>
      </c>
      <c r="Z1991" s="289">
        <v>45204</v>
      </c>
      <c r="AA1991" s="440"/>
      <c r="AB1991" s="496"/>
      <c r="AC1991" s="474"/>
      <c r="AD1991" s="496"/>
      <c r="AE1991" s="494"/>
      <c r="AF1991" s="494"/>
      <c r="AG1991" s="496"/>
      <c r="AH1991" s="496"/>
      <c r="AI1991" s="586"/>
      <c r="AJ1991" s="348" t="s">
        <v>560</v>
      </c>
      <c r="AK1991" s="241">
        <v>4</v>
      </c>
      <c r="AL1991" s="175" t="s">
        <v>4200</v>
      </c>
      <c r="AM1991" s="122" t="s">
        <v>646</v>
      </c>
      <c r="AN1991" s="121"/>
      <c r="AO1991" s="3"/>
      <c r="AR1991" s="115"/>
    </row>
    <row r="1992" spans="1:46" ht="39" customHeight="1" x14ac:dyDescent="0.3">
      <c r="A1992" s="1468">
        <v>1991</v>
      </c>
      <c r="B1992" s="161">
        <v>2</v>
      </c>
      <c r="C1992" s="356" t="s">
        <v>290</v>
      </c>
      <c r="D1992" s="241" t="s">
        <v>134</v>
      </c>
      <c r="E1992" s="241"/>
      <c r="F1992" s="241"/>
      <c r="G1992" s="261" t="s">
        <v>626</v>
      </c>
      <c r="H1992" s="262" t="s">
        <v>87</v>
      </c>
      <c r="I1992" s="357"/>
      <c r="J1992" s="245" t="s">
        <v>561</v>
      </c>
      <c r="K1992" s="197"/>
      <c r="L1992" s="281"/>
      <c r="M1992" s="281"/>
      <c r="N1992" s="366"/>
      <c r="O1992" s="216" t="s">
        <v>3633</v>
      </c>
      <c r="P1992" s="439"/>
      <c r="Q1992" s="375" t="s">
        <v>293</v>
      </c>
      <c r="R1992" s="982" t="s">
        <v>3632</v>
      </c>
      <c r="S1992" s="279">
        <v>29944</v>
      </c>
      <c r="T1992" s="197"/>
      <c r="U1992" s="251" t="s">
        <v>54</v>
      </c>
      <c r="V1992" s="306" t="s">
        <v>3959</v>
      </c>
      <c r="W1992" s="197" t="s">
        <v>56</v>
      </c>
      <c r="X1992" s="197" t="s">
        <v>57</v>
      </c>
      <c r="Y1992" s="299" t="s">
        <v>3960</v>
      </c>
      <c r="Z1992" s="289">
        <v>45204</v>
      </c>
      <c r="AA1992" s="246"/>
      <c r="AB1992" s="361"/>
      <c r="AC1992" s="223"/>
      <c r="AD1992" s="376"/>
      <c r="AE1992" s="494"/>
      <c r="AF1992" s="494"/>
      <c r="AG1992" s="241"/>
      <c r="AH1992" s="283"/>
      <c r="AI1992" s="254"/>
      <c r="AJ1992" s="348" t="s">
        <v>560</v>
      </c>
      <c r="AK1992" s="241">
        <v>4</v>
      </c>
      <c r="AL1992" s="175" t="s">
        <v>4200</v>
      </c>
      <c r="AM1992" s="139" t="s">
        <v>646</v>
      </c>
      <c r="AN1992" s="121" t="s">
        <v>4122</v>
      </c>
      <c r="AO1992" s="3"/>
      <c r="AR1992" s="115"/>
      <c r="AS1992" s="115"/>
      <c r="AT1992" s="115"/>
    </row>
    <row r="1993" spans="1:46" ht="39" customHeight="1" x14ac:dyDescent="0.3">
      <c r="A1993" s="1468">
        <v>1992</v>
      </c>
      <c r="B1993" s="161">
        <v>5</v>
      </c>
      <c r="C1993" s="290" t="s">
        <v>367</v>
      </c>
      <c r="D1993" s="241"/>
      <c r="E1993" s="291" t="s">
        <v>47</v>
      </c>
      <c r="F1993" s="291"/>
      <c r="G1993" s="292" t="s">
        <v>652</v>
      </c>
      <c r="H1993" s="370" t="s">
        <v>132</v>
      </c>
      <c r="I1993" s="371"/>
      <c r="J1993" s="256">
        <v>403</v>
      </c>
      <c r="K1993" s="216" t="s">
        <v>313</v>
      </c>
      <c r="L1993" s="216" t="s">
        <v>1256</v>
      </c>
      <c r="M1993" s="216" t="s">
        <v>1257</v>
      </c>
      <c r="N1993" s="245"/>
      <c r="O1993" s="216" t="s">
        <v>1258</v>
      </c>
      <c r="P1993" s="287"/>
      <c r="Q1993" s="379" t="s">
        <v>570</v>
      </c>
      <c r="R1993" s="982" t="s">
        <v>1259</v>
      </c>
      <c r="S1993" s="279">
        <v>37295</v>
      </c>
      <c r="T1993" s="197"/>
      <c r="U1993" s="251" t="s">
        <v>54</v>
      </c>
      <c r="V1993" s="299" t="s">
        <v>3485</v>
      </c>
      <c r="W1993" s="280" t="s">
        <v>56</v>
      </c>
      <c r="X1993" s="487" t="s">
        <v>57</v>
      </c>
      <c r="Y1993" s="1038" t="s">
        <v>3486</v>
      </c>
      <c r="Z1993" s="588">
        <v>45205</v>
      </c>
      <c r="AA1993" s="252"/>
      <c r="AB1993" s="282"/>
      <c r="AC1993" s="223" t="s">
        <v>946</v>
      </c>
      <c r="AD1993" s="282"/>
      <c r="AE1993" s="494">
        <v>44533</v>
      </c>
      <c r="AF1993" s="494">
        <v>45262</v>
      </c>
      <c r="AG1993" s="282" t="s">
        <v>61</v>
      </c>
      <c r="AH1993" s="283"/>
      <c r="AI1993" s="401"/>
      <c r="AJ1993" s="348" t="s">
        <v>560</v>
      </c>
      <c r="AK1993" s="348">
        <v>3</v>
      </c>
      <c r="AL1993" s="175" t="s">
        <v>4200</v>
      </c>
      <c r="AM1993" s="130" t="s">
        <v>646</v>
      </c>
      <c r="AN1993" s="121"/>
      <c r="AO1993" s="3"/>
      <c r="AR1993" s="115"/>
    </row>
    <row r="1994" spans="1:46" ht="39" customHeight="1" x14ac:dyDescent="0.3">
      <c r="A1994" s="1468">
        <v>1993</v>
      </c>
      <c r="B1994" s="190"/>
      <c r="C1994" s="260" t="s">
        <v>649</v>
      </c>
      <c r="D1994" s="241"/>
      <c r="E1994" s="241"/>
      <c r="F1994" s="241"/>
      <c r="G1994" s="261" t="s">
        <v>650</v>
      </c>
      <c r="H1994" s="262" t="s">
        <v>87</v>
      </c>
      <c r="I1994" s="357"/>
      <c r="J1994" s="245" t="s">
        <v>561</v>
      </c>
      <c r="K1994" s="216"/>
      <c r="L1994" s="301"/>
      <c r="M1994" s="281"/>
      <c r="N1994" s="245"/>
      <c r="O1994" s="216" t="s">
        <v>3665</v>
      </c>
      <c r="P1994" s="630"/>
      <c r="Q1994" s="344" t="s">
        <v>293</v>
      </c>
      <c r="R1994" s="982" t="s">
        <v>3664</v>
      </c>
      <c r="S1994" s="279">
        <v>31694</v>
      </c>
      <c r="T1994" s="250"/>
      <c r="U1994" s="251" t="s">
        <v>54</v>
      </c>
      <c r="V1994" s="306" t="s">
        <v>3959</v>
      </c>
      <c r="W1994" s="197" t="s">
        <v>56</v>
      </c>
      <c r="X1994" s="197" t="s">
        <v>57</v>
      </c>
      <c r="Y1994" s="299" t="s">
        <v>3960</v>
      </c>
      <c r="Z1994" s="289">
        <v>45204</v>
      </c>
      <c r="AA1994" s="698"/>
      <c r="AB1994" s="281"/>
      <c r="AC1994" s="223"/>
      <c r="AD1994" s="376"/>
      <c r="AE1994" s="494"/>
      <c r="AF1994" s="494"/>
      <c r="AG1994" s="241"/>
      <c r="AH1994" s="283"/>
      <c r="AI1994" s="254"/>
      <c r="AJ1994" s="348" t="s">
        <v>560</v>
      </c>
      <c r="AK1994" s="241">
        <v>4</v>
      </c>
      <c r="AL1994" s="175" t="s">
        <v>4200</v>
      </c>
      <c r="AM1994" s="122" t="s">
        <v>646</v>
      </c>
      <c r="AN1994" s="121"/>
      <c r="AO1994" s="3"/>
      <c r="AR1994" s="115"/>
    </row>
    <row r="1995" spans="1:46" ht="39" customHeight="1" x14ac:dyDescent="0.3">
      <c r="A1995" s="1468">
        <v>1994</v>
      </c>
      <c r="B1995" s="190"/>
      <c r="C1995" s="260" t="s">
        <v>649</v>
      </c>
      <c r="D1995" s="241"/>
      <c r="E1995" s="241"/>
      <c r="F1995" s="241"/>
      <c r="G1995" s="261" t="s">
        <v>650</v>
      </c>
      <c r="H1995" s="262" t="s">
        <v>87</v>
      </c>
      <c r="I1995" s="357"/>
      <c r="J1995" s="245" t="s">
        <v>561</v>
      </c>
      <c r="K1995" s="250"/>
      <c r="L1995" s="281"/>
      <c r="M1995" s="281"/>
      <c r="N1995" s="366"/>
      <c r="O1995" s="216" t="s">
        <v>3653</v>
      </c>
      <c r="P1995" s="439"/>
      <c r="Q1995" s="375" t="s">
        <v>519</v>
      </c>
      <c r="R1995" s="982" t="s">
        <v>3652</v>
      </c>
      <c r="S1995" s="279">
        <v>28903</v>
      </c>
      <c r="T1995" s="197"/>
      <c r="U1995" s="251" t="s">
        <v>54</v>
      </c>
      <c r="V1995" s="306" t="s">
        <v>3959</v>
      </c>
      <c r="W1995" s="197" t="s">
        <v>56</v>
      </c>
      <c r="X1995" s="197" t="s">
        <v>57</v>
      </c>
      <c r="Y1995" s="299" t="s">
        <v>3960</v>
      </c>
      <c r="Z1995" s="289">
        <v>45204</v>
      </c>
      <c r="AA1995" s="246"/>
      <c r="AB1995" s="361"/>
      <c r="AC1995" s="223"/>
      <c r="AD1995" s="376"/>
      <c r="AE1995" s="494"/>
      <c r="AF1995" s="494"/>
      <c r="AG1995" s="241"/>
      <c r="AH1995" s="283"/>
      <c r="AI1995" s="254"/>
      <c r="AJ1995" s="348" t="s">
        <v>560</v>
      </c>
      <c r="AK1995" s="241">
        <v>4</v>
      </c>
      <c r="AL1995" s="175" t="s">
        <v>4200</v>
      </c>
      <c r="AM1995" s="122" t="s">
        <v>646</v>
      </c>
      <c r="AN1995" s="197"/>
      <c r="AO1995" s="197"/>
      <c r="AP1995" s="332"/>
      <c r="AQ1995"/>
      <c r="AR1995"/>
      <c r="AS1995"/>
      <c r="AT1995"/>
    </row>
    <row r="1996" spans="1:46" ht="39" customHeight="1" x14ac:dyDescent="0.3">
      <c r="A1996" s="1468">
        <v>1995</v>
      </c>
      <c r="B1996" s="161">
        <v>2</v>
      </c>
      <c r="C1996" s="549" t="s">
        <v>290</v>
      </c>
      <c r="D1996" s="471"/>
      <c r="E1996" s="471"/>
      <c r="F1996" s="471"/>
      <c r="G1996" s="472" t="s">
        <v>626</v>
      </c>
      <c r="H1996" s="262" t="s">
        <v>87</v>
      </c>
      <c r="I1996" s="473"/>
      <c r="J1996" s="245" t="s">
        <v>561</v>
      </c>
      <c r="K1996" s="216"/>
      <c r="L1996" s="281"/>
      <c r="M1996" s="281"/>
      <c r="N1996" s="366"/>
      <c r="O1996" s="216" t="s">
        <v>3643</v>
      </c>
      <c r="P1996" s="439"/>
      <c r="Q1996" s="375" t="s">
        <v>293</v>
      </c>
      <c r="R1996" s="982" t="s">
        <v>3642</v>
      </c>
      <c r="S1996" s="279">
        <v>34963</v>
      </c>
      <c r="T1996" s="197"/>
      <c r="U1996" s="251" t="s">
        <v>54</v>
      </c>
      <c r="V1996" s="306" t="s">
        <v>3959</v>
      </c>
      <c r="W1996" s="197" t="s">
        <v>56</v>
      </c>
      <c r="X1996" s="197" t="s">
        <v>57</v>
      </c>
      <c r="Y1996" s="299" t="s">
        <v>3960</v>
      </c>
      <c r="Z1996" s="289">
        <v>45204</v>
      </c>
      <c r="AA1996" s="246"/>
      <c r="AB1996" s="361"/>
      <c r="AC1996" s="223"/>
      <c r="AD1996" s="376"/>
      <c r="AE1996" s="494"/>
      <c r="AF1996" s="494"/>
      <c r="AG1996" s="241"/>
      <c r="AH1996" s="283"/>
      <c r="AI1996" s="254"/>
      <c r="AJ1996" s="348" t="s">
        <v>560</v>
      </c>
      <c r="AK1996" s="471">
        <v>4</v>
      </c>
      <c r="AL1996" s="175" t="s">
        <v>4200</v>
      </c>
      <c r="AM1996" s="749" t="s">
        <v>646</v>
      </c>
      <c r="AN1996" s="121" t="s">
        <v>4122</v>
      </c>
      <c r="AO1996" s="875"/>
      <c r="AR1996" s="115"/>
      <c r="AS1996" s="115"/>
      <c r="AT1996" s="115"/>
    </row>
    <row r="1997" spans="1:46" s="827" customFormat="1" ht="39" customHeight="1" x14ac:dyDescent="0.3">
      <c r="A1997" s="1468">
        <v>1996</v>
      </c>
      <c r="B1997" s="190"/>
      <c r="C1997" s="324"/>
      <c r="D1997" s="664"/>
      <c r="E1997" s="664"/>
      <c r="F1997" s="664"/>
      <c r="G1997" s="227"/>
      <c r="H1997" s="228"/>
      <c r="I1997" s="228"/>
      <c r="J1997" s="229"/>
      <c r="K1997" s="227"/>
      <c r="L1997" s="229"/>
      <c r="M1997" s="229"/>
      <c r="N1997" s="229"/>
      <c r="O1997" s="309"/>
      <c r="P1997" s="230" t="s">
        <v>654</v>
      </c>
      <c r="Q1997" s="664"/>
      <c r="R1997" s="324"/>
      <c r="S1997" s="279"/>
      <c r="T1997" s="232"/>
      <c r="U1997" s="250"/>
      <c r="V1997" s="232"/>
      <c r="W1997" s="232"/>
      <c r="X1997" s="232"/>
      <c r="Y1997" s="232"/>
      <c r="Z1997" s="233"/>
      <c r="AA1997" s="234"/>
      <c r="AB1997" s="235"/>
      <c r="AC1997" s="236"/>
      <c r="AD1997" s="235"/>
      <c r="AE1997" s="494"/>
      <c r="AF1997" s="494"/>
      <c r="AG1997" s="664"/>
      <c r="AH1997" s="238"/>
      <c r="AI1997" s="239"/>
      <c r="AJ1997" s="576"/>
      <c r="AK1997" s="664"/>
      <c r="AL1997" s="113"/>
      <c r="AM1997" s="113"/>
      <c r="AN1997" s="748"/>
      <c r="AO1997" s="750"/>
      <c r="AP1997" s="192"/>
      <c r="AQ1997" s="192"/>
      <c r="AR1997" s="192"/>
      <c r="AS1997" s="192"/>
      <c r="AT1997" s="192"/>
    </row>
    <row r="1998" spans="1:46" ht="39" customHeight="1" x14ac:dyDescent="0.3">
      <c r="A1998" s="1468">
        <v>1997</v>
      </c>
      <c r="B1998" s="190"/>
      <c r="C1998" s="793" t="s">
        <v>305</v>
      </c>
      <c r="D1998" s="476"/>
      <c r="E1998" s="442" t="s">
        <v>47</v>
      </c>
      <c r="F1998" s="476"/>
      <c r="G1998" s="757" t="s">
        <v>166</v>
      </c>
      <c r="H1998" s="244" t="s">
        <v>83</v>
      </c>
      <c r="I1998" s="733"/>
      <c r="J1998" s="245">
        <v>302</v>
      </c>
      <c r="K1998" s="277" t="s">
        <v>50</v>
      </c>
      <c r="L1998" s="441" t="s">
        <v>1282</v>
      </c>
      <c r="M1998" s="441" t="s">
        <v>1282</v>
      </c>
      <c r="N1998" s="277"/>
      <c r="O1998" s="277" t="s">
        <v>1283</v>
      </c>
      <c r="P1998" s="278"/>
      <c r="Q1998" s="728" t="s">
        <v>119</v>
      </c>
      <c r="R1998" s="1163" t="s">
        <v>1284</v>
      </c>
      <c r="S1998" s="279">
        <v>35061</v>
      </c>
      <c r="T1998" s="443"/>
      <c r="U1998" s="251" t="s">
        <v>54</v>
      </c>
      <c r="V1998" s="280" t="s">
        <v>207</v>
      </c>
      <c r="W1998" s="280" t="s">
        <v>56</v>
      </c>
      <c r="X1998" s="280" t="s">
        <v>57</v>
      </c>
      <c r="Y1998" s="280" t="s">
        <v>58</v>
      </c>
      <c r="Z1998" s="486">
        <v>44844</v>
      </c>
      <c r="AA1998" s="486"/>
      <c r="AB1998" s="441"/>
      <c r="AC1998" s="488" t="s">
        <v>946</v>
      </c>
      <c r="AD1998" s="441"/>
      <c r="AE1998" s="494">
        <v>43891</v>
      </c>
      <c r="AF1998" s="494">
        <v>44985</v>
      </c>
      <c r="AG1998" s="476" t="s">
        <v>61</v>
      </c>
      <c r="AH1998" s="489"/>
      <c r="AI1998" s="721"/>
      <c r="AJ1998" s="755" t="s">
        <v>62</v>
      </c>
      <c r="AK1998" s="442">
        <v>1</v>
      </c>
      <c r="AL1998" s="175" t="s">
        <v>4201</v>
      </c>
      <c r="AM1998" s="175" t="s">
        <v>646</v>
      </c>
      <c r="AN1998" s="169"/>
      <c r="AO1998" s="878"/>
      <c r="AR1998" s="115"/>
    </row>
    <row r="1999" spans="1:46" ht="39" customHeight="1" x14ac:dyDescent="0.3">
      <c r="A1999" s="1468">
        <v>1998</v>
      </c>
      <c r="B1999" s="190"/>
      <c r="C1999" s="290" t="s">
        <v>374</v>
      </c>
      <c r="D1999" s="291"/>
      <c r="E1999" s="291" t="s">
        <v>47</v>
      </c>
      <c r="F1999" s="291"/>
      <c r="G1999" s="292" t="s">
        <v>648</v>
      </c>
      <c r="H1999" s="293" t="s">
        <v>132</v>
      </c>
      <c r="I1999" s="346">
        <v>182</v>
      </c>
      <c r="J1999" s="256">
        <v>403</v>
      </c>
      <c r="K1999" s="216" t="s">
        <v>144</v>
      </c>
      <c r="L1999" s="281" t="s">
        <v>1253</v>
      </c>
      <c r="M1999" s="281" t="s">
        <v>1253</v>
      </c>
      <c r="N1999" s="281"/>
      <c r="O1999" s="216" t="s">
        <v>1254</v>
      </c>
      <c r="P1999" s="630"/>
      <c r="Q1999" s="344" t="s">
        <v>132</v>
      </c>
      <c r="R1999" s="982" t="s">
        <v>1255</v>
      </c>
      <c r="S1999" s="279">
        <v>35634</v>
      </c>
      <c r="T1999" s="250"/>
      <c r="U1999" s="251" t="s">
        <v>54</v>
      </c>
      <c r="V1999" s="299" t="s">
        <v>3485</v>
      </c>
      <c r="W1999" s="280" t="s">
        <v>56</v>
      </c>
      <c r="X1999" s="487" t="s">
        <v>57</v>
      </c>
      <c r="Y1999" s="1038" t="s">
        <v>3486</v>
      </c>
      <c r="Z1999" s="588">
        <v>45205</v>
      </c>
      <c r="AA1999" s="250"/>
      <c r="AB1999" s="281"/>
      <c r="AC1999" s="223" t="s">
        <v>946</v>
      </c>
      <c r="AD1999" s="281"/>
      <c r="AE1999" s="494">
        <v>43653</v>
      </c>
      <c r="AF1999" s="494">
        <v>44748</v>
      </c>
      <c r="AG1999" s="241" t="s">
        <v>61</v>
      </c>
      <c r="AH1999" s="283"/>
      <c r="AI1999" s="422"/>
      <c r="AJ1999" s="348" t="s">
        <v>560</v>
      </c>
      <c r="AK1999" s="291">
        <v>3</v>
      </c>
      <c r="AL1999" s="175" t="s">
        <v>4201</v>
      </c>
      <c r="AM1999" s="130" t="s">
        <v>646</v>
      </c>
      <c r="AN1999" s="121"/>
      <c r="AO1999" s="3"/>
      <c r="AR1999" s="115"/>
    </row>
    <row r="2000" spans="1:46" ht="39" customHeight="1" x14ac:dyDescent="0.3">
      <c r="A2000" s="1468">
        <v>1999</v>
      </c>
      <c r="B2000" s="190"/>
      <c r="C2000" s="260" t="s">
        <v>649</v>
      </c>
      <c r="D2000" s="241"/>
      <c r="E2000" s="241"/>
      <c r="F2000" s="241"/>
      <c r="G2000" s="261" t="s">
        <v>650</v>
      </c>
      <c r="H2000" s="262" t="s">
        <v>87</v>
      </c>
      <c r="I2000" s="357"/>
      <c r="J2000" s="245" t="s">
        <v>561</v>
      </c>
      <c r="K2000" s="1185"/>
      <c r="L2000" s="1186"/>
      <c r="M2000" s="1186"/>
      <c r="N2000" s="1185"/>
      <c r="O2000" s="216" t="s">
        <v>3663</v>
      </c>
      <c r="P2000" s="630"/>
      <c r="Q2000" s="344" t="s">
        <v>293</v>
      </c>
      <c r="R2000" s="982" t="s">
        <v>3662</v>
      </c>
      <c r="S2000" s="279">
        <v>30652</v>
      </c>
      <c r="T2000" s="1185"/>
      <c r="U2000" s="251" t="s">
        <v>54</v>
      </c>
      <c r="V2000" s="306" t="s">
        <v>3959</v>
      </c>
      <c r="W2000" s="197" t="s">
        <v>56</v>
      </c>
      <c r="X2000" s="197" t="s">
        <v>57</v>
      </c>
      <c r="Y2000" s="299" t="s">
        <v>3960</v>
      </c>
      <c r="Z2000" s="289">
        <v>45204</v>
      </c>
      <c r="AA2000" s="1185"/>
      <c r="AB2000" s="1296"/>
      <c r="AC2000" s="1185"/>
      <c r="AD2000" s="1187"/>
      <c r="AE2000" s="494"/>
      <c r="AF2000" s="494"/>
      <c r="AG2000" s="1185"/>
      <c r="AH2000" s="1185"/>
      <c r="AI2000" s="254"/>
      <c r="AJ2000" s="348" t="s">
        <v>560</v>
      </c>
      <c r="AK2000" s="241">
        <v>4</v>
      </c>
      <c r="AL2000" s="175" t="s">
        <v>4201</v>
      </c>
      <c r="AM2000" s="122" t="s">
        <v>646</v>
      </c>
      <c r="AN2000" s="121"/>
      <c r="AO2000" s="3"/>
      <c r="AR2000" s="115"/>
    </row>
    <row r="2001" spans="1:46" ht="39" customHeight="1" x14ac:dyDescent="0.3">
      <c r="A2001" s="1468">
        <v>2000</v>
      </c>
      <c r="B2001" s="190"/>
      <c r="C2001" s="260" t="s">
        <v>649</v>
      </c>
      <c r="D2001" s="241"/>
      <c r="E2001" s="241"/>
      <c r="F2001" s="241"/>
      <c r="G2001" s="261" t="s">
        <v>650</v>
      </c>
      <c r="H2001" s="262" t="s">
        <v>87</v>
      </c>
      <c r="I2001" s="364"/>
      <c r="J2001" s="245" t="s">
        <v>561</v>
      </c>
      <c r="K2001" s="197"/>
      <c r="L2001" s="281"/>
      <c r="M2001" s="281"/>
      <c r="N2001" s="366"/>
      <c r="O2001" s="216" t="s">
        <v>3629</v>
      </c>
      <c r="P2001" s="372"/>
      <c r="Q2001" s="344" t="s">
        <v>87</v>
      </c>
      <c r="R2001" s="982" t="s">
        <v>3628</v>
      </c>
      <c r="S2001" s="279">
        <v>27536</v>
      </c>
      <c r="T2001" s="250"/>
      <c r="U2001" s="251" t="s">
        <v>54</v>
      </c>
      <c r="V2001" s="306" t="s">
        <v>3959</v>
      </c>
      <c r="W2001" s="197" t="s">
        <v>56</v>
      </c>
      <c r="X2001" s="197" t="s">
        <v>57</v>
      </c>
      <c r="Y2001" s="299" t="s">
        <v>3960</v>
      </c>
      <c r="Z2001" s="289">
        <v>45204</v>
      </c>
      <c r="AA2001" s="289"/>
      <c r="AB2001" s="299"/>
      <c r="AC2001" s="223"/>
      <c r="AD2001" s="299"/>
      <c r="AE2001" s="494"/>
      <c r="AF2001" s="494"/>
      <c r="AG2001" s="299"/>
      <c r="AH2001" s="299"/>
      <c r="AI2001" s="296"/>
      <c r="AJ2001" s="348" t="s">
        <v>560</v>
      </c>
      <c r="AK2001" s="348">
        <v>4</v>
      </c>
      <c r="AL2001" s="175" t="s">
        <v>4201</v>
      </c>
      <c r="AM2001" s="122" t="s">
        <v>646</v>
      </c>
      <c r="AN2001" s="121"/>
      <c r="AO2001" s="3"/>
      <c r="AR2001" s="115"/>
    </row>
    <row r="2002" spans="1:46" ht="39" customHeight="1" x14ac:dyDescent="0.3">
      <c r="A2002" s="1468">
        <v>2001</v>
      </c>
      <c r="B2002" s="190"/>
      <c r="C2002" s="356" t="s">
        <v>382</v>
      </c>
      <c r="D2002" s="241" t="s">
        <v>134</v>
      </c>
      <c r="E2002" s="241"/>
      <c r="F2002" s="241"/>
      <c r="G2002" s="261" t="s">
        <v>651</v>
      </c>
      <c r="H2002" s="262" t="s">
        <v>85</v>
      </c>
      <c r="I2002" s="364"/>
      <c r="J2002" s="245" t="s">
        <v>556</v>
      </c>
      <c r="K2002" s="684"/>
      <c r="L2002" s="394"/>
      <c r="M2002" s="438"/>
      <c r="N2002" s="684"/>
      <c r="O2002" s="216" t="s">
        <v>3659</v>
      </c>
      <c r="P2002" s="630"/>
      <c r="Q2002" s="344" t="s">
        <v>293</v>
      </c>
      <c r="R2002" s="982" t="s">
        <v>3658</v>
      </c>
      <c r="S2002" s="279">
        <v>31854</v>
      </c>
      <c r="T2002" s="684"/>
      <c r="U2002" s="251" t="s">
        <v>54</v>
      </c>
      <c r="V2002" s="306" t="s">
        <v>3959</v>
      </c>
      <c r="W2002" s="197" t="s">
        <v>56</v>
      </c>
      <c r="X2002" s="197" t="s">
        <v>57</v>
      </c>
      <c r="Y2002" s="299" t="s">
        <v>3960</v>
      </c>
      <c r="Z2002" s="289">
        <v>45204</v>
      </c>
      <c r="AA2002" s="684"/>
      <c r="AB2002" s="1290"/>
      <c r="AC2002" s="684"/>
      <c r="AD2002" s="686"/>
      <c r="AE2002" s="494"/>
      <c r="AF2002" s="494"/>
      <c r="AG2002" s="684"/>
      <c r="AH2002" s="684"/>
      <c r="AI2002" s="254"/>
      <c r="AJ2002" s="348" t="s">
        <v>560</v>
      </c>
      <c r="AK2002" s="241">
        <v>4</v>
      </c>
      <c r="AL2002" s="175" t="s">
        <v>4201</v>
      </c>
      <c r="AM2002" s="122" t="s">
        <v>646</v>
      </c>
      <c r="AN2002" s="121"/>
      <c r="AO2002" s="3"/>
      <c r="AR2002" s="115"/>
      <c r="AS2002" s="115"/>
      <c r="AT2002" s="115"/>
    </row>
    <row r="2003" spans="1:46" ht="39" customHeight="1" x14ac:dyDescent="0.3">
      <c r="A2003" s="1468">
        <v>2002</v>
      </c>
      <c r="B2003" s="161">
        <v>5</v>
      </c>
      <c r="C2003" s="290" t="s">
        <v>367</v>
      </c>
      <c r="D2003" s="291"/>
      <c r="E2003" s="291" t="s">
        <v>47</v>
      </c>
      <c r="F2003" s="291"/>
      <c r="G2003" s="292" t="s">
        <v>652</v>
      </c>
      <c r="H2003" s="293" t="s">
        <v>132</v>
      </c>
      <c r="I2003" s="346"/>
      <c r="J2003" s="256">
        <v>403</v>
      </c>
      <c r="K2003" s="265" t="s">
        <v>158</v>
      </c>
      <c r="L2003" s="394" t="s">
        <v>1103</v>
      </c>
      <c r="M2003" s="394" t="s">
        <v>1103</v>
      </c>
      <c r="N2003" s="496"/>
      <c r="O2003" s="265" t="s">
        <v>1260</v>
      </c>
      <c r="P2003" s="1184"/>
      <c r="Q2003" s="876" t="s">
        <v>293</v>
      </c>
      <c r="R2003" s="834" t="s">
        <v>1261</v>
      </c>
      <c r="S2003" s="279">
        <v>37329</v>
      </c>
      <c r="T2003" s="396" t="s">
        <v>359</v>
      </c>
      <c r="U2003" s="251" t="s">
        <v>54</v>
      </c>
      <c r="V2003" s="496" t="s">
        <v>3485</v>
      </c>
      <c r="W2003" s="819" t="s">
        <v>56</v>
      </c>
      <c r="X2003" s="551" t="s">
        <v>57</v>
      </c>
      <c r="Y2003" s="1038" t="s">
        <v>3486</v>
      </c>
      <c r="Z2003" s="821">
        <v>45205</v>
      </c>
      <c r="AA2003" s="395"/>
      <c r="AB2003" s="394" t="s">
        <v>1262</v>
      </c>
      <c r="AC2003" s="474" t="s">
        <v>946</v>
      </c>
      <c r="AD2003" s="394" t="s">
        <v>1263</v>
      </c>
      <c r="AE2003" s="494">
        <v>44511</v>
      </c>
      <c r="AF2003" s="494">
        <v>45240</v>
      </c>
      <c r="AG2003" s="394" t="s">
        <v>61</v>
      </c>
      <c r="AH2003" s="394"/>
      <c r="AI2003" s="474"/>
      <c r="AJ2003" s="743" t="s">
        <v>560</v>
      </c>
      <c r="AK2003" s="348">
        <v>3</v>
      </c>
      <c r="AL2003" s="175" t="s">
        <v>4201</v>
      </c>
      <c r="AM2003" s="130" t="s">
        <v>646</v>
      </c>
      <c r="AN2003" s="121"/>
      <c r="AO2003" s="3"/>
      <c r="AR2003" s="115"/>
    </row>
    <row r="2004" spans="1:46" ht="39" customHeight="1" x14ac:dyDescent="0.3">
      <c r="A2004" s="1468">
        <v>2003</v>
      </c>
      <c r="B2004" s="190"/>
      <c r="C2004" s="260" t="s">
        <v>649</v>
      </c>
      <c r="D2004" s="713"/>
      <c r="E2004" s="713"/>
      <c r="F2004" s="713"/>
      <c r="G2004" s="261" t="s">
        <v>650</v>
      </c>
      <c r="H2004" s="262" t="s">
        <v>87</v>
      </c>
      <c r="I2004" s="357"/>
      <c r="J2004" s="245" t="s">
        <v>561</v>
      </c>
      <c r="K2004" s="197"/>
      <c r="L2004" s="301"/>
      <c r="M2004" s="281"/>
      <c r="N2004" s="245"/>
      <c r="O2004" s="216" t="s">
        <v>3655</v>
      </c>
      <c r="P2004" s="630"/>
      <c r="Q2004" s="344" t="s">
        <v>293</v>
      </c>
      <c r="R2004" s="982" t="s">
        <v>3654</v>
      </c>
      <c r="S2004" s="279">
        <v>31908</v>
      </c>
      <c r="T2004" s="250"/>
      <c r="U2004" s="251" t="s">
        <v>54</v>
      </c>
      <c r="V2004" s="306" t="s">
        <v>3959</v>
      </c>
      <c r="W2004" s="197" t="s">
        <v>56</v>
      </c>
      <c r="X2004" s="197" t="s">
        <v>57</v>
      </c>
      <c r="Y2004" s="299" t="s">
        <v>3960</v>
      </c>
      <c r="Z2004" s="289">
        <v>45204</v>
      </c>
      <c r="AA2004" s="252"/>
      <c r="AB2004" s="281"/>
      <c r="AC2004" s="281"/>
      <c r="AD2004" s="216"/>
      <c r="AE2004" s="494"/>
      <c r="AF2004" s="494"/>
      <c r="AG2004" s="366"/>
      <c r="AH2004" s="392"/>
      <c r="AI2004" s="247"/>
      <c r="AJ2004" s="348" t="s">
        <v>560</v>
      </c>
      <c r="AK2004" s="241">
        <v>4</v>
      </c>
      <c r="AL2004" s="175" t="s">
        <v>4201</v>
      </c>
      <c r="AM2004" s="122" t="s">
        <v>646</v>
      </c>
      <c r="AN2004" s="121"/>
      <c r="AO2004" s="3"/>
      <c r="AR2004" s="115"/>
    </row>
    <row r="2005" spans="1:46" ht="39" customHeight="1" x14ac:dyDescent="0.3">
      <c r="A2005" s="1468">
        <v>2004</v>
      </c>
      <c r="B2005" s="190"/>
      <c r="C2005" s="528" t="s">
        <v>649</v>
      </c>
      <c r="D2005" s="282"/>
      <c r="E2005" s="282"/>
      <c r="F2005" s="282"/>
      <c r="G2005" s="447" t="s">
        <v>650</v>
      </c>
      <c r="H2005" s="262" t="s">
        <v>87</v>
      </c>
      <c r="I2005" s="357"/>
      <c r="J2005" s="245" t="s">
        <v>561</v>
      </c>
      <c r="K2005" s="257"/>
      <c r="L2005" s="281"/>
      <c r="M2005" s="281"/>
      <c r="N2005" s="366"/>
      <c r="O2005" s="216" t="s">
        <v>3657</v>
      </c>
      <c r="P2005" s="630"/>
      <c r="Q2005" s="344" t="s">
        <v>293</v>
      </c>
      <c r="R2005" s="982" t="s">
        <v>3656</v>
      </c>
      <c r="S2005" s="279">
        <v>27883</v>
      </c>
      <c r="T2005" s="197"/>
      <c r="U2005" s="251" t="s">
        <v>54</v>
      </c>
      <c r="V2005" s="306" t="s">
        <v>3959</v>
      </c>
      <c r="W2005" s="197" t="s">
        <v>56</v>
      </c>
      <c r="X2005" s="197" t="s">
        <v>57</v>
      </c>
      <c r="Y2005" s="299" t="s">
        <v>3960</v>
      </c>
      <c r="Z2005" s="289">
        <v>45204</v>
      </c>
      <c r="AA2005" s="246"/>
      <c r="AB2005" s="361"/>
      <c r="AC2005" s="223"/>
      <c r="AD2005" s="376"/>
      <c r="AE2005" s="494"/>
      <c r="AF2005" s="494"/>
      <c r="AG2005" s="241"/>
      <c r="AH2005" s="283"/>
      <c r="AI2005" s="254"/>
      <c r="AJ2005" s="348" t="s">
        <v>560</v>
      </c>
      <c r="AK2005" s="241">
        <v>4</v>
      </c>
      <c r="AL2005" s="175" t="s">
        <v>4201</v>
      </c>
      <c r="AM2005" s="122" t="s">
        <v>646</v>
      </c>
      <c r="AN2005" s="121"/>
      <c r="AO2005" s="3"/>
      <c r="AR2005" s="115"/>
    </row>
    <row r="2006" spans="1:46" ht="39" customHeight="1" x14ac:dyDescent="0.3">
      <c r="A2006" s="1468">
        <v>2005</v>
      </c>
      <c r="B2006" s="161">
        <v>2</v>
      </c>
      <c r="C2006" s="356" t="s">
        <v>290</v>
      </c>
      <c r="D2006" s="241" t="s">
        <v>134</v>
      </c>
      <c r="E2006" s="241"/>
      <c r="F2006" s="241"/>
      <c r="G2006" s="261" t="s">
        <v>626</v>
      </c>
      <c r="H2006" s="262" t="s">
        <v>87</v>
      </c>
      <c r="I2006" s="357"/>
      <c r="J2006" s="245" t="s">
        <v>561</v>
      </c>
      <c r="K2006" s="216"/>
      <c r="L2006" s="301"/>
      <c r="M2006" s="281"/>
      <c r="N2006" s="366"/>
      <c r="O2006" s="216" t="s">
        <v>3647</v>
      </c>
      <c r="P2006" s="630"/>
      <c r="Q2006" s="291" t="s">
        <v>293</v>
      </c>
      <c r="R2006" s="982" t="s">
        <v>3646</v>
      </c>
      <c r="S2006" s="279">
        <v>30188</v>
      </c>
      <c r="T2006" s="289"/>
      <c r="U2006" s="251" t="s">
        <v>54</v>
      </c>
      <c r="V2006" s="306" t="s">
        <v>3959</v>
      </c>
      <c r="W2006" s="197" t="s">
        <v>56</v>
      </c>
      <c r="X2006" s="197" t="s">
        <v>57</v>
      </c>
      <c r="Y2006" s="299" t="s">
        <v>3960</v>
      </c>
      <c r="Z2006" s="289">
        <v>45204</v>
      </c>
      <c r="AA2006" s="197"/>
      <c r="AB2006" s="301"/>
      <c r="AC2006" s="223"/>
      <c r="AD2006" s="301"/>
      <c r="AE2006" s="494"/>
      <c r="AF2006" s="494"/>
      <c r="AG2006" s="385"/>
      <c r="AH2006" s="301"/>
      <c r="AI2006" s="254"/>
      <c r="AJ2006" s="348" t="s">
        <v>560</v>
      </c>
      <c r="AK2006" s="241">
        <v>4</v>
      </c>
      <c r="AL2006" s="175" t="s">
        <v>4201</v>
      </c>
      <c r="AM2006" s="122" t="s">
        <v>646</v>
      </c>
      <c r="AN2006" s="121"/>
      <c r="AO2006" s="3"/>
      <c r="AR2006" s="115"/>
      <c r="AS2006" s="115"/>
      <c r="AT2006" s="115"/>
    </row>
    <row r="2007" spans="1:46" ht="39" customHeight="1" x14ac:dyDescent="0.3">
      <c r="A2007" s="1468">
        <v>2006</v>
      </c>
      <c r="B2007" s="161">
        <v>5</v>
      </c>
      <c r="C2007" s="290" t="s">
        <v>367</v>
      </c>
      <c r="D2007" s="291"/>
      <c r="E2007" s="291" t="s">
        <v>47</v>
      </c>
      <c r="F2007" s="291"/>
      <c r="G2007" s="292" t="s">
        <v>652</v>
      </c>
      <c r="H2007" s="293" t="s">
        <v>132</v>
      </c>
      <c r="I2007" s="346"/>
      <c r="J2007" s="256">
        <v>403</v>
      </c>
      <c r="K2007" s="216"/>
      <c r="L2007" s="216"/>
      <c r="M2007" s="216"/>
      <c r="N2007" s="281"/>
      <c r="O2007" s="216" t="s">
        <v>3649</v>
      </c>
      <c r="P2007" s="439"/>
      <c r="Q2007" s="375" t="s">
        <v>132</v>
      </c>
      <c r="R2007" s="982" t="s">
        <v>3648</v>
      </c>
      <c r="S2007" s="279">
        <v>30547</v>
      </c>
      <c r="T2007" s="250"/>
      <c r="U2007" s="251" t="s">
        <v>54</v>
      </c>
      <c r="V2007" s="306" t="s">
        <v>3959</v>
      </c>
      <c r="W2007" s="197" t="s">
        <v>56</v>
      </c>
      <c r="X2007" s="197" t="s">
        <v>57</v>
      </c>
      <c r="Y2007" s="299" t="s">
        <v>3960</v>
      </c>
      <c r="Z2007" s="289">
        <v>45204</v>
      </c>
      <c r="AA2007" s="250"/>
      <c r="AB2007" s="299"/>
      <c r="AC2007" s="223"/>
      <c r="AD2007" s="299"/>
      <c r="AE2007" s="494"/>
      <c r="AF2007" s="494"/>
      <c r="AG2007" s="299"/>
      <c r="AH2007" s="299"/>
      <c r="AI2007" s="296"/>
      <c r="AJ2007" s="348" t="s">
        <v>560</v>
      </c>
      <c r="AK2007" s="348">
        <v>3</v>
      </c>
      <c r="AL2007" s="175" t="s">
        <v>4201</v>
      </c>
      <c r="AM2007" s="130" t="s">
        <v>646</v>
      </c>
      <c r="AN2007" s="121"/>
      <c r="AO2007" s="3"/>
      <c r="AR2007" s="115"/>
    </row>
    <row r="2008" spans="1:46" ht="39" customHeight="1" x14ac:dyDescent="0.3">
      <c r="A2008" s="1468">
        <v>2007</v>
      </c>
      <c r="B2008" s="190"/>
      <c r="C2008" s="260" t="s">
        <v>649</v>
      </c>
      <c r="D2008" s="241"/>
      <c r="E2008" s="241"/>
      <c r="F2008" s="241"/>
      <c r="G2008" s="261" t="s">
        <v>650</v>
      </c>
      <c r="H2008" s="262" t="s">
        <v>87</v>
      </c>
      <c r="I2008" s="357"/>
      <c r="J2008" s="245" t="s">
        <v>561</v>
      </c>
      <c r="K2008" s="197"/>
      <c r="L2008" s="281"/>
      <c r="M2008" s="281"/>
      <c r="N2008" s="366"/>
      <c r="O2008" s="216" t="s">
        <v>3645</v>
      </c>
      <c r="P2008" s="439"/>
      <c r="Q2008" s="375" t="s">
        <v>293</v>
      </c>
      <c r="R2008" s="982" t="s">
        <v>3644</v>
      </c>
      <c r="S2008" s="279">
        <v>29167</v>
      </c>
      <c r="T2008" s="197"/>
      <c r="U2008" s="251" t="s">
        <v>54</v>
      </c>
      <c r="V2008" s="306" t="s">
        <v>3959</v>
      </c>
      <c r="W2008" s="197" t="s">
        <v>56</v>
      </c>
      <c r="X2008" s="197" t="s">
        <v>57</v>
      </c>
      <c r="Y2008" s="299" t="s">
        <v>3960</v>
      </c>
      <c r="Z2008" s="289">
        <v>45204</v>
      </c>
      <c r="AA2008" s="246"/>
      <c r="AB2008" s="361"/>
      <c r="AC2008" s="223"/>
      <c r="AD2008" s="376"/>
      <c r="AE2008" s="494"/>
      <c r="AF2008" s="494"/>
      <c r="AG2008" s="241"/>
      <c r="AH2008" s="283"/>
      <c r="AI2008" s="254"/>
      <c r="AJ2008" s="348" t="s">
        <v>560</v>
      </c>
      <c r="AK2008" s="241">
        <v>4</v>
      </c>
      <c r="AL2008" s="175" t="s">
        <v>4201</v>
      </c>
      <c r="AM2008" s="122" t="s">
        <v>646</v>
      </c>
      <c r="AN2008" s="121"/>
      <c r="AO2008" s="3"/>
      <c r="AR2008" s="115"/>
    </row>
    <row r="2009" spans="1:46" ht="39" customHeight="1" x14ac:dyDescent="0.3">
      <c r="A2009" s="1468">
        <v>2008</v>
      </c>
      <c r="B2009" s="190"/>
      <c r="C2009" s="260" t="s">
        <v>649</v>
      </c>
      <c r="D2009" s="241"/>
      <c r="E2009" s="241"/>
      <c r="F2009" s="241"/>
      <c r="G2009" s="261" t="s">
        <v>650</v>
      </c>
      <c r="H2009" s="262" t="s">
        <v>87</v>
      </c>
      <c r="I2009" s="357"/>
      <c r="J2009" s="245" t="s">
        <v>561</v>
      </c>
      <c r="K2009" s="197"/>
      <c r="L2009" s="281"/>
      <c r="M2009" s="281"/>
      <c r="N2009" s="366"/>
      <c r="O2009" s="216" t="s">
        <v>3625</v>
      </c>
      <c r="P2009" s="630"/>
      <c r="Q2009" s="344" t="s">
        <v>293</v>
      </c>
      <c r="R2009" s="982" t="s">
        <v>3624</v>
      </c>
      <c r="S2009" s="279">
        <v>27562</v>
      </c>
      <c r="T2009" s="197"/>
      <c r="U2009" s="251" t="s">
        <v>54</v>
      </c>
      <c r="V2009" s="306" t="s">
        <v>3959</v>
      </c>
      <c r="W2009" s="197" t="s">
        <v>56</v>
      </c>
      <c r="X2009" s="197" t="s">
        <v>57</v>
      </c>
      <c r="Y2009" s="299" t="s">
        <v>3960</v>
      </c>
      <c r="Z2009" s="289">
        <v>45204</v>
      </c>
      <c r="AA2009" s="246"/>
      <c r="AB2009" s="361"/>
      <c r="AC2009" s="223"/>
      <c r="AD2009" s="376"/>
      <c r="AE2009" s="494"/>
      <c r="AF2009" s="494"/>
      <c r="AG2009" s="241"/>
      <c r="AH2009" s="283"/>
      <c r="AI2009" s="254"/>
      <c r="AJ2009" s="348" t="s">
        <v>560</v>
      </c>
      <c r="AK2009" s="241">
        <v>4</v>
      </c>
      <c r="AL2009" s="175" t="s">
        <v>4201</v>
      </c>
      <c r="AM2009" s="122" t="s">
        <v>646</v>
      </c>
      <c r="AN2009" s="121"/>
      <c r="AO2009" s="3"/>
      <c r="AR2009" s="115"/>
    </row>
    <row r="2010" spans="1:46" ht="39" customHeight="1" x14ac:dyDescent="0.3">
      <c r="A2010" s="1468">
        <v>2009</v>
      </c>
      <c r="B2010" s="161">
        <v>2</v>
      </c>
      <c r="C2010" s="549" t="s">
        <v>290</v>
      </c>
      <c r="D2010" s="471" t="s">
        <v>134</v>
      </c>
      <c r="E2010" s="471"/>
      <c r="F2010" s="471"/>
      <c r="G2010" s="472" t="s">
        <v>626</v>
      </c>
      <c r="H2010" s="262" t="s">
        <v>87</v>
      </c>
      <c r="I2010" s="473"/>
      <c r="J2010" s="245" t="s">
        <v>561</v>
      </c>
      <c r="K2010" s="216"/>
      <c r="L2010" s="301"/>
      <c r="M2010" s="281"/>
      <c r="N2010" s="366"/>
      <c r="O2010" s="216" t="s">
        <v>3661</v>
      </c>
      <c r="P2010" s="287"/>
      <c r="Q2010" s="344" t="s">
        <v>293</v>
      </c>
      <c r="R2010" s="982" t="s">
        <v>3660</v>
      </c>
      <c r="S2010" s="279">
        <v>27541</v>
      </c>
      <c r="T2010" s="289"/>
      <c r="U2010" s="251" t="s">
        <v>54</v>
      </c>
      <c r="V2010" s="306" t="s">
        <v>3959</v>
      </c>
      <c r="W2010" s="197" t="s">
        <v>56</v>
      </c>
      <c r="X2010" s="197" t="s">
        <v>57</v>
      </c>
      <c r="Y2010" s="299" t="s">
        <v>3960</v>
      </c>
      <c r="Z2010" s="289">
        <v>45204</v>
      </c>
      <c r="AA2010" s="388"/>
      <c r="AB2010" s="301"/>
      <c r="AC2010" s="223"/>
      <c r="AD2010" s="301"/>
      <c r="AE2010" s="494"/>
      <c r="AF2010" s="494"/>
      <c r="AG2010" s="301"/>
      <c r="AH2010" s="301"/>
      <c r="AI2010" s="254"/>
      <c r="AJ2010" s="348" t="s">
        <v>560</v>
      </c>
      <c r="AK2010" s="471">
        <v>4</v>
      </c>
      <c r="AL2010" s="175" t="s">
        <v>4201</v>
      </c>
      <c r="AM2010" s="749" t="s">
        <v>646</v>
      </c>
      <c r="AN2010" s="166"/>
      <c r="AO2010" s="875"/>
      <c r="AR2010" s="115"/>
      <c r="AS2010" s="115"/>
      <c r="AT2010" s="115"/>
    </row>
    <row r="2011" spans="1:46" ht="39" customHeight="1" x14ac:dyDescent="0.3">
      <c r="A2011" s="1468">
        <v>2010</v>
      </c>
      <c r="B2011" s="984"/>
      <c r="C2011" s="985"/>
      <c r="D2011" s="986"/>
      <c r="E2011" s="986"/>
      <c r="F2011" s="986"/>
      <c r="G2011" s="664"/>
      <c r="H2011" s="986"/>
      <c r="I2011" s="986"/>
      <c r="J2011" s="986"/>
      <c r="K2011" s="986"/>
      <c r="L2011" s="664"/>
      <c r="M2011" s="664"/>
      <c r="N2011" s="986"/>
      <c r="O2011" s="309"/>
      <c r="P2011" s="230" t="s">
        <v>655</v>
      </c>
      <c r="Q2011" s="664"/>
      <c r="R2011" s="324"/>
      <c r="S2011" s="279"/>
      <c r="T2011" s="579"/>
      <c r="U2011" s="250"/>
      <c r="V2011" s="232"/>
      <c r="W2011" s="579"/>
      <c r="X2011" s="232"/>
      <c r="Y2011" s="232"/>
      <c r="Z2011" s="233"/>
      <c r="AA2011" s="233"/>
      <c r="AB2011" s="318"/>
      <c r="AC2011" s="236"/>
      <c r="AD2011" s="538"/>
      <c r="AE2011" s="494"/>
      <c r="AF2011" s="494"/>
      <c r="AG2011" s="535"/>
      <c r="AH2011" s="631"/>
      <c r="AI2011" s="632"/>
      <c r="AJ2011" s="576"/>
      <c r="AK2011" s="664"/>
      <c r="AL2011" s="113"/>
      <c r="AM2011" s="113"/>
      <c r="AN2011" s="748"/>
      <c r="AO2011" s="750"/>
    </row>
    <row r="2012" spans="1:46" ht="39" customHeight="1" x14ac:dyDescent="0.3">
      <c r="A2012" s="1468">
        <v>2011</v>
      </c>
      <c r="B2012" s="190"/>
      <c r="C2012" s="497" t="s">
        <v>656</v>
      </c>
      <c r="D2012" s="498"/>
      <c r="E2012" s="498" t="s">
        <v>47</v>
      </c>
      <c r="F2012" s="498"/>
      <c r="G2012" s="499" t="s">
        <v>657</v>
      </c>
      <c r="H2012" s="500" t="s">
        <v>519</v>
      </c>
      <c r="I2012" s="479"/>
      <c r="J2012" s="281">
        <v>402</v>
      </c>
      <c r="K2012" s="277"/>
      <c r="L2012" s="277"/>
      <c r="M2012" s="277"/>
      <c r="N2012" s="276"/>
      <c r="O2012" s="277"/>
      <c r="P2012" s="720"/>
      <c r="Q2012" s="709"/>
      <c r="R2012" s="683" t="s">
        <v>66</v>
      </c>
      <c r="S2012" s="279"/>
      <c r="T2012" s="443"/>
      <c r="U2012" s="250"/>
      <c r="V2012" s="299"/>
      <c r="W2012" s="280"/>
      <c r="X2012" s="487"/>
      <c r="Y2012" s="1038"/>
      <c r="Z2012" s="588"/>
      <c r="AA2012" s="398"/>
      <c r="AB2012" s="441"/>
      <c r="AC2012" s="488"/>
      <c r="AD2012" s="756"/>
      <c r="AE2012" s="494"/>
      <c r="AF2012" s="494"/>
      <c r="AG2012" s="476"/>
      <c r="AH2012" s="487"/>
      <c r="AI2012" s="721"/>
      <c r="AJ2012" s="491"/>
      <c r="AK2012" s="498">
        <v>3</v>
      </c>
      <c r="AL2012" s="177" t="s">
        <v>4202</v>
      </c>
      <c r="AM2012" s="177" t="s">
        <v>646</v>
      </c>
      <c r="AN2012" s="169"/>
      <c r="AO2012" s="878"/>
      <c r="AR2012" s="115"/>
    </row>
    <row r="2013" spans="1:46" ht="39" customHeight="1" x14ac:dyDescent="0.3">
      <c r="A2013" s="1468">
        <v>2012</v>
      </c>
      <c r="B2013" s="190"/>
      <c r="C2013" s="378" t="s">
        <v>397</v>
      </c>
      <c r="D2013" s="303"/>
      <c r="E2013" s="241"/>
      <c r="F2013" s="241"/>
      <c r="G2013" s="261" t="s">
        <v>658</v>
      </c>
      <c r="H2013" s="262" t="s">
        <v>85</v>
      </c>
      <c r="I2013" s="357"/>
      <c r="J2013" s="245" t="s">
        <v>556</v>
      </c>
      <c r="K2013" s="257"/>
      <c r="L2013" s="281"/>
      <c r="M2013" s="281"/>
      <c r="N2013" s="245"/>
      <c r="O2013" s="277" t="s">
        <v>3651</v>
      </c>
      <c r="P2013" s="720"/>
      <c r="Q2013" s="709" t="s">
        <v>567</v>
      </c>
      <c r="R2013" s="998" t="s">
        <v>3650</v>
      </c>
      <c r="S2013" s="279">
        <v>29955</v>
      </c>
      <c r="T2013" s="289"/>
      <c r="U2013" s="251" t="s">
        <v>54</v>
      </c>
      <c r="V2013" s="306" t="s">
        <v>3959</v>
      </c>
      <c r="W2013" s="197" t="s">
        <v>56</v>
      </c>
      <c r="X2013" s="197" t="s">
        <v>57</v>
      </c>
      <c r="Y2013" s="299" t="s">
        <v>3960</v>
      </c>
      <c r="Z2013" s="289">
        <v>45204</v>
      </c>
      <c r="AA2013" s="289"/>
      <c r="AB2013" s="299"/>
      <c r="AC2013" s="223"/>
      <c r="AD2013" s="299"/>
      <c r="AE2013" s="494"/>
      <c r="AF2013" s="494"/>
      <c r="AG2013" s="299"/>
      <c r="AH2013" s="299"/>
      <c r="AI2013" s="296"/>
      <c r="AJ2013" s="491" t="s">
        <v>560</v>
      </c>
      <c r="AK2013" s="241">
        <v>4</v>
      </c>
      <c r="AL2013" s="177" t="s">
        <v>4202</v>
      </c>
      <c r="AM2013" s="122" t="s">
        <v>646</v>
      </c>
      <c r="AN2013" s="121"/>
      <c r="AO2013" s="3"/>
      <c r="AR2013" s="115"/>
    </row>
    <row r="2014" spans="1:46" ht="39" customHeight="1" x14ac:dyDescent="0.3">
      <c r="A2014" s="1468">
        <v>2013</v>
      </c>
      <c r="B2014" s="190"/>
      <c r="C2014" s="260" t="s">
        <v>659</v>
      </c>
      <c r="D2014" s="241"/>
      <c r="E2014" s="241"/>
      <c r="F2014" s="241"/>
      <c r="G2014" s="261" t="s">
        <v>660</v>
      </c>
      <c r="H2014" s="262" t="s">
        <v>87</v>
      </c>
      <c r="I2014" s="357"/>
      <c r="J2014" s="245" t="s">
        <v>561</v>
      </c>
      <c r="K2014" s="257"/>
      <c r="L2014" s="301"/>
      <c r="M2014" s="301"/>
      <c r="N2014" s="299"/>
      <c r="O2014" s="277" t="s">
        <v>3631</v>
      </c>
      <c r="P2014" s="720"/>
      <c r="Q2014" s="709" t="s">
        <v>293</v>
      </c>
      <c r="R2014" s="998" t="s">
        <v>3630</v>
      </c>
      <c r="S2014" s="279">
        <v>26831</v>
      </c>
      <c r="T2014" s="289"/>
      <c r="U2014" s="251" t="s">
        <v>54</v>
      </c>
      <c r="V2014" s="306" t="s">
        <v>3959</v>
      </c>
      <c r="W2014" s="197" t="s">
        <v>56</v>
      </c>
      <c r="X2014" s="197" t="s">
        <v>57</v>
      </c>
      <c r="Y2014" s="299" t="s">
        <v>3960</v>
      </c>
      <c r="Z2014" s="289">
        <v>45204</v>
      </c>
      <c r="AA2014" s="612"/>
      <c r="AB2014" s="299"/>
      <c r="AC2014" s="223"/>
      <c r="AD2014" s="299"/>
      <c r="AE2014" s="494"/>
      <c r="AF2014" s="494"/>
      <c r="AG2014" s="299"/>
      <c r="AH2014" s="299"/>
      <c r="AI2014" s="254"/>
      <c r="AJ2014" s="491" t="s">
        <v>560</v>
      </c>
      <c r="AK2014" s="241">
        <v>4</v>
      </c>
      <c r="AL2014" s="177" t="s">
        <v>4202</v>
      </c>
      <c r="AM2014" s="122" t="s">
        <v>646</v>
      </c>
      <c r="AN2014" s="121"/>
      <c r="AO2014" s="3"/>
      <c r="AR2014" s="115"/>
    </row>
    <row r="2015" spans="1:46" ht="39" customHeight="1" x14ac:dyDescent="0.3">
      <c r="A2015" s="1468">
        <v>2014</v>
      </c>
      <c r="B2015" s="190"/>
      <c r="C2015" s="549" t="s">
        <v>625</v>
      </c>
      <c r="D2015" s="471" t="s">
        <v>134</v>
      </c>
      <c r="E2015" s="471"/>
      <c r="F2015" s="471"/>
      <c r="G2015" s="472" t="s">
        <v>626</v>
      </c>
      <c r="H2015" s="262" t="s">
        <v>87</v>
      </c>
      <c r="I2015" s="473"/>
      <c r="J2015" s="245" t="s">
        <v>561</v>
      </c>
      <c r="K2015" s="216"/>
      <c r="L2015" s="301"/>
      <c r="M2015" s="301"/>
      <c r="N2015" s="245"/>
      <c r="O2015" s="277" t="s">
        <v>3635</v>
      </c>
      <c r="P2015" s="720"/>
      <c r="Q2015" s="709" t="s">
        <v>293</v>
      </c>
      <c r="R2015" s="998" t="s">
        <v>3634</v>
      </c>
      <c r="S2015" s="279">
        <v>33449</v>
      </c>
      <c r="T2015" s="197"/>
      <c r="U2015" s="197"/>
      <c r="V2015" s="306"/>
      <c r="W2015" s="197"/>
      <c r="X2015" s="197"/>
      <c r="Y2015" s="299"/>
      <c r="Z2015" s="289"/>
      <c r="AA2015" s="252"/>
      <c r="AB2015" s="282"/>
      <c r="AC2015" s="223"/>
      <c r="AD2015" s="281"/>
      <c r="AE2015" s="494"/>
      <c r="AF2015" s="494"/>
      <c r="AG2015" s="241"/>
      <c r="AH2015" s="283"/>
      <c r="AI2015" s="254"/>
      <c r="AJ2015" s="348" t="s">
        <v>560</v>
      </c>
      <c r="AK2015" s="241">
        <v>4</v>
      </c>
      <c r="AL2015" s="177" t="s">
        <v>4202</v>
      </c>
      <c r="AM2015" s="122" t="s">
        <v>646</v>
      </c>
      <c r="AN2015" s="166" t="s">
        <v>1385</v>
      </c>
      <c r="AO2015" s="875"/>
      <c r="AR2015" s="115"/>
      <c r="AS2015" s="115"/>
      <c r="AT2015" s="115"/>
    </row>
    <row r="2016" spans="1:46" s="827" customFormat="1" ht="39" customHeight="1" x14ac:dyDescent="0.3">
      <c r="A2016" s="1468">
        <v>2015</v>
      </c>
      <c r="B2016" s="190"/>
      <c r="C2016" s="723"/>
      <c r="D2016" s="723"/>
      <c r="E2016" s="723"/>
      <c r="F2016" s="723"/>
      <c r="G2016" s="232"/>
      <c r="H2016" s="232"/>
      <c r="I2016" s="723"/>
      <c r="J2016" s="723"/>
      <c r="K2016" s="723"/>
      <c r="L2016" s="232"/>
      <c r="M2016" s="232"/>
      <c r="N2016" s="723"/>
      <c r="O2016" s="232"/>
      <c r="P2016" s="230" t="s">
        <v>661</v>
      </c>
      <c r="Q2016" s="723"/>
      <c r="R2016" s="324"/>
      <c r="S2016" s="279"/>
      <c r="T2016" s="723"/>
      <c r="U2016" s="250"/>
      <c r="V2016" s="723"/>
      <c r="W2016" s="232"/>
      <c r="X2016" s="232"/>
      <c r="Y2016" s="723"/>
      <c r="Z2016" s="723"/>
      <c r="AA2016" s="723"/>
      <c r="AB2016" s="232"/>
      <c r="AC2016" s="723"/>
      <c r="AD2016" s="723"/>
      <c r="AE2016" s="494"/>
      <c r="AF2016" s="494"/>
      <c r="AG2016" s="723"/>
      <c r="AH2016" s="723"/>
      <c r="AI2016" s="232"/>
      <c r="AJ2016" s="232"/>
      <c r="AK2016" s="232"/>
      <c r="AL2016" s="748"/>
      <c r="AM2016" s="748"/>
      <c r="AN2016" s="748"/>
      <c r="AO2016" s="750"/>
      <c r="AP2016" s="192"/>
      <c r="AQ2016" s="192"/>
      <c r="AR2016" s="192"/>
      <c r="AS2016" s="192"/>
      <c r="AT2016" s="192"/>
    </row>
    <row r="2017" spans="1:46" ht="39" customHeight="1" x14ac:dyDescent="0.3">
      <c r="A2017" s="1468">
        <v>2016</v>
      </c>
      <c r="B2017" s="161">
        <v>14</v>
      </c>
      <c r="C2017" s="784" t="s">
        <v>277</v>
      </c>
      <c r="D2017" s="487"/>
      <c r="E2017" s="728"/>
      <c r="F2017" s="487"/>
      <c r="G2017" s="730">
        <v>1010003</v>
      </c>
      <c r="H2017" s="733" t="s">
        <v>78</v>
      </c>
      <c r="I2017" s="418"/>
      <c r="J2017" s="245">
        <v>300</v>
      </c>
      <c r="K2017" s="816" t="s">
        <v>50</v>
      </c>
      <c r="L2017" s="554" t="s">
        <v>1286</v>
      </c>
      <c r="M2017" s="554" t="s">
        <v>1286</v>
      </c>
      <c r="N2017" s="809"/>
      <c r="O2017" s="816" t="s">
        <v>1287</v>
      </c>
      <c r="P2017" s="899"/>
      <c r="Q2017" s="744" t="s">
        <v>83</v>
      </c>
      <c r="R2017" s="1181" t="s">
        <v>1288</v>
      </c>
      <c r="S2017" s="279">
        <v>35502</v>
      </c>
      <c r="T2017" s="840"/>
      <c r="U2017" s="251" t="s">
        <v>54</v>
      </c>
      <c r="V2017" s="818" t="s">
        <v>950</v>
      </c>
      <c r="W2017" s="819" t="s">
        <v>56</v>
      </c>
      <c r="X2017" s="819" t="s">
        <v>57</v>
      </c>
      <c r="Y2017" s="819" t="s">
        <v>951</v>
      </c>
      <c r="Z2017" s="818">
        <v>44828</v>
      </c>
      <c r="AA2017" s="841"/>
      <c r="AB2017" s="900"/>
      <c r="AC2017" s="822" t="s">
        <v>946</v>
      </c>
      <c r="AD2017" s="554"/>
      <c r="AE2017" s="494">
        <v>44020</v>
      </c>
      <c r="AF2017" s="494">
        <v>45114</v>
      </c>
      <c r="AG2017" s="805" t="s">
        <v>61</v>
      </c>
      <c r="AH2017" s="823"/>
      <c r="AI2017" s="901"/>
      <c r="AJ2017" s="824" t="s">
        <v>62</v>
      </c>
      <c r="AK2017" s="442">
        <v>1</v>
      </c>
      <c r="AL2017" s="169" t="s">
        <v>4203</v>
      </c>
      <c r="AM2017" s="169" t="s">
        <v>662</v>
      </c>
      <c r="AN2017" s="169"/>
      <c r="AO2017" s="878"/>
      <c r="AR2017" s="115"/>
    </row>
    <row r="2018" spans="1:46" ht="39" customHeight="1" x14ac:dyDescent="0.3">
      <c r="A2018" s="1468">
        <v>2017</v>
      </c>
      <c r="B2018" s="161">
        <v>9</v>
      </c>
      <c r="C2018" s="633" t="s">
        <v>284</v>
      </c>
      <c r="D2018" s="350"/>
      <c r="E2018" s="350"/>
      <c r="F2018" s="350"/>
      <c r="G2018" s="350" t="s">
        <v>285</v>
      </c>
      <c r="H2018" s="350" t="s">
        <v>663</v>
      </c>
      <c r="I2018" s="302"/>
      <c r="J2018" s="302"/>
      <c r="K2018" s="265"/>
      <c r="L2018" s="438"/>
      <c r="M2018" s="438"/>
      <c r="N2018" s="265"/>
      <c r="O2018" s="392" t="s">
        <v>2327</v>
      </c>
      <c r="P2018" s="689" t="s">
        <v>1828</v>
      </c>
      <c r="Q2018" s="317" t="s">
        <v>153</v>
      </c>
      <c r="R2018" s="1170" t="s">
        <v>2326</v>
      </c>
      <c r="S2018" s="279">
        <v>23645</v>
      </c>
      <c r="T2018" s="268"/>
      <c r="U2018" s="197" t="s">
        <v>54</v>
      </c>
      <c r="V2018" s="1546" t="s">
        <v>6226</v>
      </c>
      <c r="W2018" s="197" t="s">
        <v>70</v>
      </c>
      <c r="X2018" s="197" t="s">
        <v>71</v>
      </c>
      <c r="Y2018" s="981" t="s">
        <v>6231</v>
      </c>
      <c r="Z2018" s="252">
        <v>45328</v>
      </c>
      <c r="AA2018" s="405"/>
      <c r="AB2018" s="717"/>
      <c r="AC2018" s="474"/>
      <c r="AD2018" s="438"/>
      <c r="AE2018" s="494"/>
      <c r="AF2018" s="494"/>
      <c r="AG2018" s="471"/>
      <c r="AH2018" s="585"/>
      <c r="AI2018" s="586"/>
      <c r="AJ2018" s="779" t="s">
        <v>47</v>
      </c>
      <c r="AK2018" s="350">
        <v>2</v>
      </c>
      <c r="AL2018" s="169" t="s">
        <v>4203</v>
      </c>
      <c r="AM2018" s="121" t="s">
        <v>662</v>
      </c>
      <c r="AN2018" s="121"/>
      <c r="AO2018" s="3"/>
      <c r="AR2018" s="115"/>
    </row>
    <row r="2019" spans="1:46" ht="39" customHeight="1" x14ac:dyDescent="0.3">
      <c r="A2019" s="1468">
        <v>2018</v>
      </c>
      <c r="B2019" s="161">
        <v>5</v>
      </c>
      <c r="C2019" s="358" t="s">
        <v>426</v>
      </c>
      <c r="D2019" s="302"/>
      <c r="E2019" s="302"/>
      <c r="F2019" s="302"/>
      <c r="G2019" s="197" t="s">
        <v>427</v>
      </c>
      <c r="H2019" s="262" t="s">
        <v>85</v>
      </c>
      <c r="I2019" s="302"/>
      <c r="J2019" s="245" t="s">
        <v>556</v>
      </c>
      <c r="K2019" s="197"/>
      <c r="L2019" s="299" t="s">
        <v>1508</v>
      </c>
      <c r="M2019" s="299" t="s">
        <v>5806</v>
      </c>
      <c r="N2019" s="245"/>
      <c r="O2019" s="1444" t="s">
        <v>3092</v>
      </c>
      <c r="P2019" s="706"/>
      <c r="Q2019" s="594" t="s">
        <v>87</v>
      </c>
      <c r="R2019" s="381" t="s">
        <v>1660</v>
      </c>
      <c r="S2019" s="279" t="s">
        <v>4761</v>
      </c>
      <c r="T2019" s="289"/>
      <c r="U2019" s="250"/>
      <c r="V2019" s="246"/>
      <c r="W2019" s="197"/>
      <c r="X2019" s="401"/>
      <c r="Y2019" s="197"/>
      <c r="Z2019" s="246"/>
      <c r="AA2019" s="281"/>
      <c r="AB2019" s="307" t="s">
        <v>4405</v>
      </c>
      <c r="AC2019" s="223" t="s">
        <v>482</v>
      </c>
      <c r="AD2019" s="245"/>
      <c r="AE2019" s="252" t="s">
        <v>470</v>
      </c>
      <c r="AF2019" s="252">
        <v>45479</v>
      </c>
      <c r="AG2019" s="241"/>
      <c r="AH2019" s="253"/>
      <c r="AI2019" s="284" t="s">
        <v>1351</v>
      </c>
      <c r="AJ2019" s="303" t="s">
        <v>136</v>
      </c>
      <c r="AK2019" s="197">
        <v>4</v>
      </c>
      <c r="AL2019" s="169" t="s">
        <v>4203</v>
      </c>
      <c r="AM2019" s="121" t="s">
        <v>662</v>
      </c>
      <c r="AN2019" s="121"/>
      <c r="AO2019" s="3"/>
      <c r="AR2019" s="115"/>
    </row>
    <row r="2020" spans="1:46" ht="39" customHeight="1" x14ac:dyDescent="0.3">
      <c r="A2020" s="1468">
        <v>2019</v>
      </c>
      <c r="B2020" s="161">
        <v>2</v>
      </c>
      <c r="C2020" s="520" t="s">
        <v>299</v>
      </c>
      <c r="D2020" s="832"/>
      <c r="E2020" s="832"/>
      <c r="F2020" s="832"/>
      <c r="G2020" s="268" t="s">
        <v>300</v>
      </c>
      <c r="H2020" s="262" t="s">
        <v>85</v>
      </c>
      <c r="I2020" s="832"/>
      <c r="J2020" s="245" t="s">
        <v>556</v>
      </c>
      <c r="K2020" s="216" t="s">
        <v>4731</v>
      </c>
      <c r="L2020" s="301" t="s">
        <v>4853</v>
      </c>
      <c r="M2020" s="216" t="s">
        <v>4853</v>
      </c>
      <c r="N2020" s="366"/>
      <c r="O2020" s="216" t="s">
        <v>4924</v>
      </c>
      <c r="P2020" s="367"/>
      <c r="Q2020" s="301" t="s">
        <v>293</v>
      </c>
      <c r="R2020" s="683" t="s">
        <v>4925</v>
      </c>
      <c r="S2020" s="279">
        <v>37920</v>
      </c>
      <c r="T2020" s="306"/>
      <c r="U2020" s="250"/>
      <c r="V2020" s="301"/>
      <c r="W2020" s="250"/>
      <c r="X2020" s="197"/>
      <c r="Y2020" s="197"/>
      <c r="Z2020" s="246"/>
      <c r="AA2020" s="246"/>
      <c r="AB2020" s="301" t="s">
        <v>4926</v>
      </c>
      <c r="AC2020" s="223" t="s">
        <v>946</v>
      </c>
      <c r="AD2020" s="245" t="s">
        <v>467</v>
      </c>
      <c r="AE2020" s="494">
        <v>45245</v>
      </c>
      <c r="AF2020" s="494">
        <v>45610</v>
      </c>
      <c r="AG2020" s="301"/>
      <c r="AH2020" s="301"/>
      <c r="AI2020" s="254" t="s">
        <v>4208</v>
      </c>
      <c r="AJ2020" s="303" t="s">
        <v>136</v>
      </c>
      <c r="AK2020" s="268">
        <v>4</v>
      </c>
      <c r="AL2020" s="169" t="s">
        <v>4203</v>
      </c>
      <c r="AM2020" s="166" t="s">
        <v>662</v>
      </c>
      <c r="AN2020" s="166"/>
      <c r="AO2020" s="875"/>
      <c r="AR2020" s="115"/>
    </row>
    <row r="2021" spans="1:46" s="827" customFormat="1" ht="39" customHeight="1" x14ac:dyDescent="0.3">
      <c r="A2021" s="1468">
        <v>2020</v>
      </c>
      <c r="B2021" s="161"/>
      <c r="C2021" s="723"/>
      <c r="D2021" s="723"/>
      <c r="E2021" s="723"/>
      <c r="F2021" s="723"/>
      <c r="G2021" s="232"/>
      <c r="H2021" s="232"/>
      <c r="I2021" s="723"/>
      <c r="J2021" s="723"/>
      <c r="K2021" s="723"/>
      <c r="L2021" s="232"/>
      <c r="M2021" s="232"/>
      <c r="N2021" s="723"/>
      <c r="O2021" s="232"/>
      <c r="P2021" s="230" t="s">
        <v>664</v>
      </c>
      <c r="Q2021" s="723"/>
      <c r="R2021" s="324"/>
      <c r="S2021" s="279"/>
      <c r="T2021" s="723"/>
      <c r="U2021" s="250"/>
      <c r="V2021" s="723"/>
      <c r="W2021" s="232"/>
      <c r="X2021" s="232"/>
      <c r="Y2021" s="723"/>
      <c r="Z2021" s="723"/>
      <c r="AA2021" s="723"/>
      <c r="AB2021" s="232"/>
      <c r="AC2021" s="723"/>
      <c r="AD2021" s="723"/>
      <c r="AE2021" s="494"/>
      <c r="AF2021" s="494"/>
      <c r="AG2021" s="723"/>
      <c r="AH2021" s="723"/>
      <c r="AI2021" s="232"/>
      <c r="AJ2021" s="232"/>
      <c r="AK2021" s="232"/>
      <c r="AL2021" s="748"/>
      <c r="AM2021" s="748"/>
      <c r="AN2021" s="748"/>
      <c r="AO2021" s="750"/>
      <c r="AP2021" s="192"/>
      <c r="AQ2021" s="192"/>
      <c r="AR2021" s="192"/>
      <c r="AS2021" s="192"/>
      <c r="AT2021" s="192"/>
    </row>
    <row r="2022" spans="1:46" ht="39" customHeight="1" x14ac:dyDescent="0.3">
      <c r="A2022" s="1468">
        <v>2021</v>
      </c>
      <c r="B2022" s="161">
        <v>10</v>
      </c>
      <c r="C2022" s="930" t="s">
        <v>305</v>
      </c>
      <c r="D2022" s="551"/>
      <c r="E2022" s="744"/>
      <c r="F2022" s="551"/>
      <c r="G2022" s="838">
        <v>1010003</v>
      </c>
      <c r="H2022" s="244" t="s">
        <v>83</v>
      </c>
      <c r="I2022" s="898"/>
      <c r="J2022" s="245">
        <v>302</v>
      </c>
      <c r="K2022" s="816"/>
      <c r="L2022" s="554" t="s">
        <v>3676</v>
      </c>
      <c r="M2022" s="554" t="s">
        <v>3676</v>
      </c>
      <c r="N2022" s="809"/>
      <c r="O2022" s="816" t="s">
        <v>3675</v>
      </c>
      <c r="P2022" s="899"/>
      <c r="Q2022" s="744" t="s">
        <v>2053</v>
      </c>
      <c r="R2022" s="1181" t="s">
        <v>3674</v>
      </c>
      <c r="S2022" s="279">
        <v>32308</v>
      </c>
      <c r="T2022" s="840"/>
      <c r="U2022" s="250" t="s">
        <v>54</v>
      </c>
      <c r="V2022" s="268" t="s">
        <v>6226</v>
      </c>
      <c r="W2022" s="819" t="s">
        <v>56</v>
      </c>
      <c r="X2022" s="819" t="s">
        <v>57</v>
      </c>
      <c r="Y2022" s="981" t="s">
        <v>6232</v>
      </c>
      <c r="Z2022" s="1526">
        <v>45328</v>
      </c>
      <c r="AA2022" s="405"/>
      <c r="AB2022" s="900"/>
      <c r="AC2022" s="822"/>
      <c r="AD2022" s="554"/>
      <c r="AE2022" s="494"/>
      <c r="AF2022" s="494"/>
      <c r="AG2022" s="805"/>
      <c r="AH2022" s="823"/>
      <c r="AI2022" s="901"/>
      <c r="AJ2022" s="824" t="s">
        <v>62</v>
      </c>
      <c r="AK2022" s="806">
        <v>1</v>
      </c>
      <c r="AL2022" s="882" t="s">
        <v>665</v>
      </c>
      <c r="AM2022" s="882" t="s">
        <v>662</v>
      </c>
      <c r="AN2022" s="882"/>
      <c r="AO2022" s="883"/>
      <c r="AR2022" s="115"/>
    </row>
    <row r="2023" spans="1:46" s="827" customFormat="1" ht="39" customHeight="1" x14ac:dyDescent="0.3">
      <c r="A2023" s="1468">
        <v>2022</v>
      </c>
      <c r="B2023" s="161"/>
      <c r="C2023" s="723"/>
      <c r="D2023" s="723"/>
      <c r="E2023" s="723"/>
      <c r="F2023" s="723"/>
      <c r="G2023" s="232"/>
      <c r="H2023" s="232"/>
      <c r="I2023" s="723"/>
      <c r="J2023" s="723"/>
      <c r="K2023" s="723"/>
      <c r="L2023" s="232"/>
      <c r="M2023" s="232"/>
      <c r="N2023" s="723"/>
      <c r="O2023" s="232"/>
      <c r="P2023" s="230" t="s">
        <v>602</v>
      </c>
      <c r="Q2023" s="723"/>
      <c r="R2023" s="324"/>
      <c r="S2023" s="279"/>
      <c r="T2023" s="723"/>
      <c r="U2023" s="250"/>
      <c r="V2023" s="723"/>
      <c r="W2023" s="232"/>
      <c r="X2023" s="232"/>
      <c r="Y2023" s="723"/>
      <c r="Z2023" s="723"/>
      <c r="AA2023" s="723"/>
      <c r="AB2023" s="232"/>
      <c r="AC2023" s="723"/>
      <c r="AD2023" s="723"/>
      <c r="AE2023" s="494"/>
      <c r="AF2023" s="494"/>
      <c r="AG2023" s="723"/>
      <c r="AH2023" s="723"/>
      <c r="AI2023" s="232"/>
      <c r="AJ2023" s="232"/>
      <c r="AK2023" s="232"/>
      <c r="AL2023" s="748"/>
      <c r="AM2023" s="748"/>
      <c r="AN2023" s="748"/>
      <c r="AO2023" s="750"/>
      <c r="AP2023" s="192"/>
      <c r="AQ2023" s="192"/>
      <c r="AR2023" s="192"/>
      <c r="AS2023" s="192"/>
      <c r="AT2023" s="192"/>
    </row>
    <row r="2024" spans="1:46" ht="39" customHeight="1" x14ac:dyDescent="0.3">
      <c r="A2024" s="1468">
        <v>2023</v>
      </c>
      <c r="B2024" s="161">
        <v>7</v>
      </c>
      <c r="C2024" s="934" t="s">
        <v>374</v>
      </c>
      <c r="D2024" s="864"/>
      <c r="E2024" s="864"/>
      <c r="F2024" s="864"/>
      <c r="G2024" s="846" t="s">
        <v>2063</v>
      </c>
      <c r="H2024" s="846" t="s">
        <v>132</v>
      </c>
      <c r="I2024" s="642"/>
      <c r="J2024" s="256">
        <v>403</v>
      </c>
      <c r="K2024" s="642"/>
      <c r="L2024" s="625" t="s">
        <v>4055</v>
      </c>
      <c r="M2024" s="625" t="s">
        <v>4055</v>
      </c>
      <c r="N2024" s="642"/>
      <c r="O2024" s="625" t="s">
        <v>4075</v>
      </c>
      <c r="P2024" s="625" t="s">
        <v>1828</v>
      </c>
      <c r="Q2024" s="709" t="s">
        <v>567</v>
      </c>
      <c r="R2024" s="998" t="s">
        <v>4074</v>
      </c>
      <c r="S2024" s="279">
        <v>33256</v>
      </c>
      <c r="T2024" s="642"/>
      <c r="U2024" s="250"/>
      <c r="V2024" s="983"/>
      <c r="W2024" s="197" t="s">
        <v>5421</v>
      </c>
      <c r="X2024" s="197"/>
      <c r="Y2024" s="949"/>
      <c r="Z2024" s="252"/>
      <c r="AA2024" s="252"/>
      <c r="AB2024" s="1293"/>
      <c r="AC2024" s="642"/>
      <c r="AD2024" s="661"/>
      <c r="AE2024" s="494"/>
      <c r="AF2024" s="494"/>
      <c r="AG2024" s="642"/>
      <c r="AH2024" s="642"/>
      <c r="AI2024" s="625"/>
      <c r="AJ2024" s="348" t="s">
        <v>560</v>
      </c>
      <c r="AK2024" s="846">
        <v>3</v>
      </c>
      <c r="AL2024" s="169" t="s">
        <v>665</v>
      </c>
      <c r="AM2024" s="169" t="s">
        <v>662</v>
      </c>
      <c r="AN2024" s="200"/>
      <c r="AO2024" s="193"/>
      <c r="AR2024" s="115"/>
    </row>
    <row r="2025" spans="1:46" ht="39" customHeight="1" x14ac:dyDescent="0.3">
      <c r="A2025" s="1468">
        <v>2024</v>
      </c>
      <c r="B2025" s="161">
        <v>3</v>
      </c>
      <c r="C2025" s="1136" t="s">
        <v>666</v>
      </c>
      <c r="D2025" s="595"/>
      <c r="E2025" s="595"/>
      <c r="F2025" s="595"/>
      <c r="G2025" s="392" t="s">
        <v>667</v>
      </c>
      <c r="H2025" s="262" t="s">
        <v>85</v>
      </c>
      <c r="I2025" s="595"/>
      <c r="J2025" s="245" t="s">
        <v>556</v>
      </c>
      <c r="K2025" s="197" t="s">
        <v>158</v>
      </c>
      <c r="L2025" s="301" t="s">
        <v>4853</v>
      </c>
      <c r="M2025" s="216" t="s">
        <v>4853</v>
      </c>
      <c r="N2025" s="366"/>
      <c r="O2025" s="216" t="s">
        <v>4932</v>
      </c>
      <c r="P2025" s="294"/>
      <c r="Q2025" s="301" t="s">
        <v>293</v>
      </c>
      <c r="R2025" s="683" t="s">
        <v>4933</v>
      </c>
      <c r="S2025" s="279">
        <v>37897</v>
      </c>
      <c r="T2025" s="250"/>
      <c r="U2025" s="250"/>
      <c r="V2025" s="301"/>
      <c r="W2025" s="250"/>
      <c r="X2025" s="197"/>
      <c r="Y2025" s="197"/>
      <c r="Z2025" s="246"/>
      <c r="AA2025" s="246"/>
      <c r="AB2025" s="197" t="s">
        <v>4934</v>
      </c>
      <c r="AC2025" s="223" t="s">
        <v>946</v>
      </c>
      <c r="AD2025" s="245" t="s">
        <v>467</v>
      </c>
      <c r="AE2025" s="494">
        <v>45245</v>
      </c>
      <c r="AF2025" s="494">
        <v>45610</v>
      </c>
      <c r="AG2025" s="282"/>
      <c r="AH2025" s="283"/>
      <c r="AI2025" s="254" t="s">
        <v>4208</v>
      </c>
      <c r="AJ2025" s="303" t="s">
        <v>136</v>
      </c>
      <c r="AK2025" s="241">
        <v>4</v>
      </c>
      <c r="AL2025" s="121" t="s">
        <v>665</v>
      </c>
      <c r="AM2025" s="121" t="s">
        <v>662</v>
      </c>
      <c r="AN2025" s="199"/>
      <c r="AO2025" s="190"/>
      <c r="AR2025" s="115"/>
    </row>
    <row r="2026" spans="1:46" ht="39" customHeight="1" x14ac:dyDescent="0.3">
      <c r="A2026" s="1468">
        <v>2025</v>
      </c>
      <c r="B2026" s="161">
        <v>3</v>
      </c>
      <c r="C2026" s="1136" t="s">
        <v>666</v>
      </c>
      <c r="D2026" s="595"/>
      <c r="E2026" s="595"/>
      <c r="F2026" s="595"/>
      <c r="G2026" s="392" t="s">
        <v>667</v>
      </c>
      <c r="H2026" s="262" t="s">
        <v>85</v>
      </c>
      <c r="I2026" s="595"/>
      <c r="J2026" s="245" t="s">
        <v>556</v>
      </c>
      <c r="K2026" s="450"/>
      <c r="L2026" s="394" t="s">
        <v>3595</v>
      </c>
      <c r="M2026" s="394" t="s">
        <v>3595</v>
      </c>
      <c r="N2026" s="450"/>
      <c r="O2026" s="265" t="s">
        <v>3594</v>
      </c>
      <c r="P2026" s="450"/>
      <c r="Q2026" s="301" t="s">
        <v>293</v>
      </c>
      <c r="R2026" s="572" t="s">
        <v>3593</v>
      </c>
      <c r="S2026" s="279">
        <v>37787</v>
      </c>
      <c r="T2026" s="396"/>
      <c r="U2026" s="251" t="s">
        <v>54</v>
      </c>
      <c r="V2026" s="306" t="s">
        <v>4730</v>
      </c>
      <c r="W2026" s="250" t="s">
        <v>4605</v>
      </c>
      <c r="X2026" s="250" t="s">
        <v>465</v>
      </c>
      <c r="Y2026" s="197" t="s">
        <v>4812</v>
      </c>
      <c r="Z2026" s="246">
        <v>45243</v>
      </c>
      <c r="AA2026" s="450"/>
      <c r="AB2026" s="250" t="s">
        <v>4543</v>
      </c>
      <c r="AC2026" s="474" t="s">
        <v>4221</v>
      </c>
      <c r="AD2026" s="396"/>
      <c r="AE2026" s="494">
        <v>45070</v>
      </c>
      <c r="AF2026" s="494">
        <v>45435</v>
      </c>
      <c r="AG2026" s="450"/>
      <c r="AH2026" s="438"/>
      <c r="AI2026" s="254" t="s">
        <v>1351</v>
      </c>
      <c r="AJ2026" s="303" t="s">
        <v>136</v>
      </c>
      <c r="AK2026" s="241">
        <v>4</v>
      </c>
      <c r="AL2026" s="121" t="s">
        <v>665</v>
      </c>
      <c r="AM2026" s="121" t="s">
        <v>662</v>
      </c>
      <c r="AN2026" s="199"/>
      <c r="AO2026" s="190"/>
      <c r="AR2026" s="115"/>
    </row>
    <row r="2027" spans="1:46" ht="39" customHeight="1" x14ac:dyDescent="0.3">
      <c r="A2027" s="1468">
        <v>2026</v>
      </c>
      <c r="B2027" s="161">
        <v>2</v>
      </c>
      <c r="C2027" s="1136" t="s">
        <v>605</v>
      </c>
      <c r="D2027" s="595"/>
      <c r="E2027" s="595"/>
      <c r="F2027" s="595"/>
      <c r="G2027" s="392" t="s">
        <v>668</v>
      </c>
      <c r="H2027" s="262" t="s">
        <v>87</v>
      </c>
      <c r="I2027" s="595"/>
      <c r="J2027" s="245" t="s">
        <v>561</v>
      </c>
      <c r="K2027" s="305" t="s">
        <v>158</v>
      </c>
      <c r="L2027" s="301" t="s">
        <v>4853</v>
      </c>
      <c r="M2027" s="301" t="s">
        <v>4853</v>
      </c>
      <c r="N2027" s="366"/>
      <c r="O2027" s="216" t="s">
        <v>4921</v>
      </c>
      <c r="P2027" s="305"/>
      <c r="Q2027" s="301" t="s">
        <v>293</v>
      </c>
      <c r="R2027" s="683" t="s">
        <v>4922</v>
      </c>
      <c r="S2027" s="279">
        <v>38161</v>
      </c>
      <c r="T2027" s="306"/>
      <c r="U2027" s="250"/>
      <c r="V2027" s="301"/>
      <c r="W2027" s="250"/>
      <c r="X2027" s="197"/>
      <c r="Y2027" s="197"/>
      <c r="Z2027" s="246"/>
      <c r="AA2027" s="282"/>
      <c r="AB2027" s="282" t="s">
        <v>4923</v>
      </c>
      <c r="AC2027" s="223" t="s">
        <v>946</v>
      </c>
      <c r="AD2027" s="245" t="s">
        <v>467</v>
      </c>
      <c r="AE2027" s="494">
        <v>45245</v>
      </c>
      <c r="AF2027" s="494">
        <v>45610</v>
      </c>
      <c r="AG2027" s="289"/>
      <c r="AH2027" s="289"/>
      <c r="AI2027" s="254" t="s">
        <v>4208</v>
      </c>
      <c r="AJ2027" s="303" t="s">
        <v>136</v>
      </c>
      <c r="AK2027" s="241">
        <v>4</v>
      </c>
      <c r="AL2027" s="121" t="s">
        <v>665</v>
      </c>
      <c r="AM2027" s="121" t="s">
        <v>662</v>
      </c>
      <c r="AN2027" s="199"/>
      <c r="AO2027" s="190"/>
      <c r="AR2027" s="115"/>
    </row>
    <row r="2028" spans="1:46" ht="39" customHeight="1" x14ac:dyDescent="0.3">
      <c r="A2028" s="1468">
        <v>2027</v>
      </c>
      <c r="B2028" s="161">
        <v>2</v>
      </c>
      <c r="C2028" s="1136" t="s">
        <v>605</v>
      </c>
      <c r="D2028" s="595"/>
      <c r="E2028" s="595"/>
      <c r="F2028" s="595"/>
      <c r="G2028" s="392" t="s">
        <v>668</v>
      </c>
      <c r="H2028" s="262" t="s">
        <v>87</v>
      </c>
      <c r="I2028" s="595"/>
      <c r="J2028" s="245" t="s">
        <v>561</v>
      </c>
      <c r="K2028" s="216"/>
      <c r="L2028" s="216" t="s">
        <v>5446</v>
      </c>
      <c r="M2028" s="216" t="s">
        <v>5446</v>
      </c>
      <c r="N2028" s="366"/>
      <c r="O2028" s="216" t="s">
        <v>5445</v>
      </c>
      <c r="P2028" s="367" t="s">
        <v>1828</v>
      </c>
      <c r="Q2028" s="709" t="s">
        <v>87</v>
      </c>
      <c r="R2028" s="998" t="s">
        <v>5444</v>
      </c>
      <c r="S2028" s="279">
        <v>31176</v>
      </c>
      <c r="T2028" s="306"/>
      <c r="U2028" s="251" t="s">
        <v>54</v>
      </c>
      <c r="V2028" s="197" t="s">
        <v>5955</v>
      </c>
      <c r="W2028" s="197" t="s">
        <v>70</v>
      </c>
      <c r="X2028" s="197" t="s">
        <v>71</v>
      </c>
      <c r="Y2028" s="949" t="s">
        <v>5964</v>
      </c>
      <c r="Z2028" s="612">
        <v>45312</v>
      </c>
      <c r="AA2028" s="246"/>
      <c r="AB2028" s="301"/>
      <c r="AC2028" s="223"/>
      <c r="AD2028" s="245"/>
      <c r="AE2028" s="494"/>
      <c r="AF2028" s="494"/>
      <c r="AG2028" s="301"/>
      <c r="AH2028" s="301"/>
      <c r="AI2028" s="254"/>
      <c r="AJ2028" s="348" t="s">
        <v>560</v>
      </c>
      <c r="AK2028" s="241">
        <v>4</v>
      </c>
      <c r="AL2028" s="121" t="s">
        <v>665</v>
      </c>
      <c r="AM2028" s="121" t="s">
        <v>662</v>
      </c>
      <c r="AN2028" s="199"/>
      <c r="AO2028" s="190"/>
      <c r="AR2028" s="115"/>
    </row>
    <row r="2029" spans="1:46" ht="39" customHeight="1" x14ac:dyDescent="0.3">
      <c r="A2029" s="1468">
        <v>2028</v>
      </c>
      <c r="B2029" s="161">
        <v>2</v>
      </c>
      <c r="C2029" s="1100" t="s">
        <v>605</v>
      </c>
      <c r="D2029" s="595"/>
      <c r="E2029" s="595"/>
      <c r="F2029" s="595"/>
      <c r="G2029" s="392" t="s">
        <v>668</v>
      </c>
      <c r="H2029" s="262" t="s">
        <v>87</v>
      </c>
      <c r="I2029" s="595"/>
      <c r="J2029" s="245" t="s">
        <v>561</v>
      </c>
      <c r="K2029" s="216" t="s">
        <v>313</v>
      </c>
      <c r="L2029" s="250" t="s">
        <v>4853</v>
      </c>
      <c r="M2029" s="250" t="s">
        <v>4853</v>
      </c>
      <c r="N2029" s="366"/>
      <c r="O2029" s="216" t="s">
        <v>4927</v>
      </c>
      <c r="P2029" s="1254"/>
      <c r="Q2029" s="301" t="s">
        <v>293</v>
      </c>
      <c r="R2029" s="683" t="s">
        <v>4928</v>
      </c>
      <c r="S2029" s="279">
        <v>38291</v>
      </c>
      <c r="T2029" s="257"/>
      <c r="U2029" s="250"/>
      <c r="V2029" s="301"/>
      <c r="W2029" s="250"/>
      <c r="X2029" s="197"/>
      <c r="Y2029" s="197"/>
      <c r="Z2029" s="246"/>
      <c r="AA2029" s="252"/>
      <c r="AB2029" s="257" t="s">
        <v>4923</v>
      </c>
      <c r="AC2029" s="223" t="s">
        <v>946</v>
      </c>
      <c r="AD2029" s="245" t="s">
        <v>467</v>
      </c>
      <c r="AE2029" s="494">
        <v>45245</v>
      </c>
      <c r="AF2029" s="494">
        <v>45610</v>
      </c>
      <c r="AG2029" s="385"/>
      <c r="AH2029" s="281"/>
      <c r="AI2029" s="254" t="s">
        <v>4208</v>
      </c>
      <c r="AJ2029" s="303" t="s">
        <v>136</v>
      </c>
      <c r="AK2029" s="241">
        <v>4</v>
      </c>
      <c r="AL2029" s="121" t="s">
        <v>665</v>
      </c>
      <c r="AM2029" s="121" t="s">
        <v>662</v>
      </c>
      <c r="AN2029" s="199"/>
      <c r="AO2029" s="190"/>
      <c r="AR2029" s="115"/>
    </row>
    <row r="2030" spans="1:46" ht="39" customHeight="1" x14ac:dyDescent="0.3">
      <c r="A2030" s="1468">
        <v>2029</v>
      </c>
      <c r="B2030" s="161">
        <v>2</v>
      </c>
      <c r="C2030" s="1136" t="s">
        <v>605</v>
      </c>
      <c r="D2030" s="595"/>
      <c r="E2030" s="595"/>
      <c r="F2030" s="595"/>
      <c r="G2030" s="392" t="s">
        <v>668</v>
      </c>
      <c r="H2030" s="262" t="s">
        <v>87</v>
      </c>
      <c r="I2030" s="595"/>
      <c r="J2030" s="245" t="s">
        <v>561</v>
      </c>
      <c r="K2030" s="265" t="s">
        <v>2782</v>
      </c>
      <c r="L2030" s="265" t="s">
        <v>4853</v>
      </c>
      <c r="M2030" s="265" t="s">
        <v>4853</v>
      </c>
      <c r="N2030" s="404"/>
      <c r="O2030" s="216" t="s">
        <v>4929</v>
      </c>
      <c r="P2030" s="266"/>
      <c r="Q2030" s="281" t="s">
        <v>293</v>
      </c>
      <c r="R2030" s="683" t="s">
        <v>4930</v>
      </c>
      <c r="S2030" s="279">
        <v>38530</v>
      </c>
      <c r="T2030" s="414"/>
      <c r="U2030" s="250" t="s">
        <v>391</v>
      </c>
      <c r="V2030" s="301" t="s">
        <v>6193</v>
      </c>
      <c r="W2030" s="250" t="s">
        <v>3475</v>
      </c>
      <c r="X2030" s="197" t="s">
        <v>2002</v>
      </c>
      <c r="Y2030" s="197" t="s">
        <v>6194</v>
      </c>
      <c r="Z2030" s="246">
        <v>45324</v>
      </c>
      <c r="AA2030" s="246"/>
      <c r="AB2030" s="365" t="s">
        <v>4931</v>
      </c>
      <c r="AC2030" s="223" t="s">
        <v>946</v>
      </c>
      <c r="AD2030" s="245" t="s">
        <v>467</v>
      </c>
      <c r="AE2030" s="494">
        <v>45245</v>
      </c>
      <c r="AF2030" s="494">
        <v>45610</v>
      </c>
      <c r="AG2030" s="305"/>
      <c r="AH2030" s="283"/>
      <c r="AI2030" s="254" t="s">
        <v>4208</v>
      </c>
      <c r="AJ2030" s="303" t="s">
        <v>136</v>
      </c>
      <c r="AK2030" s="241">
        <v>4</v>
      </c>
      <c r="AL2030" s="121" t="s">
        <v>665</v>
      </c>
      <c r="AM2030" s="121" t="s">
        <v>662</v>
      </c>
      <c r="AN2030" s="199"/>
      <c r="AO2030" s="190"/>
      <c r="AR2030" s="115"/>
    </row>
    <row r="2031" spans="1:46" ht="39" customHeight="1" x14ac:dyDescent="0.3">
      <c r="A2031" s="1468">
        <v>2030</v>
      </c>
      <c r="B2031" s="161">
        <v>2</v>
      </c>
      <c r="C2031" s="1136" t="s">
        <v>605</v>
      </c>
      <c r="D2031" s="595"/>
      <c r="E2031" s="595"/>
      <c r="F2031" s="595"/>
      <c r="G2031" s="392" t="s">
        <v>668</v>
      </c>
      <c r="H2031" s="262" t="s">
        <v>87</v>
      </c>
      <c r="I2031" s="595"/>
      <c r="J2031" s="245" t="s">
        <v>561</v>
      </c>
      <c r="K2031" s="197"/>
      <c r="L2031" s="394" t="s">
        <v>5061</v>
      </c>
      <c r="M2031" s="394" t="s">
        <v>5061</v>
      </c>
      <c r="N2031" s="366"/>
      <c r="O2031" s="216" t="s">
        <v>5066</v>
      </c>
      <c r="P2031" s="294"/>
      <c r="Q2031" s="344" t="s">
        <v>87</v>
      </c>
      <c r="R2031" s="982" t="s">
        <v>5065</v>
      </c>
      <c r="S2031" s="279">
        <v>29453</v>
      </c>
      <c r="T2031" s="250"/>
      <c r="U2031" s="250"/>
      <c r="V2031" s="301"/>
      <c r="W2031" s="250"/>
      <c r="X2031" s="197"/>
      <c r="Y2031" s="197"/>
      <c r="Z2031" s="246"/>
      <c r="AA2031" s="246"/>
      <c r="AB2031" s="197"/>
      <c r="AC2031" s="223"/>
      <c r="AD2031" s="299"/>
      <c r="AE2031" s="494"/>
      <c r="AF2031" s="494"/>
      <c r="AG2031" s="282"/>
      <c r="AH2031" s="283"/>
      <c r="AI2031" s="254"/>
      <c r="AJ2031" s="348" t="s">
        <v>560</v>
      </c>
      <c r="AK2031" s="241">
        <v>4</v>
      </c>
      <c r="AL2031" s="121" t="s">
        <v>665</v>
      </c>
      <c r="AM2031" s="121" t="s">
        <v>662</v>
      </c>
      <c r="AN2031" s="199"/>
      <c r="AO2031" s="190"/>
      <c r="AR2031" s="115"/>
    </row>
    <row r="2032" spans="1:46" ht="39" customHeight="1" x14ac:dyDescent="0.3">
      <c r="A2032" s="1468">
        <v>2031</v>
      </c>
      <c r="B2032" s="161">
        <v>2</v>
      </c>
      <c r="C2032" s="1136" t="s">
        <v>605</v>
      </c>
      <c r="D2032" s="595"/>
      <c r="E2032" s="595"/>
      <c r="F2032" s="595"/>
      <c r="G2032" s="392" t="s">
        <v>668</v>
      </c>
      <c r="H2032" s="262" t="s">
        <v>87</v>
      </c>
      <c r="I2032" s="595"/>
      <c r="J2032" s="245" t="s">
        <v>561</v>
      </c>
      <c r="K2032" s="216"/>
      <c r="L2032" s="250"/>
      <c r="M2032" s="250"/>
      <c r="N2032" s="366"/>
      <c r="O2032" s="216" t="s">
        <v>3495</v>
      </c>
      <c r="P2032" s="1254" t="s">
        <v>1828</v>
      </c>
      <c r="Q2032" s="709" t="s">
        <v>132</v>
      </c>
      <c r="R2032" s="982" t="s">
        <v>3494</v>
      </c>
      <c r="S2032" s="279">
        <v>30990</v>
      </c>
      <c r="T2032" s="257"/>
      <c r="U2032" s="251" t="s">
        <v>54</v>
      </c>
      <c r="V2032" s="197" t="s">
        <v>5512</v>
      </c>
      <c r="W2032" s="250" t="s">
        <v>56</v>
      </c>
      <c r="X2032" s="197" t="s">
        <v>57</v>
      </c>
      <c r="Y2032" s="197" t="s">
        <v>5726</v>
      </c>
      <c r="Z2032" s="246">
        <v>45272</v>
      </c>
      <c r="AA2032" s="252"/>
      <c r="AB2032" s="257"/>
      <c r="AC2032" s="223"/>
      <c r="AD2032" s="257"/>
      <c r="AE2032" s="494"/>
      <c r="AF2032" s="494"/>
      <c r="AG2032" s="385"/>
      <c r="AH2032" s="281"/>
      <c r="AI2032" s="254"/>
      <c r="AJ2032" s="348" t="s">
        <v>560</v>
      </c>
      <c r="AK2032" s="241">
        <v>4</v>
      </c>
      <c r="AL2032" s="121" t="s">
        <v>665</v>
      </c>
      <c r="AM2032" s="121" t="s">
        <v>662</v>
      </c>
      <c r="AN2032" s="199"/>
      <c r="AO2032" s="190"/>
      <c r="AR2032" s="115"/>
    </row>
    <row r="2033" spans="1:46" ht="39" customHeight="1" x14ac:dyDescent="0.3">
      <c r="A2033" s="1468">
        <v>2032</v>
      </c>
      <c r="B2033" s="161">
        <v>2</v>
      </c>
      <c r="C2033" s="501" t="s">
        <v>353</v>
      </c>
      <c r="D2033" s="595"/>
      <c r="E2033" s="595"/>
      <c r="F2033" s="595"/>
      <c r="G2033" s="392" t="s">
        <v>354</v>
      </c>
      <c r="H2033" s="262" t="s">
        <v>87</v>
      </c>
      <c r="I2033" s="595"/>
      <c r="J2033" s="245" t="s">
        <v>561</v>
      </c>
      <c r="K2033" s="301"/>
      <c r="L2033" s="299"/>
      <c r="M2033" s="299"/>
      <c r="N2033" s="366"/>
      <c r="O2033" s="216" t="s">
        <v>3497</v>
      </c>
      <c r="P2033" s="1254" t="s">
        <v>1828</v>
      </c>
      <c r="Q2033" s="709" t="s">
        <v>570</v>
      </c>
      <c r="R2033" s="982" t="s">
        <v>3496</v>
      </c>
      <c r="S2033" s="279">
        <v>31087</v>
      </c>
      <c r="T2033" s="197"/>
      <c r="U2033" s="251" t="s">
        <v>54</v>
      </c>
      <c r="V2033" s="197" t="s">
        <v>5512</v>
      </c>
      <c r="W2033" s="250" t="s">
        <v>56</v>
      </c>
      <c r="X2033" s="197" t="s">
        <v>57</v>
      </c>
      <c r="Y2033" s="197" t="s">
        <v>5726</v>
      </c>
      <c r="Z2033" s="246">
        <v>45272</v>
      </c>
      <c r="AA2033" s="389"/>
      <c r="AB2033" s="301"/>
      <c r="AC2033" s="223"/>
      <c r="AD2033" s="301"/>
      <c r="AE2033" s="494"/>
      <c r="AF2033" s="494"/>
      <c r="AG2033" s="305"/>
      <c r="AH2033" s="389"/>
      <c r="AI2033" s="386"/>
      <c r="AJ2033" s="348" t="s">
        <v>560</v>
      </c>
      <c r="AK2033" s="241">
        <v>4</v>
      </c>
      <c r="AL2033" s="121" t="s">
        <v>665</v>
      </c>
      <c r="AM2033" s="121" t="s">
        <v>662</v>
      </c>
      <c r="AN2033" s="147" t="s">
        <v>5764</v>
      </c>
      <c r="AO2033" s="190"/>
      <c r="AR2033" s="115"/>
      <c r="AS2033" s="115"/>
      <c r="AT2033" s="115"/>
    </row>
    <row r="2034" spans="1:46" ht="39" customHeight="1" x14ac:dyDescent="0.3">
      <c r="A2034" s="1468">
        <v>2033</v>
      </c>
      <c r="B2034" s="161">
        <v>2</v>
      </c>
      <c r="C2034" s="504" t="s">
        <v>353</v>
      </c>
      <c r="D2034" s="640"/>
      <c r="E2034" s="640"/>
      <c r="F2034" s="640"/>
      <c r="G2034" s="626" t="s">
        <v>354</v>
      </c>
      <c r="H2034" s="262" t="s">
        <v>87</v>
      </c>
      <c r="I2034" s="640"/>
      <c r="J2034" s="245" t="s">
        <v>561</v>
      </c>
      <c r="K2034" s="450"/>
      <c r="L2034" s="394" t="s">
        <v>5061</v>
      </c>
      <c r="M2034" s="394" t="s">
        <v>5061</v>
      </c>
      <c r="N2034" s="450"/>
      <c r="O2034" s="265" t="s">
        <v>5064</v>
      </c>
      <c r="P2034" s="450"/>
      <c r="Q2034" s="709" t="s">
        <v>87</v>
      </c>
      <c r="R2034" s="982" t="s">
        <v>5063</v>
      </c>
      <c r="S2034" s="279">
        <v>31187</v>
      </c>
      <c r="T2034" s="396"/>
      <c r="U2034" s="251"/>
      <c r="V2034" s="306"/>
      <c r="W2034" s="981"/>
      <c r="X2034" s="250"/>
      <c r="Y2034" s="1127"/>
      <c r="Z2034" s="246"/>
      <c r="AA2034" s="396"/>
      <c r="AB2034" s="250"/>
      <c r="AC2034" s="474"/>
      <c r="AD2034" s="396"/>
      <c r="AE2034" s="494"/>
      <c r="AF2034" s="494"/>
      <c r="AG2034" s="450"/>
      <c r="AH2034" s="438"/>
      <c r="AI2034" s="254"/>
      <c r="AJ2034" s="348" t="s">
        <v>560</v>
      </c>
      <c r="AK2034" s="471">
        <v>4</v>
      </c>
      <c r="AL2034" s="166" t="s">
        <v>665</v>
      </c>
      <c r="AM2034" s="166" t="s">
        <v>662</v>
      </c>
      <c r="AN2034" s="147" t="s">
        <v>5764</v>
      </c>
      <c r="AO2034" s="194"/>
      <c r="AR2034" s="115"/>
      <c r="AS2034" s="115"/>
      <c r="AT2034" s="115"/>
    </row>
    <row r="2035" spans="1:46" s="827" customFormat="1" ht="39" customHeight="1" x14ac:dyDescent="0.3">
      <c r="A2035" s="1468">
        <v>2034</v>
      </c>
      <c r="B2035" s="161"/>
      <c r="C2035" s="659"/>
      <c r="D2035" s="637"/>
      <c r="E2035" s="637"/>
      <c r="F2035" s="637"/>
      <c r="G2035" s="602"/>
      <c r="H2035" s="602"/>
      <c r="I2035" s="637"/>
      <c r="J2035" s="637"/>
      <c r="K2035" s="637"/>
      <c r="L2035" s="602"/>
      <c r="M2035" s="602"/>
      <c r="N2035" s="637"/>
      <c r="O2035" s="602"/>
      <c r="P2035" s="230" t="s">
        <v>669</v>
      </c>
      <c r="Q2035" s="637"/>
      <c r="R2035" s="324"/>
      <c r="S2035" s="279"/>
      <c r="T2035" s="637"/>
      <c r="U2035" s="250"/>
      <c r="V2035" s="637"/>
      <c r="W2035" s="602"/>
      <c r="X2035" s="602"/>
      <c r="Y2035" s="637"/>
      <c r="Z2035" s="637"/>
      <c r="AA2035" s="637"/>
      <c r="AB2035" s="1295"/>
      <c r="AC2035" s="637"/>
      <c r="AD2035" s="659"/>
      <c r="AE2035" s="494"/>
      <c r="AF2035" s="494"/>
      <c r="AG2035" s="637"/>
      <c r="AH2035" s="637"/>
      <c r="AI2035" s="602"/>
      <c r="AJ2035" s="602"/>
      <c r="AK2035" s="602"/>
      <c r="AL2035" s="205"/>
      <c r="AM2035" s="205"/>
      <c r="AN2035" s="202"/>
      <c r="AO2035" s="196"/>
      <c r="AP2035" s="192"/>
      <c r="AQ2035" s="192"/>
      <c r="AR2035" s="192"/>
      <c r="AS2035" s="192"/>
      <c r="AT2035" s="192"/>
    </row>
    <row r="2036" spans="1:46" ht="39" customHeight="1" x14ac:dyDescent="0.3">
      <c r="A2036" s="1468">
        <v>2035</v>
      </c>
      <c r="B2036" s="161">
        <v>5</v>
      </c>
      <c r="C2036" s="934" t="s">
        <v>670</v>
      </c>
      <c r="D2036" s="864"/>
      <c r="E2036" s="864"/>
      <c r="F2036" s="864"/>
      <c r="G2036" s="846" t="s">
        <v>671</v>
      </c>
      <c r="H2036" s="846" t="s">
        <v>132</v>
      </c>
      <c r="I2036" s="642"/>
      <c r="J2036" s="256">
        <v>403</v>
      </c>
      <c r="K2036" s="277"/>
      <c r="L2036" s="441"/>
      <c r="M2036" s="441"/>
      <c r="N2036" s="276"/>
      <c r="O2036" s="277"/>
      <c r="P2036" s="848"/>
      <c r="Q2036" s="709"/>
      <c r="R2036" s="683" t="s">
        <v>66</v>
      </c>
      <c r="S2036" s="279"/>
      <c r="T2036" s="443"/>
      <c r="U2036" s="250"/>
      <c r="V2036" s="280"/>
      <c r="W2036" s="280"/>
      <c r="X2036" s="280"/>
      <c r="Y2036" s="280"/>
      <c r="Z2036" s="486"/>
      <c r="AA2036" s="486"/>
      <c r="AB2036" s="441"/>
      <c r="AC2036" s="488"/>
      <c r="AD2036" s="441"/>
      <c r="AE2036" s="494"/>
      <c r="AF2036" s="494"/>
      <c r="AG2036" s="476"/>
      <c r="AH2036" s="489"/>
      <c r="AI2036" s="866"/>
      <c r="AJ2036" s="491"/>
      <c r="AK2036" s="846">
        <v>3</v>
      </c>
      <c r="AL2036" s="169" t="s">
        <v>665</v>
      </c>
      <c r="AM2036" s="169" t="s">
        <v>662</v>
      </c>
      <c r="AN2036" s="200"/>
      <c r="AO2036" s="193"/>
      <c r="AR2036" s="115"/>
    </row>
    <row r="2037" spans="1:46" ht="39" customHeight="1" x14ac:dyDescent="0.3">
      <c r="A2037" s="1468">
        <v>2036</v>
      </c>
      <c r="B2037" s="161">
        <v>3</v>
      </c>
      <c r="C2037" s="356" t="s">
        <v>290</v>
      </c>
      <c r="D2037" s="595"/>
      <c r="E2037" s="595"/>
      <c r="F2037" s="595"/>
      <c r="G2037" s="392" t="s">
        <v>672</v>
      </c>
      <c r="H2037" s="262" t="s">
        <v>87</v>
      </c>
      <c r="I2037" s="595"/>
      <c r="J2037" s="245" t="s">
        <v>561</v>
      </c>
      <c r="K2037" s="288" t="s">
        <v>313</v>
      </c>
      <c r="L2037" s="299" t="s">
        <v>3678</v>
      </c>
      <c r="M2037" s="299" t="s">
        <v>3678</v>
      </c>
      <c r="N2037" s="281" t="s">
        <v>4217</v>
      </c>
      <c r="O2037" s="392" t="s">
        <v>3893</v>
      </c>
      <c r="P2037" s="300"/>
      <c r="Q2037" s="197" t="s">
        <v>87</v>
      </c>
      <c r="R2037" s="1192" t="s">
        <v>3892</v>
      </c>
      <c r="S2037" s="279">
        <v>37774</v>
      </c>
      <c r="T2037" s="289"/>
      <c r="U2037" s="251" t="s">
        <v>54</v>
      </c>
      <c r="V2037" s="306" t="s">
        <v>4730</v>
      </c>
      <c r="W2037" s="250" t="s">
        <v>4605</v>
      </c>
      <c r="X2037" s="250" t="s">
        <v>465</v>
      </c>
      <c r="Y2037" s="197" t="s">
        <v>4812</v>
      </c>
      <c r="Z2037" s="246">
        <v>45243</v>
      </c>
      <c r="AA2037" s="289"/>
      <c r="AB2037" s="1236" t="s">
        <v>4234</v>
      </c>
      <c r="AC2037" s="223" t="s">
        <v>946</v>
      </c>
      <c r="AD2037" s="299" t="s">
        <v>467</v>
      </c>
      <c r="AE2037" s="494">
        <v>45099</v>
      </c>
      <c r="AF2037" s="494">
        <v>45464</v>
      </c>
      <c r="AG2037" s="299"/>
      <c r="AH2037" s="299"/>
      <c r="AI2037" s="284" t="s">
        <v>1351</v>
      </c>
      <c r="AJ2037" s="303" t="s">
        <v>136</v>
      </c>
      <c r="AK2037" s="241">
        <v>4</v>
      </c>
      <c r="AL2037" s="121" t="s">
        <v>665</v>
      </c>
      <c r="AM2037" s="121" t="s">
        <v>662</v>
      </c>
      <c r="AN2037" s="147" t="s">
        <v>5774</v>
      </c>
      <c r="AO2037" s="190"/>
      <c r="AR2037" s="115"/>
      <c r="AS2037" s="115"/>
      <c r="AT2037" s="115"/>
    </row>
    <row r="2038" spans="1:46" ht="39" customHeight="1" x14ac:dyDescent="0.3">
      <c r="A2038" s="1468">
        <v>2037</v>
      </c>
      <c r="B2038" s="161">
        <v>2</v>
      </c>
      <c r="C2038" s="358" t="s">
        <v>673</v>
      </c>
      <c r="D2038" s="595"/>
      <c r="E2038" s="595"/>
      <c r="F2038" s="595"/>
      <c r="G2038" s="392" t="s">
        <v>2065</v>
      </c>
      <c r="H2038" s="262" t="s">
        <v>87</v>
      </c>
      <c r="I2038" s="595"/>
      <c r="J2038" s="245" t="s">
        <v>561</v>
      </c>
      <c r="K2038" s="288" t="s">
        <v>158</v>
      </c>
      <c r="L2038" s="301" t="s">
        <v>3959</v>
      </c>
      <c r="M2038" s="301" t="s">
        <v>3959</v>
      </c>
      <c r="N2038" s="281" t="s">
        <v>4217</v>
      </c>
      <c r="O2038" s="392" t="s">
        <v>3983</v>
      </c>
      <c r="P2038" s="300"/>
      <c r="Q2038" s="197" t="s">
        <v>85</v>
      </c>
      <c r="R2038" s="1192" t="s">
        <v>3982</v>
      </c>
      <c r="S2038" s="279">
        <v>38343</v>
      </c>
      <c r="T2038" s="289"/>
      <c r="U2038" s="251" t="s">
        <v>54</v>
      </c>
      <c r="V2038" s="306" t="s">
        <v>4730</v>
      </c>
      <c r="W2038" s="250" t="s">
        <v>4605</v>
      </c>
      <c r="X2038" s="250" t="s">
        <v>465</v>
      </c>
      <c r="Y2038" s="197" t="s">
        <v>4812</v>
      </c>
      <c r="Z2038" s="246">
        <v>45243</v>
      </c>
      <c r="AA2038" s="289"/>
      <c r="AB2038" s="288" t="s">
        <v>4309</v>
      </c>
      <c r="AC2038" s="223" t="s">
        <v>946</v>
      </c>
      <c r="AD2038" s="299" t="s">
        <v>467</v>
      </c>
      <c r="AE2038" s="494">
        <v>45099</v>
      </c>
      <c r="AF2038" s="494">
        <v>45464</v>
      </c>
      <c r="AG2038" s="299"/>
      <c r="AH2038" s="299"/>
      <c r="AI2038" s="284" t="s">
        <v>1351</v>
      </c>
      <c r="AJ2038" s="303" t="s">
        <v>136</v>
      </c>
      <c r="AK2038" s="241">
        <v>4</v>
      </c>
      <c r="AL2038" s="121" t="s">
        <v>665</v>
      </c>
      <c r="AM2038" s="121" t="s">
        <v>662</v>
      </c>
      <c r="AN2038" s="147"/>
      <c r="AO2038" s="190"/>
      <c r="AR2038" s="115"/>
    </row>
    <row r="2039" spans="1:46" ht="39" customHeight="1" x14ac:dyDescent="0.3">
      <c r="A2039" s="1468">
        <v>2038</v>
      </c>
      <c r="B2039" s="161">
        <v>5</v>
      </c>
      <c r="C2039" s="567" t="s">
        <v>670</v>
      </c>
      <c r="D2039" s="556"/>
      <c r="E2039" s="556"/>
      <c r="F2039" s="556"/>
      <c r="G2039" s="639" t="s">
        <v>671</v>
      </c>
      <c r="H2039" s="639" t="s">
        <v>132</v>
      </c>
      <c r="I2039" s="595"/>
      <c r="J2039" s="256">
        <v>403</v>
      </c>
      <c r="K2039" s="216"/>
      <c r="L2039" s="216"/>
      <c r="M2039" s="216"/>
      <c r="N2039" s="216"/>
      <c r="O2039" s="216"/>
      <c r="P2039" s="635"/>
      <c r="Q2039" s="344"/>
      <c r="R2039" s="982" t="s">
        <v>66</v>
      </c>
      <c r="S2039" s="279"/>
      <c r="T2039" s="250"/>
      <c r="U2039" s="250"/>
      <c r="V2039" s="306"/>
      <c r="W2039" s="250"/>
      <c r="X2039" s="250"/>
      <c r="Y2039" s="197"/>
      <c r="Z2039" s="246"/>
      <c r="AA2039" s="246"/>
      <c r="AB2039" s="281"/>
      <c r="AC2039" s="223"/>
      <c r="AD2039" s="376"/>
      <c r="AE2039" s="494"/>
      <c r="AF2039" s="494"/>
      <c r="AG2039" s="241"/>
      <c r="AH2039" s="283"/>
      <c r="AI2039" s="547"/>
      <c r="AJ2039" s="348"/>
      <c r="AK2039" s="639">
        <v>3</v>
      </c>
      <c r="AL2039" s="121" t="s">
        <v>665</v>
      </c>
      <c r="AM2039" s="121" t="s">
        <v>662</v>
      </c>
      <c r="AN2039" s="147"/>
      <c r="AO2039" s="190"/>
      <c r="AR2039" s="115"/>
    </row>
    <row r="2040" spans="1:46" ht="39" customHeight="1" x14ac:dyDescent="0.3">
      <c r="A2040" s="1468">
        <v>2039</v>
      </c>
      <c r="B2040" s="161">
        <v>3</v>
      </c>
      <c r="C2040" s="356" t="s">
        <v>290</v>
      </c>
      <c r="D2040" s="595"/>
      <c r="E2040" s="595"/>
      <c r="F2040" s="595"/>
      <c r="G2040" s="392" t="s">
        <v>672</v>
      </c>
      <c r="H2040" s="262" t="s">
        <v>87</v>
      </c>
      <c r="I2040" s="595"/>
      <c r="J2040" s="245" t="s">
        <v>561</v>
      </c>
      <c r="K2040" s="288" t="s">
        <v>158</v>
      </c>
      <c r="L2040" s="299" t="s">
        <v>3678</v>
      </c>
      <c r="M2040" s="299" t="s">
        <v>3678</v>
      </c>
      <c r="N2040" s="281" t="s">
        <v>4217</v>
      </c>
      <c r="O2040" s="392" t="s">
        <v>3895</v>
      </c>
      <c r="P2040" s="595"/>
      <c r="Q2040" s="197" t="s">
        <v>87</v>
      </c>
      <c r="R2040" s="1192" t="s">
        <v>3894</v>
      </c>
      <c r="S2040" s="279">
        <v>37801</v>
      </c>
      <c r="T2040" s="595"/>
      <c r="U2040" s="251" t="s">
        <v>54</v>
      </c>
      <c r="V2040" s="306" t="s">
        <v>4730</v>
      </c>
      <c r="W2040" s="250" t="s">
        <v>4605</v>
      </c>
      <c r="X2040" s="250" t="s">
        <v>465</v>
      </c>
      <c r="Y2040" s="197" t="s">
        <v>4812</v>
      </c>
      <c r="Z2040" s="246">
        <v>45243</v>
      </c>
      <c r="AA2040" s="595"/>
      <c r="AB2040" s="288" t="s">
        <v>4274</v>
      </c>
      <c r="AC2040" s="223" t="s">
        <v>1475</v>
      </c>
      <c r="AD2040" s="299" t="s">
        <v>467</v>
      </c>
      <c r="AE2040" s="494">
        <v>45110</v>
      </c>
      <c r="AF2040" s="494">
        <v>45475</v>
      </c>
      <c r="AG2040" s="595"/>
      <c r="AH2040" s="595"/>
      <c r="AI2040" s="284" t="s">
        <v>1351</v>
      </c>
      <c r="AJ2040" s="303" t="s">
        <v>136</v>
      </c>
      <c r="AK2040" s="241">
        <v>4</v>
      </c>
      <c r="AL2040" s="121" t="s">
        <v>665</v>
      </c>
      <c r="AM2040" s="121" t="s">
        <v>662</v>
      </c>
      <c r="AN2040" s="147" t="s">
        <v>5774</v>
      </c>
      <c r="AO2040" s="190"/>
      <c r="AR2040" s="115"/>
      <c r="AS2040" s="115"/>
      <c r="AT2040" s="115"/>
    </row>
    <row r="2041" spans="1:46" ht="39" customHeight="1" x14ac:dyDescent="0.3">
      <c r="A2041" s="1468">
        <v>2040</v>
      </c>
      <c r="B2041" s="161">
        <v>2</v>
      </c>
      <c r="C2041" s="358" t="s">
        <v>673</v>
      </c>
      <c r="D2041" s="595"/>
      <c r="E2041" s="595"/>
      <c r="F2041" s="595"/>
      <c r="G2041" s="392" t="s">
        <v>2065</v>
      </c>
      <c r="H2041" s="262" t="s">
        <v>87</v>
      </c>
      <c r="I2041" s="595"/>
      <c r="J2041" s="245" t="s">
        <v>561</v>
      </c>
      <c r="K2041" s="288" t="s">
        <v>158</v>
      </c>
      <c r="L2041" s="301" t="s">
        <v>3959</v>
      </c>
      <c r="M2041" s="301" t="s">
        <v>3959</v>
      </c>
      <c r="N2041" s="281" t="s">
        <v>4217</v>
      </c>
      <c r="O2041" s="216" t="s">
        <v>3977</v>
      </c>
      <c r="P2041" s="247"/>
      <c r="Q2041" s="197" t="s">
        <v>87</v>
      </c>
      <c r="R2041" s="1194" t="s">
        <v>3976</v>
      </c>
      <c r="S2041" s="279">
        <v>37652</v>
      </c>
      <c r="T2041" s="197"/>
      <c r="U2041" s="250"/>
      <c r="V2041" s="197"/>
      <c r="W2041" s="401"/>
      <c r="X2041" s="299"/>
      <c r="Y2041" s="289"/>
      <c r="Z2041" s="246"/>
      <c r="AA2041" s="246"/>
      <c r="AB2041" s="288" t="s">
        <v>4268</v>
      </c>
      <c r="AC2041" s="223" t="s">
        <v>946</v>
      </c>
      <c r="AD2041" s="299" t="s">
        <v>467</v>
      </c>
      <c r="AE2041" s="494">
        <v>45105</v>
      </c>
      <c r="AF2041" s="494">
        <v>45470</v>
      </c>
      <c r="AG2041" s="282"/>
      <c r="AH2041" s="283"/>
      <c r="AI2041" s="284" t="s">
        <v>1351</v>
      </c>
      <c r="AJ2041" s="303" t="s">
        <v>136</v>
      </c>
      <c r="AK2041" s="241">
        <v>4</v>
      </c>
      <c r="AL2041" s="121" t="s">
        <v>665</v>
      </c>
      <c r="AM2041" s="121" t="s">
        <v>662</v>
      </c>
      <c r="AN2041" s="147"/>
      <c r="AO2041" s="190"/>
      <c r="AR2041" s="115"/>
    </row>
    <row r="2042" spans="1:46" ht="39" customHeight="1" x14ac:dyDescent="0.3">
      <c r="A2042" s="1468">
        <v>2041</v>
      </c>
      <c r="B2042" s="161">
        <v>5</v>
      </c>
      <c r="C2042" s="567" t="s">
        <v>670</v>
      </c>
      <c r="D2042" s="556"/>
      <c r="E2042" s="556"/>
      <c r="F2042" s="556"/>
      <c r="G2042" s="639" t="s">
        <v>671</v>
      </c>
      <c r="H2042" s="639" t="s">
        <v>132</v>
      </c>
      <c r="I2042" s="595"/>
      <c r="J2042" s="256">
        <v>403</v>
      </c>
      <c r="K2042" s="642"/>
      <c r="L2042" s="625"/>
      <c r="M2042" s="625"/>
      <c r="N2042" s="642"/>
      <c r="O2042" s="277" t="s">
        <v>2418</v>
      </c>
      <c r="P2042" s="848"/>
      <c r="Q2042" s="709" t="s">
        <v>293</v>
      </c>
      <c r="R2042" s="998" t="s">
        <v>2417</v>
      </c>
      <c r="S2042" s="279">
        <v>36617</v>
      </c>
      <c r="T2042" s="642"/>
      <c r="U2042" s="250" t="s">
        <v>886</v>
      </c>
      <c r="V2042" s="983" t="s">
        <v>6216</v>
      </c>
      <c r="W2042" s="197" t="s">
        <v>886</v>
      </c>
      <c r="X2042" s="197" t="s">
        <v>886</v>
      </c>
      <c r="Y2042" s="250"/>
      <c r="Z2042" s="252"/>
      <c r="AA2042" s="252"/>
      <c r="AB2042" s="1293"/>
      <c r="AC2042" s="642"/>
      <c r="AD2042" s="661"/>
      <c r="AE2042" s="494"/>
      <c r="AF2042" s="494"/>
      <c r="AG2042" s="642"/>
      <c r="AH2042" s="642"/>
      <c r="AI2042" s="625"/>
      <c r="AJ2042" s="491" t="s">
        <v>560</v>
      </c>
      <c r="AK2042" s="639">
        <v>3</v>
      </c>
      <c r="AL2042" s="121" t="s">
        <v>665</v>
      </c>
      <c r="AM2042" s="121" t="s">
        <v>662</v>
      </c>
      <c r="AN2042" s="147"/>
      <c r="AO2042" s="190"/>
      <c r="AR2042" s="115"/>
    </row>
    <row r="2043" spans="1:46" ht="39" customHeight="1" x14ac:dyDescent="0.3">
      <c r="A2043" s="1468">
        <v>2042</v>
      </c>
      <c r="B2043" s="161">
        <v>3</v>
      </c>
      <c r="C2043" s="356" t="s">
        <v>290</v>
      </c>
      <c r="D2043" s="595"/>
      <c r="E2043" s="595"/>
      <c r="F2043" s="595"/>
      <c r="G2043" s="392" t="s">
        <v>672</v>
      </c>
      <c r="H2043" s="262" t="s">
        <v>87</v>
      </c>
      <c r="I2043" s="595"/>
      <c r="J2043" s="245" t="s">
        <v>561</v>
      </c>
      <c r="K2043" s="288" t="s">
        <v>158</v>
      </c>
      <c r="L2043" s="299" t="s">
        <v>3678</v>
      </c>
      <c r="M2043" s="299" t="s">
        <v>3678</v>
      </c>
      <c r="N2043" s="281" t="s">
        <v>4217</v>
      </c>
      <c r="O2043" s="392" t="s">
        <v>3897</v>
      </c>
      <c r="P2043" s="300"/>
      <c r="Q2043" s="301" t="s">
        <v>293</v>
      </c>
      <c r="R2043" s="1192" t="s">
        <v>3896</v>
      </c>
      <c r="S2043" s="279">
        <v>37768</v>
      </c>
      <c r="T2043" s="289"/>
      <c r="U2043" s="251" t="s">
        <v>54</v>
      </c>
      <c r="V2043" s="306" t="s">
        <v>4730</v>
      </c>
      <c r="W2043" s="250" t="s">
        <v>4605</v>
      </c>
      <c r="X2043" s="250" t="s">
        <v>465</v>
      </c>
      <c r="Y2043" s="197" t="s">
        <v>4812</v>
      </c>
      <c r="Z2043" s="246">
        <v>45243</v>
      </c>
      <c r="AA2043" s="252"/>
      <c r="AB2043" s="1236" t="s">
        <v>4277</v>
      </c>
      <c r="AC2043" s="223" t="s">
        <v>946</v>
      </c>
      <c r="AD2043" s="299" t="s">
        <v>467</v>
      </c>
      <c r="AE2043" s="494">
        <v>45103</v>
      </c>
      <c r="AF2043" s="494">
        <v>45468</v>
      </c>
      <c r="AG2043" s="299"/>
      <c r="AH2043" s="299"/>
      <c r="AI2043" s="284" t="s">
        <v>1351</v>
      </c>
      <c r="AJ2043" s="303" t="s">
        <v>136</v>
      </c>
      <c r="AK2043" s="241">
        <v>4</v>
      </c>
      <c r="AL2043" s="121" t="s">
        <v>665</v>
      </c>
      <c r="AM2043" s="121" t="s">
        <v>662</v>
      </c>
      <c r="AN2043" s="147" t="s">
        <v>5774</v>
      </c>
      <c r="AO2043" s="190"/>
      <c r="AR2043" s="115"/>
      <c r="AS2043" s="115"/>
      <c r="AT2043" s="115"/>
    </row>
    <row r="2044" spans="1:46" ht="39" customHeight="1" x14ac:dyDescent="0.3">
      <c r="A2044" s="1468">
        <v>2043</v>
      </c>
      <c r="B2044" s="161">
        <v>2</v>
      </c>
      <c r="C2044" s="520" t="s">
        <v>673</v>
      </c>
      <c r="D2044" s="640"/>
      <c r="E2044" s="640"/>
      <c r="F2044" s="640"/>
      <c r="G2044" s="392" t="s">
        <v>2065</v>
      </c>
      <c r="H2044" s="262" t="s">
        <v>87</v>
      </c>
      <c r="I2044" s="640"/>
      <c r="J2044" s="245" t="s">
        <v>561</v>
      </c>
      <c r="K2044" s="216"/>
      <c r="L2044" s="301" t="s">
        <v>1113</v>
      </c>
      <c r="M2044" s="288" t="s">
        <v>3562</v>
      </c>
      <c r="N2044" s="366"/>
      <c r="O2044" s="392" t="s">
        <v>3007</v>
      </c>
      <c r="P2044" s="374"/>
      <c r="Q2044" s="301" t="s">
        <v>293</v>
      </c>
      <c r="R2044" s="427" t="s">
        <v>1375</v>
      </c>
      <c r="S2044" s="279"/>
      <c r="T2044" s="257"/>
      <c r="U2044" s="250"/>
      <c r="V2044" s="197"/>
      <c r="W2044" s="250" t="s">
        <v>3588</v>
      </c>
      <c r="X2044" s="250"/>
      <c r="Y2044" s="197"/>
      <c r="Z2044" s="246"/>
      <c r="AA2044" s="252"/>
      <c r="AB2044" s="257"/>
      <c r="AC2044" s="223" t="s">
        <v>946</v>
      </c>
      <c r="AD2044" s="257"/>
      <c r="AE2044" s="494">
        <v>45076</v>
      </c>
      <c r="AF2044" s="494">
        <v>45441</v>
      </c>
      <c r="AG2044" s="282"/>
      <c r="AH2044" s="281"/>
      <c r="AI2044" s="254" t="s">
        <v>1351</v>
      </c>
      <c r="AJ2044" s="303" t="s">
        <v>136</v>
      </c>
      <c r="AK2044" s="471">
        <v>4</v>
      </c>
      <c r="AL2044" s="166" t="s">
        <v>665</v>
      </c>
      <c r="AM2044" s="166" t="s">
        <v>662</v>
      </c>
      <c r="AN2044" s="199"/>
      <c r="AO2044" s="194"/>
      <c r="AR2044" s="115"/>
    </row>
    <row r="2045" spans="1:46" s="827" customFormat="1" ht="39" customHeight="1" x14ac:dyDescent="0.3">
      <c r="A2045" s="1468">
        <v>2044</v>
      </c>
      <c r="B2045" s="161"/>
      <c r="C2045" s="659"/>
      <c r="D2045" s="637"/>
      <c r="E2045" s="637"/>
      <c r="F2045" s="637"/>
      <c r="G2045" s="602"/>
      <c r="H2045" s="602"/>
      <c r="I2045" s="637"/>
      <c r="J2045" s="637"/>
      <c r="K2045" s="637"/>
      <c r="L2045" s="602"/>
      <c r="M2045" s="602"/>
      <c r="N2045" s="637"/>
      <c r="O2045" s="602"/>
      <c r="P2045" s="230" t="s">
        <v>674</v>
      </c>
      <c r="Q2045" s="637"/>
      <c r="R2045" s="324"/>
      <c r="S2045" s="279"/>
      <c r="T2045" s="637"/>
      <c r="U2045" s="250"/>
      <c r="V2045" s="637"/>
      <c r="W2045" s="602"/>
      <c r="X2045" s="602"/>
      <c r="Y2045" s="637"/>
      <c r="Z2045" s="637"/>
      <c r="AA2045" s="637"/>
      <c r="AB2045" s="1295"/>
      <c r="AC2045" s="637"/>
      <c r="AD2045" s="659"/>
      <c r="AE2045" s="494"/>
      <c r="AF2045" s="494"/>
      <c r="AG2045" s="637"/>
      <c r="AH2045" s="637"/>
      <c r="AI2045" s="602"/>
      <c r="AJ2045" s="602"/>
      <c r="AK2045" s="602"/>
      <c r="AL2045" s="205"/>
      <c r="AM2045" s="205"/>
      <c r="AN2045" s="202"/>
      <c r="AO2045" s="196"/>
      <c r="AP2045" s="192"/>
      <c r="AQ2045" s="192"/>
      <c r="AR2045" s="192"/>
      <c r="AS2045" s="192"/>
      <c r="AT2045" s="192"/>
    </row>
    <row r="2046" spans="1:46" ht="39" customHeight="1" x14ac:dyDescent="0.3">
      <c r="A2046" s="1468">
        <v>2045</v>
      </c>
      <c r="B2046" s="161">
        <v>5</v>
      </c>
      <c r="C2046" s="934" t="s">
        <v>367</v>
      </c>
      <c r="D2046" s="864"/>
      <c r="E2046" s="864"/>
      <c r="F2046" s="864"/>
      <c r="G2046" s="846" t="s">
        <v>445</v>
      </c>
      <c r="H2046" s="846" t="s">
        <v>132</v>
      </c>
      <c r="I2046" s="642"/>
      <c r="J2046" s="256">
        <v>403</v>
      </c>
      <c r="K2046" s="642"/>
      <c r="L2046" s="625"/>
      <c r="M2046" s="625"/>
      <c r="N2046" s="642"/>
      <c r="O2046" s="625"/>
      <c r="P2046" s="642"/>
      <c r="Q2046" s="642"/>
      <c r="R2046" s="683" t="s">
        <v>66</v>
      </c>
      <c r="S2046" s="279"/>
      <c r="T2046" s="642"/>
      <c r="U2046" s="250"/>
      <c r="V2046" s="642"/>
      <c r="W2046" s="625"/>
      <c r="X2046" s="625"/>
      <c r="Y2046" s="642"/>
      <c r="Z2046" s="642"/>
      <c r="AA2046" s="642"/>
      <c r="AB2046" s="1293"/>
      <c r="AC2046" s="642"/>
      <c r="AD2046" s="661"/>
      <c r="AE2046" s="494"/>
      <c r="AF2046" s="494"/>
      <c r="AG2046" s="642"/>
      <c r="AH2046" s="642"/>
      <c r="AI2046" s="625"/>
      <c r="AJ2046" s="625"/>
      <c r="AK2046" s="491">
        <v>3</v>
      </c>
      <c r="AL2046" s="169" t="s">
        <v>665</v>
      </c>
      <c r="AM2046" s="169" t="s">
        <v>662</v>
      </c>
      <c r="AN2046" s="147" t="s">
        <v>5764</v>
      </c>
      <c r="AO2046" s="193"/>
      <c r="AR2046" s="115"/>
    </row>
    <row r="2047" spans="1:46" ht="39" customHeight="1" x14ac:dyDescent="0.3">
      <c r="A2047" s="1468">
        <v>2046</v>
      </c>
      <c r="B2047" s="161">
        <v>2</v>
      </c>
      <c r="C2047" s="501" t="s">
        <v>353</v>
      </c>
      <c r="D2047" s="595"/>
      <c r="E2047" s="595"/>
      <c r="F2047" s="595"/>
      <c r="G2047" s="392" t="s">
        <v>354</v>
      </c>
      <c r="H2047" s="262" t="s">
        <v>87</v>
      </c>
      <c r="I2047" s="595"/>
      <c r="J2047" s="245" t="s">
        <v>561</v>
      </c>
      <c r="K2047" s="216"/>
      <c r="L2047" s="288" t="s">
        <v>5144</v>
      </c>
      <c r="M2047" s="288" t="s">
        <v>5144</v>
      </c>
      <c r="N2047" s="366"/>
      <c r="O2047" s="1398" t="s">
        <v>5304</v>
      </c>
      <c r="P2047" s="402"/>
      <c r="Q2047" s="1398" t="s">
        <v>87</v>
      </c>
      <c r="R2047" s="1003" t="s">
        <v>5303</v>
      </c>
      <c r="S2047" s="279">
        <v>38497</v>
      </c>
      <c r="T2047" s="197"/>
      <c r="U2047" s="250"/>
      <c r="V2047" s="250"/>
      <c r="W2047" s="250"/>
      <c r="X2047" s="197"/>
      <c r="Y2047" s="250"/>
      <c r="Z2047" s="306"/>
      <c r="AA2047" s="246"/>
      <c r="AB2047" s="296"/>
      <c r="AC2047" s="223"/>
      <c r="AD2047" s="245" t="s">
        <v>467</v>
      </c>
      <c r="AE2047" s="494"/>
      <c r="AF2047" s="494"/>
      <c r="AG2047" s="241"/>
      <c r="AH2047" s="283"/>
      <c r="AI2047" s="254" t="s">
        <v>4208</v>
      </c>
      <c r="AJ2047" s="303" t="s">
        <v>136</v>
      </c>
      <c r="AK2047" s="241">
        <v>4</v>
      </c>
      <c r="AL2047" s="121" t="s">
        <v>665</v>
      </c>
      <c r="AM2047" s="121" t="s">
        <v>662</v>
      </c>
      <c r="AN2047" s="147" t="s">
        <v>5764</v>
      </c>
      <c r="AO2047" s="190"/>
      <c r="AR2047" s="115"/>
      <c r="AS2047" s="115"/>
      <c r="AT2047" s="115"/>
    </row>
    <row r="2048" spans="1:46" ht="39" customHeight="1" x14ac:dyDescent="0.3">
      <c r="A2048" s="1468">
        <v>2047</v>
      </c>
      <c r="B2048" s="161">
        <v>2</v>
      </c>
      <c r="C2048" s="504" t="s">
        <v>360</v>
      </c>
      <c r="D2048" s="640"/>
      <c r="E2048" s="640"/>
      <c r="F2048" s="640"/>
      <c r="G2048" s="626" t="s">
        <v>354</v>
      </c>
      <c r="H2048" s="262" t="s">
        <v>87</v>
      </c>
      <c r="I2048" s="640"/>
      <c r="J2048" s="245" t="s">
        <v>561</v>
      </c>
      <c r="K2048" s="250"/>
      <c r="L2048" s="281" t="s">
        <v>1527</v>
      </c>
      <c r="M2048" s="281" t="s">
        <v>2783</v>
      </c>
      <c r="N2048" s="366"/>
      <c r="O2048" s="392" t="s">
        <v>3110</v>
      </c>
      <c r="P2048" s="402"/>
      <c r="Q2048" s="301" t="s">
        <v>87</v>
      </c>
      <c r="R2048" s="427" t="s">
        <v>1713</v>
      </c>
      <c r="S2048" s="279"/>
      <c r="T2048" s="197"/>
      <c r="U2048" s="250"/>
      <c r="V2048" s="197"/>
      <c r="W2048" s="197"/>
      <c r="X2048" s="197"/>
      <c r="Y2048" s="288"/>
      <c r="Z2048" s="246"/>
      <c r="AA2048" s="246"/>
      <c r="AB2048" s="361"/>
      <c r="AC2048" s="223" t="s">
        <v>946</v>
      </c>
      <c r="AD2048" s="376"/>
      <c r="AE2048" s="494"/>
      <c r="AF2048" s="494"/>
      <c r="AG2048" s="241"/>
      <c r="AH2048" s="283"/>
      <c r="AI2048" s="254" t="s">
        <v>1351</v>
      </c>
      <c r="AJ2048" s="303" t="s">
        <v>136</v>
      </c>
      <c r="AK2048" s="471">
        <v>4</v>
      </c>
      <c r="AL2048" s="166" t="s">
        <v>665</v>
      </c>
      <c r="AM2048" s="166" t="s">
        <v>662</v>
      </c>
      <c r="AN2048" s="147" t="s">
        <v>5764</v>
      </c>
      <c r="AO2048" s="194"/>
      <c r="AR2048" s="115"/>
      <c r="AS2048" s="115"/>
      <c r="AT2048" s="115"/>
    </row>
    <row r="2049" spans="1:46" s="827" customFormat="1" ht="39" customHeight="1" x14ac:dyDescent="0.3">
      <c r="A2049" s="1468">
        <v>2048</v>
      </c>
      <c r="B2049" s="161"/>
      <c r="C2049" s="659"/>
      <c r="D2049" s="637"/>
      <c r="E2049" s="637"/>
      <c r="F2049" s="637"/>
      <c r="G2049" s="602"/>
      <c r="H2049" s="602"/>
      <c r="I2049" s="637"/>
      <c r="J2049" s="637"/>
      <c r="K2049" s="637"/>
      <c r="L2049" s="602"/>
      <c r="M2049" s="602"/>
      <c r="N2049" s="637"/>
      <c r="O2049" s="602"/>
      <c r="P2049" s="230" t="s">
        <v>675</v>
      </c>
      <c r="Q2049" s="637"/>
      <c r="R2049" s="637"/>
      <c r="S2049" s="279"/>
      <c r="T2049" s="637"/>
      <c r="U2049" s="250"/>
      <c r="V2049" s="637"/>
      <c r="W2049" s="602"/>
      <c r="X2049" s="602"/>
      <c r="Y2049" s="637"/>
      <c r="Z2049" s="637"/>
      <c r="AA2049" s="637"/>
      <c r="AB2049" s="1295"/>
      <c r="AC2049" s="637"/>
      <c r="AD2049" s="659"/>
      <c r="AE2049" s="494"/>
      <c r="AF2049" s="494"/>
      <c r="AG2049" s="637"/>
      <c r="AH2049" s="637"/>
      <c r="AI2049" s="602"/>
      <c r="AJ2049" s="602"/>
      <c r="AK2049" s="602"/>
      <c r="AL2049" s="205"/>
      <c r="AM2049" s="205"/>
      <c r="AN2049" s="202"/>
      <c r="AO2049" s="196"/>
      <c r="AP2049" s="192"/>
      <c r="AQ2049" s="192"/>
      <c r="AR2049" s="192"/>
      <c r="AS2049" s="192"/>
      <c r="AT2049" s="192"/>
    </row>
    <row r="2050" spans="1:46" ht="39" customHeight="1" x14ac:dyDescent="0.3">
      <c r="A2050" s="1468">
        <v>2049</v>
      </c>
      <c r="B2050" s="161">
        <v>10</v>
      </c>
      <c r="C2050" s="249" t="s">
        <v>305</v>
      </c>
      <c r="D2050" s="282"/>
      <c r="E2050" s="338"/>
      <c r="F2050" s="282"/>
      <c r="G2050" s="339">
        <v>1010003</v>
      </c>
      <c r="H2050" s="244" t="s">
        <v>83</v>
      </c>
      <c r="I2050" s="249"/>
      <c r="J2050" s="245">
        <v>302</v>
      </c>
      <c r="K2050" s="197"/>
      <c r="L2050" s="1476"/>
      <c r="M2050" s="1476"/>
      <c r="N2050" s="595"/>
      <c r="O2050" s="1476"/>
      <c r="P2050" s="1477"/>
      <c r="Q2050" s="338"/>
      <c r="R2050" s="1242" t="s">
        <v>66</v>
      </c>
      <c r="S2050" s="279"/>
      <c r="T2050" s="595"/>
      <c r="U2050" s="197"/>
      <c r="V2050" s="1477"/>
      <c r="W2050" s="1477"/>
      <c r="X2050" s="289"/>
      <c r="Y2050" s="981"/>
      <c r="Z2050" s="1042"/>
      <c r="AA2050" s="612"/>
      <c r="AB2050" s="1289"/>
      <c r="AC2050" s="595"/>
      <c r="AD2050" s="658"/>
      <c r="AE2050" s="494"/>
      <c r="AF2050" s="494"/>
      <c r="AG2050" s="595"/>
      <c r="AH2050" s="595"/>
      <c r="AI2050" s="1476"/>
      <c r="AJ2050" s="255"/>
      <c r="AK2050" s="242">
        <v>1</v>
      </c>
      <c r="AL2050" s="121" t="s">
        <v>676</v>
      </c>
      <c r="AM2050" s="121" t="s">
        <v>662</v>
      </c>
      <c r="AN2050" s="199"/>
      <c r="AO2050" s="190"/>
      <c r="AR2050" s="115"/>
    </row>
    <row r="2051" spans="1:46" s="827" customFormat="1" ht="39" customHeight="1" x14ac:dyDescent="0.3">
      <c r="A2051" s="1468">
        <v>2050</v>
      </c>
      <c r="B2051" s="161"/>
      <c r="C2051" s="659"/>
      <c r="D2051" s="637"/>
      <c r="E2051" s="637"/>
      <c r="F2051" s="637"/>
      <c r="G2051" s="602"/>
      <c r="H2051" s="602"/>
      <c r="I2051" s="637"/>
      <c r="J2051" s="637"/>
      <c r="K2051" s="637"/>
      <c r="L2051" s="602"/>
      <c r="M2051" s="602"/>
      <c r="N2051" s="637"/>
      <c r="O2051" s="602"/>
      <c r="P2051" s="230" t="s">
        <v>677</v>
      </c>
      <c r="Q2051" s="637"/>
      <c r="R2051" s="324"/>
      <c r="S2051" s="279"/>
      <c r="T2051" s="637"/>
      <c r="U2051" s="250"/>
      <c r="V2051" s="637"/>
      <c r="W2051" s="602"/>
      <c r="X2051" s="602"/>
      <c r="Y2051" s="637"/>
      <c r="Z2051" s="637"/>
      <c r="AA2051" s="637"/>
      <c r="AB2051" s="1295"/>
      <c r="AC2051" s="637"/>
      <c r="AD2051" s="659"/>
      <c r="AE2051" s="494"/>
      <c r="AF2051" s="494"/>
      <c r="AG2051" s="637"/>
      <c r="AH2051" s="637"/>
      <c r="AI2051" s="602"/>
      <c r="AJ2051" s="602"/>
      <c r="AK2051" s="602"/>
      <c r="AL2051" s="205"/>
      <c r="AM2051" s="205"/>
      <c r="AN2051" s="202"/>
      <c r="AO2051" s="196"/>
      <c r="AP2051" s="192"/>
      <c r="AQ2051" s="192"/>
      <c r="AR2051" s="192"/>
      <c r="AS2051" s="192"/>
      <c r="AT2051" s="192"/>
    </row>
    <row r="2052" spans="1:46" ht="39" customHeight="1" x14ac:dyDescent="0.3">
      <c r="A2052" s="1468">
        <v>2051</v>
      </c>
      <c r="B2052" s="161">
        <v>7</v>
      </c>
      <c r="C2052" s="934" t="s">
        <v>374</v>
      </c>
      <c r="D2052" s="864"/>
      <c r="E2052" s="864"/>
      <c r="F2052" s="864"/>
      <c r="G2052" s="846" t="s">
        <v>678</v>
      </c>
      <c r="H2052" s="846" t="s">
        <v>132</v>
      </c>
      <c r="I2052" s="642"/>
      <c r="J2052" s="256">
        <v>403</v>
      </c>
      <c r="K2052" s="642"/>
      <c r="L2052" s="625"/>
      <c r="M2052" s="625"/>
      <c r="N2052" s="642"/>
      <c r="O2052" s="625"/>
      <c r="P2052" s="642"/>
      <c r="Q2052" s="642"/>
      <c r="R2052" s="683" t="s">
        <v>66</v>
      </c>
      <c r="S2052" s="279"/>
      <c r="T2052" s="642"/>
      <c r="U2052" s="250"/>
      <c r="V2052" s="642"/>
      <c r="W2052" s="625"/>
      <c r="X2052" s="625"/>
      <c r="Y2052" s="642"/>
      <c r="Z2052" s="642"/>
      <c r="AA2052" s="642"/>
      <c r="AB2052" s="1293"/>
      <c r="AC2052" s="642"/>
      <c r="AD2052" s="661"/>
      <c r="AE2052" s="494"/>
      <c r="AF2052" s="494"/>
      <c r="AG2052" s="642"/>
      <c r="AH2052" s="642"/>
      <c r="AI2052" s="625"/>
      <c r="AJ2052" s="625"/>
      <c r="AK2052" s="846">
        <v>3</v>
      </c>
      <c r="AL2052" s="169" t="s">
        <v>676</v>
      </c>
      <c r="AM2052" s="169" t="s">
        <v>662</v>
      </c>
      <c r="AN2052" s="200"/>
      <c r="AO2052" s="193"/>
      <c r="AR2052" s="115"/>
    </row>
    <row r="2053" spans="1:46" ht="39" customHeight="1" x14ac:dyDescent="0.3">
      <c r="A2053" s="1468">
        <v>2052</v>
      </c>
      <c r="B2053" s="161">
        <v>3</v>
      </c>
      <c r="C2053" s="356" t="s">
        <v>382</v>
      </c>
      <c r="D2053" s="595"/>
      <c r="E2053" s="595"/>
      <c r="F2053" s="595"/>
      <c r="G2053" s="392" t="s">
        <v>679</v>
      </c>
      <c r="H2053" s="262" t="s">
        <v>85</v>
      </c>
      <c r="I2053" s="595"/>
      <c r="J2053" s="245" t="s">
        <v>556</v>
      </c>
      <c r="K2053" s="288" t="s">
        <v>158</v>
      </c>
      <c r="L2053" s="299" t="s">
        <v>3678</v>
      </c>
      <c r="M2053" s="299" t="s">
        <v>3678</v>
      </c>
      <c r="N2053" s="281" t="s">
        <v>4217</v>
      </c>
      <c r="O2053" s="392" t="s">
        <v>3899</v>
      </c>
      <c r="P2053" s="627"/>
      <c r="Q2053" s="197" t="s">
        <v>87</v>
      </c>
      <c r="R2053" s="1193" t="s">
        <v>3898</v>
      </c>
      <c r="S2053" s="279">
        <v>37585</v>
      </c>
      <c r="T2053" s="289"/>
      <c r="U2053" s="250"/>
      <c r="V2053" s="197"/>
      <c r="W2053" s="197"/>
      <c r="X2053" s="250"/>
      <c r="Y2053" s="197"/>
      <c r="Z2053" s="246"/>
      <c r="AA2053" s="281"/>
      <c r="AB2053" s="245" t="s">
        <v>4272</v>
      </c>
      <c r="AC2053" s="223" t="s">
        <v>4220</v>
      </c>
      <c r="AD2053" s="299" t="s">
        <v>467</v>
      </c>
      <c r="AE2053" s="494">
        <v>45106</v>
      </c>
      <c r="AF2053" s="494">
        <v>45471</v>
      </c>
      <c r="AG2053" s="241"/>
      <c r="AH2053" s="253"/>
      <c r="AI2053" s="284" t="s">
        <v>1351</v>
      </c>
      <c r="AJ2053" s="303" t="s">
        <v>136</v>
      </c>
      <c r="AK2053" s="241">
        <v>4</v>
      </c>
      <c r="AL2053" s="121" t="s">
        <v>676</v>
      </c>
      <c r="AM2053" s="121" t="s">
        <v>662</v>
      </c>
      <c r="AN2053" s="147" t="s">
        <v>5775</v>
      </c>
      <c r="AO2053" s="190"/>
      <c r="AR2053" s="115"/>
      <c r="AS2053" s="115"/>
      <c r="AT2053" s="115"/>
    </row>
    <row r="2054" spans="1:46" ht="39" customHeight="1" x14ac:dyDescent="0.3">
      <c r="A2054" s="1468">
        <v>2053</v>
      </c>
      <c r="B2054" s="161">
        <v>3</v>
      </c>
      <c r="C2054" s="1136" t="s">
        <v>680</v>
      </c>
      <c r="D2054" s="595"/>
      <c r="E2054" s="595"/>
      <c r="F2054" s="595"/>
      <c r="G2054" s="392" t="s">
        <v>4847</v>
      </c>
      <c r="H2054" s="262" t="s">
        <v>85</v>
      </c>
      <c r="I2054" s="595"/>
      <c r="J2054" s="245" t="s">
        <v>556</v>
      </c>
      <c r="K2054" s="250" t="s">
        <v>158</v>
      </c>
      <c r="L2054" s="216" t="s">
        <v>4853</v>
      </c>
      <c r="M2054" s="216" t="s">
        <v>4853</v>
      </c>
      <c r="N2054" s="246"/>
      <c r="O2054" s="216" t="s">
        <v>4935</v>
      </c>
      <c r="P2054" s="439"/>
      <c r="Q2054" s="394" t="s">
        <v>293</v>
      </c>
      <c r="R2054" s="683" t="s">
        <v>4964</v>
      </c>
      <c r="S2054" s="279">
        <v>37661</v>
      </c>
      <c r="T2054" s="250"/>
      <c r="U2054" s="250"/>
      <c r="V2054" s="245"/>
      <c r="W2054" s="250"/>
      <c r="X2054" s="197"/>
      <c r="Y2054" s="197"/>
      <c r="Z2054" s="246"/>
      <c r="AA2054" s="246"/>
      <c r="AB2054" s="376" t="s">
        <v>4936</v>
      </c>
      <c r="AC2054" s="223" t="s">
        <v>209</v>
      </c>
      <c r="AD2054" s="299" t="s">
        <v>467</v>
      </c>
      <c r="AE2054" s="494">
        <v>45245</v>
      </c>
      <c r="AF2054" s="494">
        <v>45610</v>
      </c>
      <c r="AG2054" s="282"/>
      <c r="AH2054" s="303"/>
      <c r="AI2054" s="254" t="s">
        <v>4208</v>
      </c>
      <c r="AJ2054" s="303" t="s">
        <v>136</v>
      </c>
      <c r="AK2054" s="241">
        <v>4</v>
      </c>
      <c r="AL2054" s="121" t="s">
        <v>676</v>
      </c>
      <c r="AM2054" s="121" t="s">
        <v>662</v>
      </c>
      <c r="AN2054" s="199"/>
      <c r="AO2054" s="190"/>
      <c r="AP2054" s="192"/>
      <c r="AQ2054" s="192"/>
      <c r="AR2054" s="115"/>
    </row>
    <row r="2055" spans="1:46" ht="39" customHeight="1" x14ac:dyDescent="0.3">
      <c r="A2055" s="1468">
        <v>2054</v>
      </c>
      <c r="B2055" s="161">
        <v>2</v>
      </c>
      <c r="C2055" s="1136" t="s">
        <v>3592</v>
      </c>
      <c r="D2055" s="595"/>
      <c r="E2055" s="595"/>
      <c r="F2055" s="595"/>
      <c r="G2055" s="392" t="s">
        <v>681</v>
      </c>
      <c r="H2055" s="262" t="s">
        <v>87</v>
      </c>
      <c r="I2055" s="595"/>
      <c r="J2055" s="245" t="s">
        <v>561</v>
      </c>
      <c r="K2055" s="265" t="s">
        <v>2782</v>
      </c>
      <c r="L2055" s="265" t="s">
        <v>4853</v>
      </c>
      <c r="M2055" s="265" t="s">
        <v>4853</v>
      </c>
      <c r="N2055" s="404"/>
      <c r="O2055" s="216" t="s">
        <v>4937</v>
      </c>
      <c r="P2055" s="431"/>
      <c r="Q2055" s="394" t="s">
        <v>293</v>
      </c>
      <c r="R2055" s="683" t="s">
        <v>4938</v>
      </c>
      <c r="S2055" s="279">
        <v>38371</v>
      </c>
      <c r="T2055" s="396"/>
      <c r="U2055" s="250"/>
      <c r="V2055" s="414"/>
      <c r="W2055" s="414"/>
      <c r="X2055" s="197"/>
      <c r="Y2055" s="197"/>
      <c r="Z2055" s="246"/>
      <c r="AA2055" s="395"/>
      <c r="AB2055" s="394" t="s">
        <v>4939</v>
      </c>
      <c r="AC2055" s="223" t="s">
        <v>946</v>
      </c>
      <c r="AD2055" s="299" t="s">
        <v>467</v>
      </c>
      <c r="AE2055" s="494">
        <v>45248</v>
      </c>
      <c r="AF2055" s="494">
        <v>45613</v>
      </c>
      <c r="AG2055" s="736"/>
      <c r="AH2055" s="394"/>
      <c r="AI2055" s="254" t="s">
        <v>4208</v>
      </c>
      <c r="AJ2055" s="303" t="s">
        <v>136</v>
      </c>
      <c r="AK2055" s="241">
        <v>4</v>
      </c>
      <c r="AL2055" s="121" t="s">
        <v>676</v>
      </c>
      <c r="AM2055" s="121" t="s">
        <v>662</v>
      </c>
      <c r="AN2055" s="199"/>
      <c r="AO2055" s="190"/>
      <c r="AR2055" s="115"/>
    </row>
    <row r="2056" spans="1:46" ht="39" customHeight="1" x14ac:dyDescent="0.3">
      <c r="A2056" s="1468">
        <v>2055</v>
      </c>
      <c r="B2056" s="161">
        <v>2</v>
      </c>
      <c r="C2056" s="1136" t="s">
        <v>3592</v>
      </c>
      <c r="D2056" s="595"/>
      <c r="E2056" s="595"/>
      <c r="F2056" s="595"/>
      <c r="G2056" s="392" t="s">
        <v>681</v>
      </c>
      <c r="H2056" s="262" t="s">
        <v>87</v>
      </c>
      <c r="I2056" s="595"/>
      <c r="J2056" s="245" t="s">
        <v>561</v>
      </c>
      <c r="K2056" s="305" t="s">
        <v>158</v>
      </c>
      <c r="L2056" s="245" t="s">
        <v>4853</v>
      </c>
      <c r="M2056" s="245" t="s">
        <v>4853</v>
      </c>
      <c r="N2056" s="366"/>
      <c r="O2056" s="245" t="s">
        <v>4940</v>
      </c>
      <c r="P2056" s="420"/>
      <c r="Q2056" s="301" t="s">
        <v>293</v>
      </c>
      <c r="R2056" s="683" t="s">
        <v>5747</v>
      </c>
      <c r="S2056" s="279">
        <v>38157</v>
      </c>
      <c r="T2056" s="306"/>
      <c r="U2056" s="250"/>
      <c r="V2056" s="246"/>
      <c r="W2056" s="401"/>
      <c r="X2056" s="197"/>
      <c r="Y2056" s="197"/>
      <c r="Z2056" s="306"/>
      <c r="AA2056" s="305"/>
      <c r="AB2056" s="305" t="s">
        <v>4941</v>
      </c>
      <c r="AC2056" s="223" t="s">
        <v>946</v>
      </c>
      <c r="AD2056" s="299" t="s">
        <v>467</v>
      </c>
      <c r="AE2056" s="494">
        <v>45245</v>
      </c>
      <c r="AF2056" s="494">
        <v>45610</v>
      </c>
      <c r="AG2056" s="301"/>
      <c r="AH2056" s="281"/>
      <c r="AI2056" s="254" t="s">
        <v>4208</v>
      </c>
      <c r="AJ2056" s="303" t="s">
        <v>136</v>
      </c>
      <c r="AK2056" s="241">
        <v>4</v>
      </c>
      <c r="AL2056" s="121" t="s">
        <v>676</v>
      </c>
      <c r="AM2056" s="121" t="s">
        <v>662</v>
      </c>
      <c r="AN2056" s="199"/>
      <c r="AO2056" s="190"/>
      <c r="AR2056" s="115"/>
    </row>
    <row r="2057" spans="1:46" ht="39" customHeight="1" x14ac:dyDescent="0.3">
      <c r="A2057" s="1468">
        <v>2056</v>
      </c>
      <c r="B2057" s="161">
        <v>3</v>
      </c>
      <c r="C2057" s="356" t="s">
        <v>290</v>
      </c>
      <c r="D2057" s="595"/>
      <c r="E2057" s="595"/>
      <c r="F2057" s="595"/>
      <c r="G2057" s="392" t="s">
        <v>682</v>
      </c>
      <c r="H2057" s="262" t="s">
        <v>87</v>
      </c>
      <c r="I2057" s="595"/>
      <c r="J2057" s="245" t="s">
        <v>561</v>
      </c>
      <c r="K2057" s="257"/>
      <c r="L2057" s="299"/>
      <c r="M2057" s="299"/>
      <c r="N2057" s="245"/>
      <c r="O2057" s="392" t="s">
        <v>3941</v>
      </c>
      <c r="P2057" s="1254" t="s">
        <v>1828</v>
      </c>
      <c r="Q2057" s="379" t="s">
        <v>293</v>
      </c>
      <c r="R2057" s="982" t="s">
        <v>3940</v>
      </c>
      <c r="S2057" s="279">
        <v>30696</v>
      </c>
      <c r="T2057" s="289"/>
      <c r="U2057" s="251" t="s">
        <v>54</v>
      </c>
      <c r="V2057" s="197" t="s">
        <v>5512</v>
      </c>
      <c r="W2057" s="250" t="s">
        <v>56</v>
      </c>
      <c r="X2057" s="197" t="s">
        <v>57</v>
      </c>
      <c r="Y2057" s="197" t="s">
        <v>5726</v>
      </c>
      <c r="Z2057" s="246">
        <v>45272</v>
      </c>
      <c r="AA2057" s="281"/>
      <c r="AB2057" s="245"/>
      <c r="AC2057" s="223"/>
      <c r="AD2057" s="245"/>
      <c r="AE2057" s="494"/>
      <c r="AF2057" s="494"/>
      <c r="AG2057" s="241"/>
      <c r="AH2057" s="253"/>
      <c r="AI2057" s="284"/>
      <c r="AJ2057" s="348" t="s">
        <v>560</v>
      </c>
      <c r="AK2057" s="241">
        <v>4</v>
      </c>
      <c r="AL2057" s="121" t="s">
        <v>676</v>
      </c>
      <c r="AM2057" s="121" t="s">
        <v>662</v>
      </c>
      <c r="AN2057" s="147" t="s">
        <v>5776</v>
      </c>
      <c r="AO2057" s="190"/>
      <c r="AR2057" s="115"/>
      <c r="AS2057" s="115"/>
      <c r="AT2057" s="115"/>
    </row>
    <row r="2058" spans="1:46" ht="39" customHeight="1" x14ac:dyDescent="0.3">
      <c r="A2058" s="1468">
        <v>2057</v>
      </c>
      <c r="B2058" s="161">
        <v>3</v>
      </c>
      <c r="C2058" s="356" t="s">
        <v>290</v>
      </c>
      <c r="D2058" s="595"/>
      <c r="E2058" s="595"/>
      <c r="F2058" s="595"/>
      <c r="G2058" s="392" t="s">
        <v>2064</v>
      </c>
      <c r="H2058" s="262" t="s">
        <v>87</v>
      </c>
      <c r="I2058" s="595"/>
      <c r="J2058" s="245" t="s">
        <v>561</v>
      </c>
      <c r="K2058" s="288" t="s">
        <v>158</v>
      </c>
      <c r="L2058" s="263" t="s">
        <v>3678</v>
      </c>
      <c r="M2058" s="263" t="s">
        <v>3678</v>
      </c>
      <c r="N2058" s="281" t="s">
        <v>4217</v>
      </c>
      <c r="O2058" s="392" t="s">
        <v>3901</v>
      </c>
      <c r="P2058" s="595"/>
      <c r="Q2058" s="197" t="s">
        <v>87</v>
      </c>
      <c r="R2058" s="1193" t="s">
        <v>3900</v>
      </c>
      <c r="S2058" s="279">
        <v>37728</v>
      </c>
      <c r="T2058" s="595"/>
      <c r="U2058" s="250"/>
      <c r="V2058" s="595"/>
      <c r="W2058" s="392"/>
      <c r="X2058" s="392"/>
      <c r="Y2058" s="595"/>
      <c r="Z2058" s="595"/>
      <c r="AA2058" s="595"/>
      <c r="AB2058" s="376" t="s">
        <v>4253</v>
      </c>
      <c r="AC2058" s="223" t="s">
        <v>946</v>
      </c>
      <c r="AD2058" s="299" t="s">
        <v>467</v>
      </c>
      <c r="AE2058" s="494">
        <v>45106</v>
      </c>
      <c r="AF2058" s="494">
        <v>45471</v>
      </c>
      <c r="AG2058" s="595"/>
      <c r="AH2058" s="595"/>
      <c r="AI2058" s="284" t="s">
        <v>1351</v>
      </c>
      <c r="AJ2058" s="303" t="s">
        <v>136</v>
      </c>
      <c r="AK2058" s="241">
        <v>4</v>
      </c>
      <c r="AL2058" s="121" t="s">
        <v>676</v>
      </c>
      <c r="AM2058" s="121" t="s">
        <v>662</v>
      </c>
      <c r="AN2058" s="147" t="s">
        <v>5779</v>
      </c>
      <c r="AO2058" s="190"/>
      <c r="AR2058" s="115"/>
      <c r="AS2058" s="115"/>
      <c r="AT2058" s="115"/>
    </row>
    <row r="2059" spans="1:46" ht="39" customHeight="1" x14ac:dyDescent="0.3">
      <c r="A2059" s="1468">
        <v>2058</v>
      </c>
      <c r="B2059" s="161">
        <v>2</v>
      </c>
      <c r="C2059" s="501" t="s">
        <v>683</v>
      </c>
      <c r="D2059" s="595"/>
      <c r="E2059" s="595"/>
      <c r="F2059" s="595"/>
      <c r="G2059" s="392" t="s">
        <v>354</v>
      </c>
      <c r="H2059" s="262" t="s">
        <v>87</v>
      </c>
      <c r="I2059" s="595"/>
      <c r="J2059" s="245" t="s">
        <v>561</v>
      </c>
      <c r="K2059" s="257" t="s">
        <v>313</v>
      </c>
      <c r="L2059" s="250" t="s">
        <v>4853</v>
      </c>
      <c r="M2059" s="288" t="s">
        <v>4853</v>
      </c>
      <c r="N2059" s="299"/>
      <c r="O2059" s="392" t="s">
        <v>4961</v>
      </c>
      <c r="P2059" s="300"/>
      <c r="Q2059" s="197" t="s">
        <v>293</v>
      </c>
      <c r="R2059" s="683" t="s">
        <v>4962</v>
      </c>
      <c r="S2059" s="279">
        <v>38631</v>
      </c>
      <c r="T2059" s="289"/>
      <c r="U2059" s="250"/>
      <c r="V2059" s="250"/>
      <c r="W2059" s="306"/>
      <c r="X2059" s="197"/>
      <c r="Y2059" s="197"/>
      <c r="Z2059" s="306"/>
      <c r="AA2059" s="252"/>
      <c r="AB2059" s="299" t="s">
        <v>4963</v>
      </c>
      <c r="AC2059" s="223" t="s">
        <v>482</v>
      </c>
      <c r="AD2059" s="299" t="s">
        <v>467</v>
      </c>
      <c r="AE2059" s="494">
        <v>45244</v>
      </c>
      <c r="AF2059" s="494">
        <v>45609</v>
      </c>
      <c r="AG2059" s="299"/>
      <c r="AH2059" s="299"/>
      <c r="AI2059" s="254" t="s">
        <v>4208</v>
      </c>
      <c r="AJ2059" s="303" t="s">
        <v>136</v>
      </c>
      <c r="AK2059" s="241">
        <v>4</v>
      </c>
      <c r="AL2059" s="121" t="s">
        <v>676</v>
      </c>
      <c r="AM2059" s="121" t="s">
        <v>662</v>
      </c>
      <c r="AN2059" s="147" t="s">
        <v>5778</v>
      </c>
      <c r="AO2059" s="190"/>
      <c r="AR2059" s="115"/>
      <c r="AS2059" s="115"/>
      <c r="AT2059" s="115"/>
    </row>
    <row r="2060" spans="1:46" ht="39" customHeight="1" x14ac:dyDescent="0.3">
      <c r="A2060" s="1468">
        <v>2059</v>
      </c>
      <c r="B2060" s="161">
        <v>2</v>
      </c>
      <c r="C2060" s="501" t="s">
        <v>683</v>
      </c>
      <c r="D2060" s="595"/>
      <c r="E2060" s="595"/>
      <c r="F2060" s="595"/>
      <c r="G2060" s="392" t="s">
        <v>354</v>
      </c>
      <c r="H2060" s="262" t="s">
        <v>87</v>
      </c>
      <c r="I2060" s="595"/>
      <c r="J2060" s="245" t="s">
        <v>561</v>
      </c>
      <c r="K2060" s="268"/>
      <c r="L2060" s="288" t="s">
        <v>5149</v>
      </c>
      <c r="M2060" s="288" t="s">
        <v>5149</v>
      </c>
      <c r="N2060" s="264"/>
      <c r="O2060" s="1398" t="s">
        <v>5306</v>
      </c>
      <c r="P2060" s="266"/>
      <c r="Q2060" s="1398" t="s">
        <v>87</v>
      </c>
      <c r="R2060" s="1003" t="s">
        <v>5305</v>
      </c>
      <c r="S2060" s="279">
        <v>37838</v>
      </c>
      <c r="T2060" s="414"/>
      <c r="U2060" s="250"/>
      <c r="V2060" s="288"/>
      <c r="W2060" s="250" t="s">
        <v>5999</v>
      </c>
      <c r="X2060" s="197"/>
      <c r="Y2060" s="250"/>
      <c r="Z2060" s="306"/>
      <c r="AA2060" s="395"/>
      <c r="AB2060" s="438"/>
      <c r="AC2060" s="223"/>
      <c r="AD2060" s="245" t="s">
        <v>467</v>
      </c>
      <c r="AE2060" s="494"/>
      <c r="AF2060" s="494"/>
      <c r="AG2060" s="481"/>
      <c r="AH2060" s="481"/>
      <c r="AI2060" s="254" t="s">
        <v>4208</v>
      </c>
      <c r="AJ2060" s="303" t="s">
        <v>136</v>
      </c>
      <c r="AK2060" s="241">
        <v>4</v>
      </c>
      <c r="AL2060" s="121" t="s">
        <v>676</v>
      </c>
      <c r="AM2060" s="121" t="s">
        <v>662</v>
      </c>
      <c r="AN2060" s="147" t="s">
        <v>5777</v>
      </c>
      <c r="AO2060" s="190"/>
      <c r="AR2060" s="115"/>
      <c r="AS2060" s="115"/>
      <c r="AT2060" s="115"/>
    </row>
    <row r="2061" spans="1:46" ht="39" customHeight="1" x14ac:dyDescent="0.3">
      <c r="A2061" s="1468">
        <v>2060</v>
      </c>
      <c r="B2061" s="161">
        <v>2</v>
      </c>
      <c r="C2061" s="501" t="s">
        <v>684</v>
      </c>
      <c r="D2061" s="595"/>
      <c r="E2061" s="595"/>
      <c r="F2061" s="595"/>
      <c r="G2061" s="392" t="s">
        <v>685</v>
      </c>
      <c r="H2061" s="262" t="s">
        <v>87</v>
      </c>
      <c r="I2061" s="595"/>
      <c r="J2061" s="245" t="s">
        <v>561</v>
      </c>
      <c r="K2061" s="257"/>
      <c r="L2061" s="299" t="s">
        <v>1508</v>
      </c>
      <c r="M2061" s="299" t="s">
        <v>1708</v>
      </c>
      <c r="N2061" s="245"/>
      <c r="O2061" s="392" t="s">
        <v>3099</v>
      </c>
      <c r="P2061" s="627"/>
      <c r="Q2061" s="594" t="s">
        <v>293</v>
      </c>
      <c r="R2061" s="381" t="s">
        <v>1631</v>
      </c>
      <c r="S2061" s="279"/>
      <c r="T2061" s="289"/>
      <c r="U2061" s="251" t="s">
        <v>54</v>
      </c>
      <c r="V2061" s="197"/>
      <c r="W2061" s="197" t="s">
        <v>295</v>
      </c>
      <c r="X2061" s="250"/>
      <c r="Y2061" s="197"/>
      <c r="Z2061" s="246"/>
      <c r="AA2061" s="281"/>
      <c r="AB2061" s="250" t="s">
        <v>4544</v>
      </c>
      <c r="AC2061" s="223" t="s">
        <v>946</v>
      </c>
      <c r="AD2061" s="245"/>
      <c r="AE2061" s="494">
        <v>45114</v>
      </c>
      <c r="AF2061" s="494">
        <v>45479</v>
      </c>
      <c r="AG2061" s="241"/>
      <c r="AH2061" s="253"/>
      <c r="AI2061" s="284" t="s">
        <v>1351</v>
      </c>
      <c r="AJ2061" s="303" t="s">
        <v>136</v>
      </c>
      <c r="AK2061" s="241">
        <v>4</v>
      </c>
      <c r="AL2061" s="121" t="s">
        <v>676</v>
      </c>
      <c r="AM2061" s="121" t="s">
        <v>662</v>
      </c>
      <c r="AN2061" s="147" t="s">
        <v>5764</v>
      </c>
      <c r="AO2061" s="190"/>
      <c r="AR2061" s="115"/>
      <c r="AS2061" s="115"/>
      <c r="AT2061" s="115"/>
    </row>
    <row r="2062" spans="1:46" ht="39" customHeight="1" x14ac:dyDescent="0.3">
      <c r="A2062" s="1468">
        <v>2061</v>
      </c>
      <c r="B2062" s="161">
        <v>2</v>
      </c>
      <c r="C2062" s="504" t="s">
        <v>353</v>
      </c>
      <c r="D2062" s="640"/>
      <c r="E2062" s="640"/>
      <c r="F2062" s="640"/>
      <c r="G2062" s="392" t="s">
        <v>354</v>
      </c>
      <c r="H2062" s="262" t="s">
        <v>87</v>
      </c>
      <c r="I2062" s="640"/>
      <c r="J2062" s="245" t="s">
        <v>561</v>
      </c>
      <c r="K2062" s="216"/>
      <c r="L2062" s="288" t="s">
        <v>2444</v>
      </c>
      <c r="M2062" s="288" t="s">
        <v>2444</v>
      </c>
      <c r="N2062" s="366"/>
      <c r="O2062" s="392" t="s">
        <v>2943</v>
      </c>
      <c r="P2062" s="435"/>
      <c r="Q2062" s="197" t="s">
        <v>87</v>
      </c>
      <c r="R2062" s="302" t="s">
        <v>2309</v>
      </c>
      <c r="S2062" s="279"/>
      <c r="T2062" s="502"/>
      <c r="U2062" s="250"/>
      <c r="V2062" s="197"/>
      <c r="W2062" s="250"/>
      <c r="X2062" s="250"/>
      <c r="Y2062" s="197"/>
      <c r="Z2062" s="246"/>
      <c r="AA2062" s="246"/>
      <c r="AB2062" s="301"/>
      <c r="AC2062" s="223" t="s">
        <v>946</v>
      </c>
      <c r="AD2062" s="301"/>
      <c r="AE2062" s="494"/>
      <c r="AF2062" s="494"/>
      <c r="AG2062" s="301"/>
      <c r="AH2062" s="483"/>
      <c r="AI2062" s="254" t="s">
        <v>1351</v>
      </c>
      <c r="AJ2062" s="303" t="s">
        <v>136</v>
      </c>
      <c r="AK2062" s="471">
        <v>4</v>
      </c>
      <c r="AL2062" s="166" t="s">
        <v>676</v>
      </c>
      <c r="AM2062" s="166" t="s">
        <v>662</v>
      </c>
      <c r="AN2062" s="147" t="s">
        <v>5764</v>
      </c>
      <c r="AO2062" s="194"/>
      <c r="AR2062" s="115"/>
      <c r="AS2062" s="115"/>
      <c r="AT2062" s="115"/>
    </row>
    <row r="2063" spans="1:46" s="827" customFormat="1" ht="39" customHeight="1" x14ac:dyDescent="0.3">
      <c r="A2063" s="1468">
        <v>2062</v>
      </c>
      <c r="B2063" s="161"/>
      <c r="C2063" s="659"/>
      <c r="D2063" s="637"/>
      <c r="E2063" s="637"/>
      <c r="F2063" s="637"/>
      <c r="G2063" s="602"/>
      <c r="H2063" s="602"/>
      <c r="I2063" s="637"/>
      <c r="J2063" s="637"/>
      <c r="K2063" s="637"/>
      <c r="L2063" s="602"/>
      <c r="M2063" s="602"/>
      <c r="N2063" s="637"/>
      <c r="O2063" s="602"/>
      <c r="P2063" s="230" t="s">
        <v>686</v>
      </c>
      <c r="Q2063" s="637"/>
      <c r="R2063" s="324"/>
      <c r="S2063" s="279"/>
      <c r="T2063" s="637"/>
      <c r="U2063" s="250"/>
      <c r="V2063" s="637"/>
      <c r="W2063" s="602"/>
      <c r="X2063" s="602"/>
      <c r="Y2063" s="637"/>
      <c r="Z2063" s="637"/>
      <c r="AA2063" s="637"/>
      <c r="AB2063" s="1295"/>
      <c r="AC2063" s="637"/>
      <c r="AD2063" s="659"/>
      <c r="AE2063" s="494"/>
      <c r="AF2063" s="494"/>
      <c r="AG2063" s="637"/>
      <c r="AH2063" s="637"/>
      <c r="AI2063" s="602"/>
      <c r="AJ2063" s="602"/>
      <c r="AK2063" s="602"/>
      <c r="AL2063" s="205"/>
      <c r="AM2063" s="205"/>
      <c r="AN2063" s="202"/>
      <c r="AO2063" s="196"/>
      <c r="AP2063" s="192"/>
      <c r="AQ2063" s="192"/>
      <c r="AR2063" s="192"/>
      <c r="AS2063" s="192"/>
      <c r="AT2063" s="192"/>
    </row>
    <row r="2064" spans="1:46" ht="39" customHeight="1" x14ac:dyDescent="0.3">
      <c r="A2064" s="1468">
        <v>2063</v>
      </c>
      <c r="B2064" s="161">
        <v>5</v>
      </c>
      <c r="C2064" s="934" t="s">
        <v>687</v>
      </c>
      <c r="D2064" s="864"/>
      <c r="E2064" s="864"/>
      <c r="F2064" s="864"/>
      <c r="G2064" s="846" t="s">
        <v>688</v>
      </c>
      <c r="H2064" s="846" t="s">
        <v>132</v>
      </c>
      <c r="I2064" s="642"/>
      <c r="J2064" s="256">
        <v>403</v>
      </c>
      <c r="K2064" s="684"/>
      <c r="L2064" s="685"/>
      <c r="M2064" s="685"/>
      <c r="N2064" s="684"/>
      <c r="O2064" s="216" t="s">
        <v>2412</v>
      </c>
      <c r="P2064" s="402" t="s">
        <v>1828</v>
      </c>
      <c r="Q2064" s="344" t="s">
        <v>519</v>
      </c>
      <c r="R2064" s="982" t="s">
        <v>2411</v>
      </c>
      <c r="S2064" s="279">
        <v>26202</v>
      </c>
      <c r="T2064" s="684"/>
      <c r="U2064" s="251" t="s">
        <v>54</v>
      </c>
      <c r="V2064" s="250" t="s">
        <v>4047</v>
      </c>
      <c r="W2064" s="197" t="s">
        <v>70</v>
      </c>
      <c r="X2064" s="289" t="s">
        <v>71</v>
      </c>
      <c r="Y2064" s="288" t="s">
        <v>4218</v>
      </c>
      <c r="Z2064" s="252">
        <v>45232</v>
      </c>
      <c r="AA2064" s="252"/>
      <c r="AB2064" s="1290"/>
      <c r="AC2064" s="684"/>
      <c r="AD2064" s="686"/>
      <c r="AE2064" s="494"/>
      <c r="AF2064" s="494"/>
      <c r="AG2064" s="684"/>
      <c r="AH2064" s="684"/>
      <c r="AI2064" s="685"/>
      <c r="AJ2064" s="348" t="s">
        <v>560</v>
      </c>
      <c r="AK2064" s="491">
        <v>3</v>
      </c>
      <c r="AL2064" s="169" t="s">
        <v>676</v>
      </c>
      <c r="AM2064" s="169" t="s">
        <v>662</v>
      </c>
      <c r="AN2064" s="200"/>
      <c r="AO2064" s="193"/>
      <c r="AR2064" s="115"/>
    </row>
    <row r="2065" spans="1:46" ht="39" customHeight="1" x14ac:dyDescent="0.3">
      <c r="A2065" s="1468">
        <v>2064</v>
      </c>
      <c r="B2065" s="161"/>
      <c r="C2065" s="356" t="s">
        <v>382</v>
      </c>
      <c r="D2065" s="595"/>
      <c r="E2065" s="595"/>
      <c r="F2065" s="595"/>
      <c r="G2065" s="392" t="s">
        <v>689</v>
      </c>
      <c r="H2065" s="262" t="s">
        <v>85</v>
      </c>
      <c r="I2065" s="595"/>
      <c r="J2065" s="245" t="s">
        <v>556</v>
      </c>
      <c r="K2065" s="257"/>
      <c r="L2065" s="288" t="s">
        <v>5144</v>
      </c>
      <c r="M2065" s="288" t="s">
        <v>5144</v>
      </c>
      <c r="N2065" s="299"/>
      <c r="O2065" s="1398" t="s">
        <v>5308</v>
      </c>
      <c r="P2065" s="300"/>
      <c r="Q2065" s="1398" t="s">
        <v>87</v>
      </c>
      <c r="R2065" s="1003" t="s">
        <v>5307</v>
      </c>
      <c r="S2065" s="279">
        <v>38028</v>
      </c>
      <c r="T2065" s="289"/>
      <c r="U2065" s="250"/>
      <c r="V2065" s="250"/>
      <c r="W2065" s="250"/>
      <c r="X2065" s="197"/>
      <c r="Y2065" s="250"/>
      <c r="Z2065" s="306"/>
      <c r="AA2065" s="252"/>
      <c r="AB2065" s="299"/>
      <c r="AC2065" s="223"/>
      <c r="AD2065" s="245" t="s">
        <v>467</v>
      </c>
      <c r="AE2065" s="494"/>
      <c r="AF2065" s="494"/>
      <c r="AG2065" s="299"/>
      <c r="AH2065" s="299"/>
      <c r="AI2065" s="254" t="s">
        <v>4208</v>
      </c>
      <c r="AJ2065" s="303" t="s">
        <v>136</v>
      </c>
      <c r="AK2065" s="241">
        <v>4</v>
      </c>
      <c r="AL2065" s="121" t="s">
        <v>676</v>
      </c>
      <c r="AM2065" s="121" t="s">
        <v>662</v>
      </c>
      <c r="AN2065" s="199"/>
      <c r="AO2065" s="190"/>
      <c r="AR2065" s="115"/>
      <c r="AS2065" s="115"/>
      <c r="AT2065" s="115"/>
    </row>
    <row r="2066" spans="1:46" ht="39" customHeight="1" x14ac:dyDescent="0.3">
      <c r="A2066" s="1468">
        <v>2065</v>
      </c>
      <c r="B2066" s="110">
        <v>3</v>
      </c>
      <c r="C2066" s="1136" t="s">
        <v>604</v>
      </c>
      <c r="D2066" s="595"/>
      <c r="E2066" s="595"/>
      <c r="F2066" s="595"/>
      <c r="G2066" s="392" t="s">
        <v>667</v>
      </c>
      <c r="H2066" s="262" t="s">
        <v>85</v>
      </c>
      <c r="I2066" s="595"/>
      <c r="J2066" s="245" t="s">
        <v>556</v>
      </c>
      <c r="K2066" s="216" t="s">
        <v>4731</v>
      </c>
      <c r="L2066" s="281" t="s">
        <v>4853</v>
      </c>
      <c r="M2066" s="281" t="s">
        <v>4853</v>
      </c>
      <c r="N2066" s="366"/>
      <c r="O2066" s="216" t="s">
        <v>4942</v>
      </c>
      <c r="P2066" s="247"/>
      <c r="Q2066" s="594" t="s">
        <v>293</v>
      </c>
      <c r="R2066" s="683" t="s">
        <v>4943</v>
      </c>
      <c r="S2066" s="279">
        <v>37697</v>
      </c>
      <c r="T2066" s="306"/>
      <c r="U2066" s="250"/>
      <c r="V2066" s="197"/>
      <c r="W2066" s="250"/>
      <c r="X2066" s="197"/>
      <c r="Y2066" s="197"/>
      <c r="Z2066" s="246"/>
      <c r="AA2066" s="246"/>
      <c r="AB2066" s="281" t="s">
        <v>4944</v>
      </c>
      <c r="AC2066" s="223" t="s">
        <v>946</v>
      </c>
      <c r="AD2066" s="245" t="s">
        <v>467</v>
      </c>
      <c r="AE2066" s="494">
        <v>45245</v>
      </c>
      <c r="AF2066" s="494">
        <v>45610</v>
      </c>
      <c r="AG2066" s="301"/>
      <c r="AH2066" s="301"/>
      <c r="AI2066" s="254" t="s">
        <v>4208</v>
      </c>
      <c r="AJ2066" s="303" t="s">
        <v>136</v>
      </c>
      <c r="AK2066" s="241">
        <v>4</v>
      </c>
      <c r="AL2066" s="121" t="s">
        <v>676</v>
      </c>
      <c r="AM2066" s="121" t="s">
        <v>662</v>
      </c>
      <c r="AN2066" s="199"/>
      <c r="AO2066" s="190"/>
      <c r="AR2066" s="115"/>
    </row>
    <row r="2067" spans="1:46" ht="39" customHeight="1" x14ac:dyDescent="0.3">
      <c r="A2067" s="1468">
        <v>2066</v>
      </c>
      <c r="B2067" s="161">
        <v>2</v>
      </c>
      <c r="C2067" s="1136" t="s">
        <v>605</v>
      </c>
      <c r="D2067" s="595"/>
      <c r="E2067" s="595"/>
      <c r="F2067" s="595"/>
      <c r="G2067" s="392" t="s">
        <v>668</v>
      </c>
      <c r="H2067" s="262" t="s">
        <v>87</v>
      </c>
      <c r="I2067" s="595"/>
      <c r="J2067" s="245" t="s">
        <v>561</v>
      </c>
      <c r="K2067" s="277" t="s">
        <v>313</v>
      </c>
      <c r="L2067" s="276" t="s">
        <v>4853</v>
      </c>
      <c r="M2067" s="276" t="s">
        <v>4853</v>
      </c>
      <c r="N2067" s="451"/>
      <c r="O2067" s="277" t="s">
        <v>4945</v>
      </c>
      <c r="P2067" s="276"/>
      <c r="Q2067" s="441" t="s">
        <v>293</v>
      </c>
      <c r="R2067" s="683" t="s">
        <v>5519</v>
      </c>
      <c r="S2067" s="279">
        <v>38384</v>
      </c>
      <c r="T2067" s="280"/>
      <c r="U2067" s="251" t="s">
        <v>544</v>
      </c>
      <c r="V2067" s="486">
        <v>45319</v>
      </c>
      <c r="W2067" s="452"/>
      <c r="X2067" s="197"/>
      <c r="Y2067" s="197"/>
      <c r="Z2067" s="486"/>
      <c r="AA2067" s="486"/>
      <c r="AB2067" s="452" t="s">
        <v>4946</v>
      </c>
      <c r="AC2067" s="223" t="s">
        <v>482</v>
      </c>
      <c r="AD2067" s="299" t="s">
        <v>467</v>
      </c>
      <c r="AE2067" s="494">
        <v>45245</v>
      </c>
      <c r="AF2067" s="494">
        <v>45610</v>
      </c>
      <c r="AG2067" s="476"/>
      <c r="AH2067" s="441"/>
      <c r="AI2067" s="254" t="s">
        <v>4208</v>
      </c>
      <c r="AJ2067" s="303" t="s">
        <v>136</v>
      </c>
      <c r="AK2067" s="241">
        <v>4</v>
      </c>
      <c r="AL2067" s="121" t="s">
        <v>676</v>
      </c>
      <c r="AM2067" s="121" t="s">
        <v>662</v>
      </c>
      <c r="AN2067" s="199"/>
      <c r="AO2067" s="190"/>
      <c r="AR2067" s="115"/>
    </row>
    <row r="2068" spans="1:46" ht="39" customHeight="1" x14ac:dyDescent="0.3">
      <c r="A2068" s="1468">
        <v>2067</v>
      </c>
      <c r="B2068" s="161">
        <v>2</v>
      </c>
      <c r="C2068" s="1136" t="s">
        <v>605</v>
      </c>
      <c r="D2068" s="595"/>
      <c r="E2068" s="595"/>
      <c r="F2068" s="595"/>
      <c r="G2068" s="392" t="s">
        <v>668</v>
      </c>
      <c r="H2068" s="262" t="s">
        <v>87</v>
      </c>
      <c r="I2068" s="595"/>
      <c r="J2068" s="245" t="s">
        <v>561</v>
      </c>
      <c r="K2068" s="250" t="s">
        <v>158</v>
      </c>
      <c r="L2068" s="281" t="s">
        <v>4853</v>
      </c>
      <c r="M2068" s="281" t="s">
        <v>4853</v>
      </c>
      <c r="N2068" s="366"/>
      <c r="O2068" s="216" t="s">
        <v>4947</v>
      </c>
      <c r="P2068" s="402"/>
      <c r="Q2068" s="301" t="s">
        <v>293</v>
      </c>
      <c r="R2068" s="683" t="s">
        <v>4948</v>
      </c>
      <c r="S2068" s="279">
        <v>37820</v>
      </c>
      <c r="T2068" s="306"/>
      <c r="U2068" s="250"/>
      <c r="V2068" s="197"/>
      <c r="W2068" s="250"/>
      <c r="X2068" s="197"/>
      <c r="Y2068" s="197"/>
      <c r="Z2068" s="246"/>
      <c r="AA2068" s="252"/>
      <c r="AB2068" s="307" t="s">
        <v>4949</v>
      </c>
      <c r="AC2068" s="223" t="s">
        <v>946</v>
      </c>
      <c r="AD2068" s="299" t="s">
        <v>467</v>
      </c>
      <c r="AE2068" s="494">
        <v>45245</v>
      </c>
      <c r="AF2068" s="494">
        <v>45610</v>
      </c>
      <c r="AG2068" s="385"/>
      <c r="AH2068" s="283"/>
      <c r="AI2068" s="254" t="s">
        <v>4208</v>
      </c>
      <c r="AJ2068" s="303" t="s">
        <v>136</v>
      </c>
      <c r="AK2068" s="241">
        <v>4</v>
      </c>
      <c r="AL2068" s="121" t="s">
        <v>676</v>
      </c>
      <c r="AM2068" s="121" t="s">
        <v>662</v>
      </c>
      <c r="AN2068" s="199"/>
      <c r="AO2068" s="190"/>
      <c r="AR2068" s="115"/>
    </row>
    <row r="2069" spans="1:46" ht="39" customHeight="1" x14ac:dyDescent="0.3">
      <c r="A2069" s="1468">
        <v>2068</v>
      </c>
      <c r="B2069" s="161">
        <v>2</v>
      </c>
      <c r="C2069" s="1136" t="s">
        <v>690</v>
      </c>
      <c r="D2069" s="595"/>
      <c r="E2069" s="595"/>
      <c r="F2069" s="595"/>
      <c r="G2069" s="392" t="s">
        <v>668</v>
      </c>
      <c r="H2069" s="262" t="s">
        <v>87</v>
      </c>
      <c r="I2069" s="595"/>
      <c r="J2069" s="245" t="s">
        <v>561</v>
      </c>
      <c r="K2069" s="301" t="s">
        <v>313</v>
      </c>
      <c r="L2069" s="216" t="s">
        <v>4853</v>
      </c>
      <c r="M2069" s="216" t="s">
        <v>4853</v>
      </c>
      <c r="N2069" s="366"/>
      <c r="O2069" s="216" t="s">
        <v>4950</v>
      </c>
      <c r="P2069" s="325"/>
      <c r="Q2069" s="281" t="s">
        <v>293</v>
      </c>
      <c r="R2069" s="683" t="s">
        <v>4951</v>
      </c>
      <c r="S2069" s="279">
        <v>37985</v>
      </c>
      <c r="T2069" s="1016"/>
      <c r="U2069" s="250"/>
      <c r="V2069" s="197"/>
      <c r="W2069" s="250"/>
      <c r="X2069" s="197"/>
      <c r="Y2069" s="197"/>
      <c r="Z2069" s="246"/>
      <c r="AA2069" s="1017"/>
      <c r="AB2069" s="307" t="s">
        <v>4946</v>
      </c>
      <c r="AC2069" s="223" t="s">
        <v>946</v>
      </c>
      <c r="AD2069" s="299" t="s">
        <v>467</v>
      </c>
      <c r="AE2069" s="494">
        <v>45245</v>
      </c>
      <c r="AF2069" s="494">
        <v>45610</v>
      </c>
      <c r="AG2069" s="305"/>
      <c r="AH2069" s="281"/>
      <c r="AI2069" s="254" t="s">
        <v>4208</v>
      </c>
      <c r="AJ2069" s="303" t="s">
        <v>136</v>
      </c>
      <c r="AK2069" s="241">
        <v>4</v>
      </c>
      <c r="AL2069" s="121" t="s">
        <v>676</v>
      </c>
      <c r="AM2069" s="121" t="s">
        <v>662</v>
      </c>
      <c r="AN2069" s="199"/>
      <c r="AO2069" s="190"/>
      <c r="AR2069" s="115"/>
    </row>
    <row r="2070" spans="1:46" ht="39" customHeight="1" x14ac:dyDescent="0.3">
      <c r="A2070" s="1468">
        <v>2069</v>
      </c>
      <c r="B2070" s="161"/>
      <c r="C2070" s="356" t="s">
        <v>290</v>
      </c>
      <c r="D2070" s="595"/>
      <c r="E2070" s="595"/>
      <c r="F2070" s="595"/>
      <c r="G2070" s="392" t="s">
        <v>691</v>
      </c>
      <c r="H2070" s="262" t="s">
        <v>87</v>
      </c>
      <c r="I2070" s="595"/>
      <c r="J2070" s="245" t="s">
        <v>561</v>
      </c>
      <c r="K2070" s="288" t="s">
        <v>158</v>
      </c>
      <c r="L2070" s="299" t="s">
        <v>3678</v>
      </c>
      <c r="M2070" s="299" t="s">
        <v>3678</v>
      </c>
      <c r="N2070" s="281" t="s">
        <v>4217</v>
      </c>
      <c r="O2070" s="392" t="s">
        <v>3903</v>
      </c>
      <c r="P2070" s="595"/>
      <c r="Q2070" s="281" t="s">
        <v>293</v>
      </c>
      <c r="R2070" s="1194" t="s">
        <v>3902</v>
      </c>
      <c r="S2070" s="279">
        <v>38341</v>
      </c>
      <c r="T2070" s="595"/>
      <c r="U2070" s="251" t="s">
        <v>54</v>
      </c>
      <c r="V2070" s="306" t="s">
        <v>4730</v>
      </c>
      <c r="W2070" s="250" t="s">
        <v>4605</v>
      </c>
      <c r="X2070" s="250" t="s">
        <v>465</v>
      </c>
      <c r="Y2070" s="197" t="s">
        <v>4812</v>
      </c>
      <c r="Z2070" s="246">
        <v>45243</v>
      </c>
      <c r="AA2070" s="595"/>
      <c r="AB2070" s="288" t="s">
        <v>4241</v>
      </c>
      <c r="AC2070" s="223" t="s">
        <v>946</v>
      </c>
      <c r="AD2070" s="299" t="s">
        <v>467</v>
      </c>
      <c r="AE2070" s="494">
        <v>45101</v>
      </c>
      <c r="AF2070" s="494">
        <v>45466</v>
      </c>
      <c r="AG2070" s="595"/>
      <c r="AH2070" s="595"/>
      <c r="AI2070" s="284" t="s">
        <v>1351</v>
      </c>
      <c r="AJ2070" s="303" t="s">
        <v>136</v>
      </c>
      <c r="AK2070" s="241">
        <v>4</v>
      </c>
      <c r="AL2070" s="121" t="s">
        <v>676</v>
      </c>
      <c r="AM2070" s="121" t="s">
        <v>662</v>
      </c>
      <c r="AN2070" s="199"/>
      <c r="AO2070" s="190"/>
      <c r="AR2070" s="115"/>
      <c r="AS2070" s="115"/>
      <c r="AT2070" s="115"/>
    </row>
    <row r="2071" spans="1:46" ht="39" customHeight="1" x14ac:dyDescent="0.3">
      <c r="A2071" s="1468">
        <v>2070</v>
      </c>
      <c r="B2071" s="161"/>
      <c r="C2071" s="356" t="s">
        <v>290</v>
      </c>
      <c r="D2071" s="640"/>
      <c r="E2071" s="640"/>
      <c r="F2071" s="640"/>
      <c r="G2071" s="626" t="s">
        <v>691</v>
      </c>
      <c r="H2071" s="262" t="s">
        <v>87</v>
      </c>
      <c r="I2071" s="640"/>
      <c r="J2071" s="245" t="s">
        <v>561</v>
      </c>
      <c r="K2071" s="288" t="s">
        <v>158</v>
      </c>
      <c r="L2071" s="301" t="s">
        <v>3959</v>
      </c>
      <c r="M2071" s="301" t="s">
        <v>3959</v>
      </c>
      <c r="N2071" s="281" t="s">
        <v>4217</v>
      </c>
      <c r="O2071" s="216" t="s">
        <v>3979</v>
      </c>
      <c r="P2071" s="627"/>
      <c r="Q2071" s="281" t="s">
        <v>87</v>
      </c>
      <c r="R2071" s="1194" t="s">
        <v>3978</v>
      </c>
      <c r="S2071" s="279">
        <v>37525</v>
      </c>
      <c r="T2071" s="289"/>
      <c r="U2071" s="251" t="s">
        <v>54</v>
      </c>
      <c r="V2071" s="306" t="s">
        <v>4730</v>
      </c>
      <c r="W2071" s="250" t="s">
        <v>4605</v>
      </c>
      <c r="X2071" s="250" t="s">
        <v>465</v>
      </c>
      <c r="Y2071" s="197" t="s">
        <v>4812</v>
      </c>
      <c r="Z2071" s="246">
        <v>45243</v>
      </c>
      <c r="AA2071" s="281"/>
      <c r="AB2071" s="288" t="s">
        <v>4230</v>
      </c>
      <c r="AC2071" s="223" t="s">
        <v>1475</v>
      </c>
      <c r="AD2071" s="299" t="s">
        <v>467</v>
      </c>
      <c r="AE2071" s="494">
        <v>45113</v>
      </c>
      <c r="AF2071" s="494">
        <v>45478</v>
      </c>
      <c r="AG2071" s="241"/>
      <c r="AH2071" s="253"/>
      <c r="AI2071" s="284" t="s">
        <v>1351</v>
      </c>
      <c r="AJ2071" s="303" t="s">
        <v>136</v>
      </c>
      <c r="AK2071" s="471">
        <v>4</v>
      </c>
      <c r="AL2071" s="166" t="s">
        <v>676</v>
      </c>
      <c r="AM2071" s="166" t="s">
        <v>662</v>
      </c>
      <c r="AN2071" s="201"/>
      <c r="AO2071" s="194"/>
      <c r="AR2071" s="115"/>
      <c r="AS2071" s="115"/>
      <c r="AT2071" s="115"/>
    </row>
    <row r="2072" spans="1:46" s="827" customFormat="1" ht="39" customHeight="1" x14ac:dyDescent="0.3">
      <c r="A2072" s="1468">
        <v>2071</v>
      </c>
      <c r="B2072" s="161"/>
      <c r="C2072" s="324"/>
      <c r="D2072" s="637"/>
      <c r="E2072" s="637"/>
      <c r="F2072" s="637"/>
      <c r="G2072" s="602"/>
      <c r="H2072" s="602"/>
      <c r="I2072" s="637"/>
      <c r="J2072" s="637"/>
      <c r="K2072" s="637"/>
      <c r="L2072" s="602"/>
      <c r="M2072" s="602"/>
      <c r="N2072" s="637"/>
      <c r="O2072" s="602"/>
      <c r="P2072" s="230" t="s">
        <v>692</v>
      </c>
      <c r="Q2072" s="637"/>
      <c r="R2072" s="324"/>
      <c r="S2072" s="279"/>
      <c r="T2072" s="637"/>
      <c r="U2072" s="250"/>
      <c r="V2072" s="637"/>
      <c r="W2072" s="602"/>
      <c r="X2072" s="602"/>
      <c r="Y2072" s="637"/>
      <c r="Z2072" s="637"/>
      <c r="AA2072" s="637"/>
      <c r="AB2072" s="1295"/>
      <c r="AC2072" s="637"/>
      <c r="AD2072" s="659"/>
      <c r="AE2072" s="494"/>
      <c r="AF2072" s="494"/>
      <c r="AG2072" s="637"/>
      <c r="AH2072" s="637"/>
      <c r="AI2072" s="602"/>
      <c r="AJ2072" s="602"/>
      <c r="AK2072" s="602"/>
      <c r="AL2072" s="205"/>
      <c r="AM2072" s="205"/>
      <c r="AN2072" s="202"/>
      <c r="AO2072" s="196"/>
      <c r="AP2072" s="192"/>
      <c r="AQ2072" s="192"/>
      <c r="AR2072" s="192"/>
      <c r="AS2072" s="192"/>
      <c r="AT2072" s="192"/>
    </row>
    <row r="2073" spans="1:46" ht="39" customHeight="1" x14ac:dyDescent="0.3">
      <c r="A2073" s="1468">
        <v>2072</v>
      </c>
      <c r="B2073" s="161">
        <v>5</v>
      </c>
      <c r="C2073" s="934" t="s">
        <v>687</v>
      </c>
      <c r="D2073" s="864"/>
      <c r="E2073" s="864"/>
      <c r="F2073" s="864"/>
      <c r="G2073" s="846" t="s">
        <v>688</v>
      </c>
      <c r="H2073" s="846" t="s">
        <v>132</v>
      </c>
      <c r="I2073" s="642"/>
      <c r="J2073" s="256">
        <v>403</v>
      </c>
      <c r="K2073" s="642"/>
      <c r="L2073" s="625"/>
      <c r="M2073" s="625"/>
      <c r="N2073" s="642"/>
      <c r="O2073" s="625"/>
      <c r="P2073" s="278"/>
      <c r="Q2073" s="642"/>
      <c r="R2073" s="683" t="s">
        <v>66</v>
      </c>
      <c r="S2073" s="279"/>
      <c r="T2073" s="642"/>
      <c r="U2073" s="250"/>
      <c r="V2073" s="642"/>
      <c r="W2073" s="625"/>
      <c r="X2073" s="625"/>
      <c r="Y2073" s="642"/>
      <c r="Z2073" s="642"/>
      <c r="AA2073" s="642"/>
      <c r="AB2073" s="1293"/>
      <c r="AC2073" s="642"/>
      <c r="AD2073" s="661"/>
      <c r="AE2073" s="494"/>
      <c r="AF2073" s="494"/>
      <c r="AG2073" s="642"/>
      <c r="AH2073" s="642"/>
      <c r="AI2073" s="625"/>
      <c r="AJ2073" s="625"/>
      <c r="AK2073" s="491">
        <v>3</v>
      </c>
      <c r="AL2073" s="169" t="s">
        <v>676</v>
      </c>
      <c r="AM2073" s="169" t="s">
        <v>662</v>
      </c>
      <c r="AN2073" s="200"/>
      <c r="AO2073" s="193"/>
      <c r="AR2073" s="115"/>
    </row>
    <row r="2074" spans="1:46" ht="39" customHeight="1" x14ac:dyDescent="0.3">
      <c r="A2074" s="1468">
        <v>2073</v>
      </c>
      <c r="B2074" s="161"/>
      <c r="C2074" s="356" t="s">
        <v>382</v>
      </c>
      <c r="D2074" s="595"/>
      <c r="E2074" s="595"/>
      <c r="F2074" s="595"/>
      <c r="G2074" s="392" t="s">
        <v>689</v>
      </c>
      <c r="H2074" s="262" t="s">
        <v>85</v>
      </c>
      <c r="I2074" s="595"/>
      <c r="J2074" s="245" t="s">
        <v>556</v>
      </c>
      <c r="K2074" s="595"/>
      <c r="L2074" s="288" t="s">
        <v>5144</v>
      </c>
      <c r="M2074" s="288" t="s">
        <v>5144</v>
      </c>
      <c r="N2074" s="595"/>
      <c r="O2074" s="1398" t="s">
        <v>5309</v>
      </c>
      <c r="P2074" s="595"/>
      <c r="Q2074" s="1398" t="s">
        <v>87</v>
      </c>
      <c r="R2074" s="1003" t="s">
        <v>5389</v>
      </c>
      <c r="S2074" s="279">
        <v>37553</v>
      </c>
      <c r="T2074" s="595"/>
      <c r="U2074" s="250"/>
      <c r="V2074" s="250"/>
      <c r="W2074" s="250"/>
      <c r="X2074" s="197"/>
      <c r="Y2074" s="250"/>
      <c r="Z2074" s="306"/>
      <c r="AA2074" s="595"/>
      <c r="AB2074" s="1289"/>
      <c r="AC2074" s="595"/>
      <c r="AD2074" s="245" t="s">
        <v>467</v>
      </c>
      <c r="AE2074" s="494"/>
      <c r="AF2074" s="494"/>
      <c r="AG2074" s="595"/>
      <c r="AH2074" s="595"/>
      <c r="AI2074" s="254" t="s">
        <v>4208</v>
      </c>
      <c r="AJ2074" s="303" t="s">
        <v>136</v>
      </c>
      <c r="AK2074" s="241">
        <v>4</v>
      </c>
      <c r="AL2074" s="121" t="s">
        <v>676</v>
      </c>
      <c r="AM2074" s="121" t="s">
        <v>662</v>
      </c>
      <c r="AN2074" s="199"/>
      <c r="AO2074" s="190"/>
      <c r="AR2074" s="115"/>
      <c r="AS2074" s="115"/>
      <c r="AT2074" s="115"/>
    </row>
    <row r="2075" spans="1:46" ht="39" customHeight="1" x14ac:dyDescent="0.3">
      <c r="A2075" s="1468">
        <v>2074</v>
      </c>
      <c r="B2075" s="110">
        <v>3</v>
      </c>
      <c r="C2075" s="1136" t="s">
        <v>604</v>
      </c>
      <c r="D2075" s="595"/>
      <c r="E2075" s="595"/>
      <c r="F2075" s="595"/>
      <c r="G2075" s="392" t="s">
        <v>667</v>
      </c>
      <c r="H2075" s="262" t="s">
        <v>85</v>
      </c>
      <c r="I2075" s="595"/>
      <c r="J2075" s="245" t="s">
        <v>556</v>
      </c>
      <c r="K2075" s="257" t="s">
        <v>158</v>
      </c>
      <c r="L2075" s="250" t="s">
        <v>4853</v>
      </c>
      <c r="M2075" s="263" t="s">
        <v>4853</v>
      </c>
      <c r="N2075" s="299"/>
      <c r="O2075" s="392" t="s">
        <v>4952</v>
      </c>
      <c r="P2075" s="300"/>
      <c r="Q2075" s="197" t="s">
        <v>293</v>
      </c>
      <c r="R2075" s="683" t="s">
        <v>4953</v>
      </c>
      <c r="S2075" s="279">
        <v>37450</v>
      </c>
      <c r="T2075" s="289"/>
      <c r="U2075" s="250"/>
      <c r="V2075" s="197"/>
      <c r="W2075" s="197"/>
      <c r="X2075" s="197"/>
      <c r="Y2075" s="197"/>
      <c r="Z2075" s="246"/>
      <c r="AA2075" s="289"/>
      <c r="AB2075" s="299" t="s">
        <v>4954</v>
      </c>
      <c r="AC2075" s="223" t="s">
        <v>946</v>
      </c>
      <c r="AD2075" s="299" t="s">
        <v>467</v>
      </c>
      <c r="AE2075" s="494">
        <v>45245</v>
      </c>
      <c r="AF2075" s="494">
        <v>45610</v>
      </c>
      <c r="AG2075" s="299"/>
      <c r="AH2075" s="299"/>
      <c r="AI2075" s="254" t="s">
        <v>4208</v>
      </c>
      <c r="AJ2075" s="303" t="s">
        <v>136</v>
      </c>
      <c r="AK2075" s="241">
        <v>4</v>
      </c>
      <c r="AL2075" s="121" t="s">
        <v>676</v>
      </c>
      <c r="AM2075" s="121" t="s">
        <v>662</v>
      </c>
      <c r="AN2075" s="199"/>
      <c r="AO2075" s="190"/>
      <c r="AR2075" s="115"/>
    </row>
    <row r="2076" spans="1:46" ht="39" customHeight="1" x14ac:dyDescent="0.3">
      <c r="A2076" s="1468">
        <v>2075</v>
      </c>
      <c r="B2076" s="161">
        <v>2</v>
      </c>
      <c r="C2076" s="1136" t="s">
        <v>605</v>
      </c>
      <c r="D2076" s="595"/>
      <c r="E2076" s="595"/>
      <c r="F2076" s="595"/>
      <c r="G2076" s="392" t="s">
        <v>668</v>
      </c>
      <c r="H2076" s="262" t="s">
        <v>87</v>
      </c>
      <c r="I2076" s="595"/>
      <c r="J2076" s="245" t="s">
        <v>561</v>
      </c>
      <c r="K2076" s="301" t="s">
        <v>158</v>
      </c>
      <c r="L2076" s="216" t="s">
        <v>4853</v>
      </c>
      <c r="M2076" s="216" t="s">
        <v>4853</v>
      </c>
      <c r="N2076" s="366"/>
      <c r="O2076" s="216" t="s">
        <v>4955</v>
      </c>
      <c r="P2076" s="325"/>
      <c r="Q2076" s="281" t="s">
        <v>293</v>
      </c>
      <c r="R2076" s="683" t="s">
        <v>4956</v>
      </c>
      <c r="S2076" s="279">
        <v>37865</v>
      </c>
      <c r="T2076" s="197"/>
      <c r="U2076" s="250"/>
      <c r="V2076" s="197"/>
      <c r="W2076" s="250"/>
      <c r="X2076" s="197"/>
      <c r="Y2076" s="197"/>
      <c r="Z2076" s="246"/>
      <c r="AA2076" s="246"/>
      <c r="AB2076" s="306" t="s">
        <v>4954</v>
      </c>
      <c r="AC2076" s="223" t="s">
        <v>946</v>
      </c>
      <c r="AD2076" s="299" t="s">
        <v>467</v>
      </c>
      <c r="AE2076" s="494">
        <v>45245</v>
      </c>
      <c r="AF2076" s="494">
        <v>45610</v>
      </c>
      <c r="AG2076" s="305"/>
      <c r="AH2076" s="281"/>
      <c r="AI2076" s="254" t="s">
        <v>4208</v>
      </c>
      <c r="AJ2076" s="303" t="s">
        <v>136</v>
      </c>
      <c r="AK2076" s="241">
        <v>4</v>
      </c>
      <c r="AL2076" s="121" t="s">
        <v>676</v>
      </c>
      <c r="AM2076" s="121" t="s">
        <v>662</v>
      </c>
      <c r="AN2076" s="199"/>
      <c r="AO2076" s="190"/>
      <c r="AR2076" s="115"/>
    </row>
    <row r="2077" spans="1:46" ht="39" customHeight="1" x14ac:dyDescent="0.3">
      <c r="A2077" s="1468">
        <v>2076</v>
      </c>
      <c r="B2077" s="161">
        <v>2</v>
      </c>
      <c r="C2077" s="1136" t="s">
        <v>605</v>
      </c>
      <c r="D2077" s="595"/>
      <c r="E2077" s="595"/>
      <c r="F2077" s="595"/>
      <c r="G2077" s="392" t="s">
        <v>668</v>
      </c>
      <c r="H2077" s="262" t="s">
        <v>87</v>
      </c>
      <c r="I2077" s="595"/>
      <c r="J2077" s="245" t="s">
        <v>561</v>
      </c>
      <c r="K2077" s="216"/>
      <c r="L2077" s="281" t="s">
        <v>1685</v>
      </c>
      <c r="M2077" s="281" t="s">
        <v>3296</v>
      </c>
      <c r="N2077" s="366"/>
      <c r="O2077" s="392" t="s">
        <v>2949</v>
      </c>
      <c r="P2077" s="402"/>
      <c r="Q2077" s="380" t="s">
        <v>87</v>
      </c>
      <c r="R2077" s="427" t="s">
        <v>1693</v>
      </c>
      <c r="S2077" s="279"/>
      <c r="T2077" s="197"/>
      <c r="U2077" s="250"/>
      <c r="V2077" s="197"/>
      <c r="W2077" s="197" t="s">
        <v>3584</v>
      </c>
      <c r="X2077" s="197"/>
      <c r="Y2077" s="245"/>
      <c r="Z2077" s="246"/>
      <c r="AA2077" s="246"/>
      <c r="AB2077" s="288" t="s">
        <v>4390</v>
      </c>
      <c r="AC2077" s="223" t="s">
        <v>946</v>
      </c>
      <c r="AD2077" s="376"/>
      <c r="AE2077" s="494">
        <v>45111</v>
      </c>
      <c r="AF2077" s="494">
        <v>45476</v>
      </c>
      <c r="AG2077" s="241"/>
      <c r="AH2077" s="283"/>
      <c r="AI2077" s="254" t="s">
        <v>1351</v>
      </c>
      <c r="AJ2077" s="303" t="s">
        <v>136</v>
      </c>
      <c r="AK2077" s="241">
        <v>4</v>
      </c>
      <c r="AL2077" s="121" t="s">
        <v>676</v>
      </c>
      <c r="AM2077" s="121" t="s">
        <v>662</v>
      </c>
      <c r="AN2077" s="199"/>
      <c r="AO2077" s="190"/>
      <c r="AR2077" s="115"/>
    </row>
    <row r="2078" spans="1:46" ht="39" customHeight="1" x14ac:dyDescent="0.3">
      <c r="A2078" s="1468">
        <v>2077</v>
      </c>
      <c r="B2078" s="161">
        <v>2</v>
      </c>
      <c r="C2078" s="1136" t="s">
        <v>690</v>
      </c>
      <c r="D2078" s="595"/>
      <c r="E2078" s="595"/>
      <c r="F2078" s="595"/>
      <c r="G2078" s="392" t="s">
        <v>668</v>
      </c>
      <c r="H2078" s="262" t="s">
        <v>87</v>
      </c>
      <c r="I2078" s="595"/>
      <c r="J2078" s="245" t="s">
        <v>561</v>
      </c>
      <c r="K2078" s="216" t="s">
        <v>4957</v>
      </c>
      <c r="L2078" s="216" t="s">
        <v>4853</v>
      </c>
      <c r="M2078" s="216" t="s">
        <v>4853</v>
      </c>
      <c r="N2078" s="366"/>
      <c r="O2078" s="216" t="s">
        <v>4958</v>
      </c>
      <c r="P2078" s="402"/>
      <c r="Q2078" s="301" t="s">
        <v>293</v>
      </c>
      <c r="R2078" s="683" t="s">
        <v>4959</v>
      </c>
      <c r="S2078" s="279">
        <v>38591</v>
      </c>
      <c r="T2078" s="306"/>
      <c r="U2078" s="250"/>
      <c r="V2078" s="250"/>
      <c r="W2078" s="250"/>
      <c r="X2078" s="197"/>
      <c r="Y2078" s="197"/>
      <c r="Z2078" s="246"/>
      <c r="AA2078" s="252"/>
      <c r="AB2078" s="301" t="s">
        <v>4960</v>
      </c>
      <c r="AC2078" s="223" t="s">
        <v>946</v>
      </c>
      <c r="AD2078" s="299" t="s">
        <v>467</v>
      </c>
      <c r="AE2078" s="494">
        <v>45245</v>
      </c>
      <c r="AF2078" s="494">
        <v>45610</v>
      </c>
      <c r="AG2078" s="301"/>
      <c r="AH2078" s="301"/>
      <c r="AI2078" s="254" t="s">
        <v>4208</v>
      </c>
      <c r="AJ2078" s="303" t="s">
        <v>136</v>
      </c>
      <c r="AK2078" s="241">
        <v>4</v>
      </c>
      <c r="AL2078" s="121" t="s">
        <v>676</v>
      </c>
      <c r="AM2078" s="121" t="s">
        <v>662</v>
      </c>
      <c r="AN2078" s="199"/>
      <c r="AO2078" s="190"/>
      <c r="AR2078" s="115"/>
    </row>
    <row r="2079" spans="1:46" ht="39" customHeight="1" x14ac:dyDescent="0.3">
      <c r="A2079" s="1468">
        <v>2078</v>
      </c>
      <c r="B2079" s="161"/>
      <c r="C2079" s="356" t="s">
        <v>290</v>
      </c>
      <c r="D2079" s="595"/>
      <c r="E2079" s="595"/>
      <c r="F2079" s="595"/>
      <c r="G2079" s="392" t="s">
        <v>691</v>
      </c>
      <c r="H2079" s="262" t="s">
        <v>87</v>
      </c>
      <c r="I2079" s="595"/>
      <c r="J2079" s="245" t="s">
        <v>561</v>
      </c>
      <c r="K2079" s="288" t="s">
        <v>158</v>
      </c>
      <c r="L2079" s="301" t="s">
        <v>3959</v>
      </c>
      <c r="M2079" s="301" t="s">
        <v>3959</v>
      </c>
      <c r="N2079" s="281" t="s">
        <v>4217</v>
      </c>
      <c r="O2079" s="216" t="s">
        <v>3981</v>
      </c>
      <c r="P2079" s="374"/>
      <c r="Q2079" s="301" t="s">
        <v>87</v>
      </c>
      <c r="R2079" s="1194" t="s">
        <v>3980</v>
      </c>
      <c r="S2079" s="279">
        <v>37822</v>
      </c>
      <c r="T2079" s="257"/>
      <c r="U2079" s="250"/>
      <c r="V2079" s="306"/>
      <c r="W2079" s="250"/>
      <c r="X2079" s="250"/>
      <c r="Y2079" s="197"/>
      <c r="Z2079" s="246"/>
      <c r="AA2079" s="388"/>
      <c r="AB2079" s="288" t="s">
        <v>4339</v>
      </c>
      <c r="AC2079" s="223" t="s">
        <v>946</v>
      </c>
      <c r="AD2079" s="299" t="s">
        <v>467</v>
      </c>
      <c r="AE2079" s="494">
        <v>45116</v>
      </c>
      <c r="AF2079" s="494">
        <v>45481</v>
      </c>
      <c r="AG2079" s="241"/>
      <c r="AH2079" s="283"/>
      <c r="AI2079" s="254" t="s">
        <v>1351</v>
      </c>
      <c r="AJ2079" s="303" t="s">
        <v>136</v>
      </c>
      <c r="AK2079" s="241">
        <v>4</v>
      </c>
      <c r="AL2079" s="121" t="s">
        <v>676</v>
      </c>
      <c r="AM2079" s="121" t="s">
        <v>662</v>
      </c>
      <c r="AN2079" s="199"/>
      <c r="AO2079" s="190"/>
      <c r="AR2079" s="115"/>
      <c r="AS2079" s="115"/>
      <c r="AT2079" s="115"/>
    </row>
    <row r="2080" spans="1:46" ht="39" customHeight="1" x14ac:dyDescent="0.3">
      <c r="A2080" s="1468">
        <v>2079</v>
      </c>
      <c r="B2080" s="161"/>
      <c r="C2080" s="1243" t="s">
        <v>290</v>
      </c>
      <c r="D2080" s="595"/>
      <c r="E2080" s="595"/>
      <c r="F2080" s="595"/>
      <c r="G2080" s="392" t="s">
        <v>691</v>
      </c>
      <c r="H2080" s="262" t="s">
        <v>87</v>
      </c>
      <c r="I2080" s="595"/>
      <c r="J2080" s="245" t="s">
        <v>561</v>
      </c>
      <c r="K2080" s="288" t="s">
        <v>158</v>
      </c>
      <c r="L2080" s="392" t="s">
        <v>3956</v>
      </c>
      <c r="M2080" s="392" t="s">
        <v>3956</v>
      </c>
      <c r="N2080" s="281" t="s">
        <v>4217</v>
      </c>
      <c r="O2080" s="392" t="s">
        <v>3955</v>
      </c>
      <c r="P2080" s="595"/>
      <c r="Q2080" s="301" t="s">
        <v>85</v>
      </c>
      <c r="R2080" s="427" t="s">
        <v>5416</v>
      </c>
      <c r="S2080" s="279">
        <v>37442</v>
      </c>
      <c r="T2080" s="595"/>
      <c r="U2080" s="250"/>
      <c r="V2080" s="595"/>
      <c r="W2080" s="392"/>
      <c r="X2080" s="392"/>
      <c r="Y2080" s="595"/>
      <c r="Z2080" s="595"/>
      <c r="AA2080" s="595"/>
      <c r="AB2080" s="288" t="s">
        <v>4335</v>
      </c>
      <c r="AC2080" s="223" t="s">
        <v>946</v>
      </c>
      <c r="AD2080" s="299" t="s">
        <v>467</v>
      </c>
      <c r="AE2080" s="494">
        <v>45069</v>
      </c>
      <c r="AF2080" s="494">
        <v>45434</v>
      </c>
      <c r="AG2080" s="595"/>
      <c r="AH2080" s="595"/>
      <c r="AI2080" s="254" t="s">
        <v>1351</v>
      </c>
      <c r="AJ2080" s="303" t="s">
        <v>136</v>
      </c>
      <c r="AK2080" s="241">
        <v>4</v>
      </c>
      <c r="AL2080" s="121" t="s">
        <v>676</v>
      </c>
      <c r="AM2080" s="121" t="s">
        <v>662</v>
      </c>
      <c r="AN2080" s="201"/>
      <c r="AO2080" s="194"/>
      <c r="AR2080" s="115"/>
      <c r="AS2080" s="115"/>
      <c r="AT2080" s="115"/>
    </row>
    <row r="2081" spans="1:46" s="827" customFormat="1" ht="39" customHeight="1" x14ac:dyDescent="0.3">
      <c r="A2081" s="1468">
        <v>2080</v>
      </c>
      <c r="B2081" s="161"/>
      <c r="C2081" s="659"/>
      <c r="D2081" s="637"/>
      <c r="E2081" s="637"/>
      <c r="F2081" s="637"/>
      <c r="G2081" s="602"/>
      <c r="H2081" s="602"/>
      <c r="I2081" s="637"/>
      <c r="J2081" s="637"/>
      <c r="K2081" s="637"/>
      <c r="L2081" s="602"/>
      <c r="M2081" s="602"/>
      <c r="N2081" s="637"/>
      <c r="O2081" s="602"/>
      <c r="P2081" s="230" t="s">
        <v>693</v>
      </c>
      <c r="Q2081" s="637"/>
      <c r="R2081" s="324"/>
      <c r="S2081" s="279"/>
      <c r="T2081" s="637"/>
      <c r="U2081" s="250"/>
      <c r="V2081" s="637"/>
      <c r="W2081" s="602"/>
      <c r="X2081" s="602"/>
      <c r="Y2081" s="637"/>
      <c r="Z2081" s="637"/>
      <c r="AA2081" s="637"/>
      <c r="AB2081" s="1295"/>
      <c r="AC2081" s="637"/>
      <c r="AD2081" s="659"/>
      <c r="AE2081" s="494"/>
      <c r="AF2081" s="494"/>
      <c r="AG2081" s="637"/>
      <c r="AH2081" s="637"/>
      <c r="AI2081" s="602"/>
      <c r="AJ2081" s="602"/>
      <c r="AK2081" s="602"/>
      <c r="AL2081" s="205"/>
      <c r="AM2081" s="205"/>
      <c r="AN2081" s="202"/>
      <c r="AO2081" s="196"/>
      <c r="AP2081" s="192"/>
      <c r="AQ2081" s="192"/>
      <c r="AR2081" s="192"/>
      <c r="AS2081" s="192"/>
      <c r="AT2081" s="192"/>
    </row>
    <row r="2082" spans="1:46" ht="39" customHeight="1" x14ac:dyDescent="0.3">
      <c r="A2082" s="1468">
        <v>2081</v>
      </c>
      <c r="B2082" s="161"/>
      <c r="C2082" s="521" t="s">
        <v>694</v>
      </c>
      <c r="D2082" s="642"/>
      <c r="E2082" s="642"/>
      <c r="F2082" s="642"/>
      <c r="G2082" s="625" t="s">
        <v>695</v>
      </c>
      <c r="H2082" s="262" t="s">
        <v>85</v>
      </c>
      <c r="I2082" s="642"/>
      <c r="J2082" s="245" t="s">
        <v>556</v>
      </c>
      <c r="K2082" s="642"/>
      <c r="L2082" s="625" t="s">
        <v>3596</v>
      </c>
      <c r="M2082" s="625" t="s">
        <v>3596</v>
      </c>
      <c r="N2082" s="642"/>
      <c r="O2082" s="625" t="s">
        <v>3611</v>
      </c>
      <c r="P2082" s="642"/>
      <c r="Q2082" s="709" t="s">
        <v>567</v>
      </c>
      <c r="R2082" s="998" t="s">
        <v>3610</v>
      </c>
      <c r="S2082" s="279">
        <v>23031</v>
      </c>
      <c r="T2082" s="642"/>
      <c r="U2082" s="251" t="s">
        <v>54</v>
      </c>
      <c r="V2082" s="197" t="s">
        <v>5512</v>
      </c>
      <c r="W2082" s="250" t="s">
        <v>56</v>
      </c>
      <c r="X2082" s="197" t="s">
        <v>57</v>
      </c>
      <c r="Y2082" s="197" t="s">
        <v>5726</v>
      </c>
      <c r="Z2082" s="246">
        <v>45272</v>
      </c>
      <c r="AA2082" s="642"/>
      <c r="AB2082" s="1293"/>
      <c r="AC2082" s="642"/>
      <c r="AD2082" s="661"/>
      <c r="AE2082" s="494"/>
      <c r="AF2082" s="494"/>
      <c r="AG2082" s="642"/>
      <c r="AH2082" s="642"/>
      <c r="AI2082" s="625"/>
      <c r="AJ2082" s="491" t="s">
        <v>560</v>
      </c>
      <c r="AK2082" s="476">
        <v>4</v>
      </c>
      <c r="AL2082" s="169" t="s">
        <v>676</v>
      </c>
      <c r="AM2082" s="169" t="s">
        <v>662</v>
      </c>
      <c r="AN2082" s="200"/>
      <c r="AO2082" s="193"/>
      <c r="AR2082" s="115"/>
    </row>
    <row r="2083" spans="1:46" ht="39" customHeight="1" x14ac:dyDescent="0.3">
      <c r="A2083" s="1468">
        <v>2082</v>
      </c>
      <c r="B2083" s="161">
        <v>2</v>
      </c>
      <c r="C2083" s="356" t="s">
        <v>696</v>
      </c>
      <c r="D2083" s="595"/>
      <c r="E2083" s="595"/>
      <c r="F2083" s="595"/>
      <c r="G2083" s="392" t="s">
        <v>697</v>
      </c>
      <c r="H2083" s="262" t="s">
        <v>87</v>
      </c>
      <c r="I2083" s="595"/>
      <c r="J2083" s="245" t="s">
        <v>561</v>
      </c>
      <c r="K2083" s="256"/>
      <c r="L2083" s="288" t="s">
        <v>5144</v>
      </c>
      <c r="M2083" s="288" t="s">
        <v>5144</v>
      </c>
      <c r="N2083" s="467"/>
      <c r="O2083" s="1398" t="s">
        <v>5311</v>
      </c>
      <c r="P2083" s="402"/>
      <c r="Q2083" s="1398" t="s">
        <v>87</v>
      </c>
      <c r="R2083" s="1003" t="s">
        <v>5310</v>
      </c>
      <c r="S2083" s="279">
        <v>38149</v>
      </c>
      <c r="T2083" s="289"/>
      <c r="U2083" s="250"/>
      <c r="V2083" s="250"/>
      <c r="W2083" s="250"/>
      <c r="X2083" s="197"/>
      <c r="Y2083" s="250"/>
      <c r="Z2083" s="306"/>
      <c r="AA2083" s="246"/>
      <c r="AB2083" s="245"/>
      <c r="AC2083" s="223"/>
      <c r="AD2083" s="245" t="s">
        <v>467</v>
      </c>
      <c r="AE2083" s="494"/>
      <c r="AF2083" s="494"/>
      <c r="AG2083" s="241"/>
      <c r="AH2083" s="299"/>
      <c r="AI2083" s="254" t="s">
        <v>4208</v>
      </c>
      <c r="AJ2083" s="303" t="s">
        <v>136</v>
      </c>
      <c r="AK2083" s="241">
        <v>4</v>
      </c>
      <c r="AL2083" s="121" t="s">
        <v>676</v>
      </c>
      <c r="AM2083" s="121" t="s">
        <v>662</v>
      </c>
      <c r="AN2083" s="199"/>
      <c r="AO2083" s="190"/>
      <c r="AR2083" s="115"/>
    </row>
    <row r="2084" spans="1:46" ht="39" customHeight="1" x14ac:dyDescent="0.3">
      <c r="A2084" s="1468">
        <v>2083</v>
      </c>
      <c r="B2084" s="161">
        <v>2</v>
      </c>
      <c r="C2084" s="504" t="s">
        <v>698</v>
      </c>
      <c r="D2084" s="640"/>
      <c r="E2084" s="640"/>
      <c r="F2084" s="640"/>
      <c r="G2084" s="626" t="s">
        <v>354</v>
      </c>
      <c r="H2084" s="262" t="s">
        <v>87</v>
      </c>
      <c r="I2084" s="640"/>
      <c r="J2084" s="245" t="s">
        <v>561</v>
      </c>
      <c r="K2084" s="288"/>
      <c r="L2084" s="281" t="s">
        <v>1685</v>
      </c>
      <c r="M2084" s="281" t="s">
        <v>1527</v>
      </c>
      <c r="N2084" s="366"/>
      <c r="O2084" s="392" t="s">
        <v>3115</v>
      </c>
      <c r="P2084" s="402"/>
      <c r="Q2084" s="380" t="s">
        <v>87</v>
      </c>
      <c r="R2084" s="427" t="s">
        <v>1705</v>
      </c>
      <c r="S2084" s="279"/>
      <c r="T2084" s="197"/>
      <c r="U2084" s="251" t="s">
        <v>54</v>
      </c>
      <c r="V2084" s="306" t="s">
        <v>4607</v>
      </c>
      <c r="W2084" s="250" t="s">
        <v>4605</v>
      </c>
      <c r="X2084" s="250" t="s">
        <v>465</v>
      </c>
      <c r="Y2084" s="197" t="s">
        <v>4606</v>
      </c>
      <c r="Z2084" s="246">
        <v>45238</v>
      </c>
      <c r="AA2084" s="246"/>
      <c r="AB2084" s="288" t="s">
        <v>4545</v>
      </c>
      <c r="AC2084" s="223" t="s">
        <v>946</v>
      </c>
      <c r="AD2084" s="376"/>
      <c r="AE2084" s="494">
        <v>45110</v>
      </c>
      <c r="AF2084" s="494">
        <v>45475</v>
      </c>
      <c r="AG2084" s="241"/>
      <c r="AH2084" s="283"/>
      <c r="AI2084" s="254" t="s">
        <v>1351</v>
      </c>
      <c r="AJ2084" s="303" t="s">
        <v>136</v>
      </c>
      <c r="AK2084" s="471">
        <v>4</v>
      </c>
      <c r="AL2084" s="166" t="s">
        <v>676</v>
      </c>
      <c r="AM2084" s="166" t="s">
        <v>662</v>
      </c>
      <c r="AN2084" s="147" t="s">
        <v>5780</v>
      </c>
      <c r="AO2084" s="194"/>
      <c r="AR2084" s="115"/>
      <c r="AS2084" s="115"/>
      <c r="AT2084" s="115"/>
    </row>
    <row r="2085" spans="1:46" s="827" customFormat="1" ht="39" customHeight="1" x14ac:dyDescent="0.3">
      <c r="A2085" s="1468">
        <v>2084</v>
      </c>
      <c r="B2085" s="161"/>
      <c r="C2085" s="659"/>
      <c r="D2085" s="637"/>
      <c r="E2085" s="637"/>
      <c r="F2085" s="637"/>
      <c r="G2085" s="602"/>
      <c r="H2085" s="602"/>
      <c r="I2085" s="637"/>
      <c r="J2085" s="637"/>
      <c r="K2085" s="637"/>
      <c r="L2085" s="602"/>
      <c r="M2085" s="602"/>
      <c r="N2085" s="637"/>
      <c r="O2085" s="602"/>
      <c r="P2085" s="230" t="s">
        <v>699</v>
      </c>
      <c r="Q2085" s="637"/>
      <c r="R2085" s="324"/>
      <c r="S2085" s="279"/>
      <c r="T2085" s="637"/>
      <c r="U2085" s="250"/>
      <c r="V2085" s="637"/>
      <c r="W2085" s="602"/>
      <c r="X2085" s="602"/>
      <c r="Y2085" s="637"/>
      <c r="Z2085" s="637"/>
      <c r="AA2085" s="637"/>
      <c r="AB2085" s="1295"/>
      <c r="AC2085" s="637"/>
      <c r="AD2085" s="659"/>
      <c r="AE2085" s="494"/>
      <c r="AF2085" s="494"/>
      <c r="AG2085" s="637"/>
      <c r="AH2085" s="637"/>
      <c r="AI2085" s="602"/>
      <c r="AJ2085" s="602"/>
      <c r="AK2085" s="602"/>
      <c r="AL2085" s="205"/>
      <c r="AM2085" s="205"/>
      <c r="AN2085" s="202"/>
      <c r="AO2085" s="196"/>
      <c r="AP2085" s="192"/>
      <c r="AQ2085" s="192"/>
      <c r="AR2085" s="192"/>
      <c r="AS2085" s="192"/>
      <c r="AT2085" s="192"/>
    </row>
    <row r="2086" spans="1:46" ht="39" customHeight="1" x14ac:dyDescent="0.3">
      <c r="A2086" s="1468">
        <v>2085</v>
      </c>
      <c r="B2086" s="161">
        <v>5</v>
      </c>
      <c r="C2086" s="934" t="s">
        <v>367</v>
      </c>
      <c r="D2086" s="864"/>
      <c r="E2086" s="864"/>
      <c r="F2086" s="864"/>
      <c r="G2086" s="846" t="s">
        <v>700</v>
      </c>
      <c r="H2086" s="846" t="s">
        <v>132</v>
      </c>
      <c r="I2086" s="642"/>
      <c r="J2086" s="256">
        <v>403</v>
      </c>
      <c r="K2086" s="642"/>
      <c r="L2086" s="625"/>
      <c r="M2086" s="625"/>
      <c r="N2086" s="642"/>
      <c r="O2086" s="625"/>
      <c r="P2086" s="642"/>
      <c r="Q2086" s="642"/>
      <c r="R2086" s="683" t="s">
        <v>66</v>
      </c>
      <c r="S2086" s="279"/>
      <c r="T2086" s="642"/>
      <c r="U2086" s="250"/>
      <c r="V2086" s="642"/>
      <c r="W2086" s="625"/>
      <c r="X2086" s="625"/>
      <c r="Y2086" s="642"/>
      <c r="Z2086" s="642"/>
      <c r="AA2086" s="642"/>
      <c r="AB2086" s="1293"/>
      <c r="AC2086" s="642"/>
      <c r="AD2086" s="661"/>
      <c r="AE2086" s="494"/>
      <c r="AF2086" s="494"/>
      <c r="AG2086" s="642"/>
      <c r="AH2086" s="642"/>
      <c r="AI2086" s="625"/>
      <c r="AJ2086" s="625"/>
      <c r="AK2086" s="491">
        <v>3</v>
      </c>
      <c r="AL2086" s="169" t="s">
        <v>676</v>
      </c>
      <c r="AM2086" s="169" t="s">
        <v>662</v>
      </c>
      <c r="AN2086" s="200"/>
      <c r="AO2086" s="193"/>
      <c r="AR2086" s="115"/>
    </row>
    <row r="2087" spans="1:46" ht="39" customHeight="1" x14ac:dyDescent="0.3">
      <c r="A2087" s="1468">
        <v>2086</v>
      </c>
      <c r="B2087" s="161">
        <v>3</v>
      </c>
      <c r="C2087" s="358" t="s">
        <v>701</v>
      </c>
      <c r="D2087" s="595"/>
      <c r="E2087" s="595"/>
      <c r="F2087" s="595"/>
      <c r="G2087" s="392" t="s">
        <v>702</v>
      </c>
      <c r="H2087" s="262" t="s">
        <v>85</v>
      </c>
      <c r="I2087" s="595"/>
      <c r="J2087" s="245" t="s">
        <v>556</v>
      </c>
      <c r="K2087" s="595"/>
      <c r="L2087" s="392" t="s">
        <v>2800</v>
      </c>
      <c r="M2087" s="1263" t="s">
        <v>2800</v>
      </c>
      <c r="N2087" s="595"/>
      <c r="O2087" s="392" t="s">
        <v>3380</v>
      </c>
      <c r="P2087" s="889"/>
      <c r="Q2087" s="709" t="s">
        <v>293</v>
      </c>
      <c r="R2087" s="998" t="s">
        <v>3379</v>
      </c>
      <c r="S2087" s="279">
        <v>36394</v>
      </c>
      <c r="T2087" s="595"/>
      <c r="U2087" s="251" t="s">
        <v>54</v>
      </c>
      <c r="V2087" s="1416" t="s">
        <v>5447</v>
      </c>
      <c r="W2087" s="280" t="s">
        <v>56</v>
      </c>
      <c r="X2087" s="280" t="s">
        <v>57</v>
      </c>
      <c r="Y2087" s="949" t="s">
        <v>4631</v>
      </c>
      <c r="Z2087" s="246">
        <v>45270</v>
      </c>
      <c r="AA2087" s="595"/>
      <c r="AB2087" s="1289"/>
      <c r="AC2087" s="595"/>
      <c r="AD2087" s="658"/>
      <c r="AE2087" s="494"/>
      <c r="AF2087" s="494"/>
      <c r="AG2087" s="595"/>
      <c r="AH2087" s="595"/>
      <c r="AI2087" s="392"/>
      <c r="AJ2087" s="491" t="s">
        <v>560</v>
      </c>
      <c r="AK2087" s="241">
        <v>4</v>
      </c>
      <c r="AL2087" s="121" t="s">
        <v>676</v>
      </c>
      <c r="AM2087" s="121" t="s">
        <v>662</v>
      </c>
      <c r="AN2087" s="147"/>
      <c r="AO2087" s="190"/>
      <c r="AR2087" s="115"/>
    </row>
    <row r="2088" spans="1:46" ht="39" customHeight="1" x14ac:dyDescent="0.3">
      <c r="A2088" s="1468">
        <v>2087</v>
      </c>
      <c r="B2088" s="161">
        <v>2</v>
      </c>
      <c r="C2088" s="358" t="s">
        <v>703</v>
      </c>
      <c r="D2088" s="595"/>
      <c r="E2088" s="595"/>
      <c r="F2088" s="595"/>
      <c r="G2088" s="1259" t="s">
        <v>704</v>
      </c>
      <c r="H2088" s="262" t="s">
        <v>87</v>
      </c>
      <c r="I2088" s="595"/>
      <c r="J2088" s="245" t="s">
        <v>561</v>
      </c>
      <c r="K2088" s="288"/>
      <c r="L2088" s="288" t="s">
        <v>5144</v>
      </c>
      <c r="M2088" s="288" t="s">
        <v>5144</v>
      </c>
      <c r="N2088" s="366"/>
      <c r="O2088" s="1399" t="s">
        <v>5314</v>
      </c>
      <c r="P2088" s="247"/>
      <c r="Q2088" s="1399" t="s">
        <v>87</v>
      </c>
      <c r="R2088" s="1003" t="s">
        <v>5312</v>
      </c>
      <c r="S2088" s="279">
        <v>38315</v>
      </c>
      <c r="T2088" s="289"/>
      <c r="U2088" s="250"/>
      <c r="V2088" s="250"/>
      <c r="W2088" s="250"/>
      <c r="X2088" s="197"/>
      <c r="Y2088" s="250"/>
      <c r="Z2088" s="306"/>
      <c r="AA2088" s="246"/>
      <c r="AB2088" s="245"/>
      <c r="AC2088" s="223"/>
      <c r="AD2088" s="245" t="s">
        <v>467</v>
      </c>
      <c r="AE2088" s="494"/>
      <c r="AF2088" s="494"/>
      <c r="AG2088" s="241"/>
      <c r="AH2088" s="299"/>
      <c r="AI2088" s="254" t="s">
        <v>4208</v>
      </c>
      <c r="AJ2088" s="303" t="s">
        <v>136</v>
      </c>
      <c r="AK2088" s="241">
        <v>4</v>
      </c>
      <c r="AL2088" s="121" t="s">
        <v>676</v>
      </c>
      <c r="AM2088" s="121" t="s">
        <v>662</v>
      </c>
      <c r="AN2088" s="147"/>
      <c r="AO2088" s="190"/>
      <c r="AR2088" s="115"/>
    </row>
    <row r="2089" spans="1:46" ht="39" customHeight="1" x14ac:dyDescent="0.3">
      <c r="A2089" s="1468">
        <v>2088</v>
      </c>
      <c r="B2089" s="161">
        <v>2</v>
      </c>
      <c r="C2089" s="504" t="s">
        <v>413</v>
      </c>
      <c r="D2089" s="640"/>
      <c r="E2089" s="640"/>
      <c r="F2089" s="640"/>
      <c r="G2089" s="626" t="s">
        <v>354</v>
      </c>
      <c r="H2089" s="262" t="s">
        <v>87</v>
      </c>
      <c r="I2089" s="640"/>
      <c r="J2089" s="245" t="s">
        <v>561</v>
      </c>
      <c r="K2089" s="257"/>
      <c r="L2089" s="288" t="s">
        <v>5144</v>
      </c>
      <c r="M2089" s="288" t="s">
        <v>5144</v>
      </c>
      <c r="N2089" s="299"/>
      <c r="O2089" s="1399" t="s">
        <v>5315</v>
      </c>
      <c r="P2089" s="300"/>
      <c r="Q2089" s="1399" t="s">
        <v>87</v>
      </c>
      <c r="R2089" s="1003" t="s">
        <v>5313</v>
      </c>
      <c r="S2089" s="279">
        <v>37300</v>
      </c>
      <c r="T2089" s="289"/>
      <c r="U2089" s="251" t="s">
        <v>54</v>
      </c>
      <c r="V2089" s="250" t="s">
        <v>5800</v>
      </c>
      <c r="W2089" s="197" t="s">
        <v>5802</v>
      </c>
      <c r="X2089" s="289" t="s">
        <v>475</v>
      </c>
      <c r="Y2089" s="981" t="s">
        <v>5801</v>
      </c>
      <c r="Z2089" s="246">
        <v>45286</v>
      </c>
      <c r="AA2089" s="246"/>
      <c r="AB2089" s="245"/>
      <c r="AC2089" s="223"/>
      <c r="AD2089" s="245" t="s">
        <v>467</v>
      </c>
      <c r="AE2089" s="494"/>
      <c r="AF2089" s="494"/>
      <c r="AG2089" s="241"/>
      <c r="AH2089" s="299"/>
      <c r="AI2089" s="254" t="s">
        <v>4208</v>
      </c>
      <c r="AJ2089" s="303" t="s">
        <v>136</v>
      </c>
      <c r="AK2089" s="471">
        <v>4</v>
      </c>
      <c r="AL2089" s="166" t="s">
        <v>676</v>
      </c>
      <c r="AM2089" s="166" t="s">
        <v>662</v>
      </c>
      <c r="AN2089" s="147" t="s">
        <v>4193</v>
      </c>
      <c r="AO2089" s="194"/>
      <c r="AR2089" s="115"/>
      <c r="AS2089" s="115"/>
      <c r="AT2089" s="115"/>
    </row>
    <row r="2090" spans="1:46" s="827" customFormat="1" ht="39" customHeight="1" x14ac:dyDescent="0.3">
      <c r="A2090" s="1468">
        <v>2089</v>
      </c>
      <c r="B2090" s="161"/>
      <c r="C2090" s="723"/>
      <c r="D2090" s="637"/>
      <c r="E2090" s="637"/>
      <c r="F2090" s="637"/>
      <c r="G2090" s="602"/>
      <c r="H2090" s="602"/>
      <c r="I2090" s="637"/>
      <c r="J2090" s="637"/>
      <c r="K2090" s="637"/>
      <c r="L2090" s="602"/>
      <c r="M2090" s="602"/>
      <c r="N2090" s="637"/>
      <c r="O2090" s="602"/>
      <c r="P2090" s="230" t="s">
        <v>705</v>
      </c>
      <c r="Q2090" s="637"/>
      <c r="R2090" s="324"/>
      <c r="S2090" s="279"/>
      <c r="T2090" s="637"/>
      <c r="U2090" s="250"/>
      <c r="V2090" s="637"/>
      <c r="W2090" s="602"/>
      <c r="X2090" s="602"/>
      <c r="Y2090" s="637"/>
      <c r="Z2090" s="637"/>
      <c r="AA2090" s="637"/>
      <c r="AB2090" s="1295"/>
      <c r="AC2090" s="637"/>
      <c r="AD2090" s="659"/>
      <c r="AE2090" s="494"/>
      <c r="AF2090" s="494"/>
      <c r="AG2090" s="637"/>
      <c r="AH2090" s="637"/>
      <c r="AI2090" s="602"/>
      <c r="AJ2090" s="602"/>
      <c r="AK2090" s="602"/>
      <c r="AL2090" s="748"/>
      <c r="AM2090" s="205"/>
      <c r="AN2090" s="202"/>
      <c r="AO2090" s="196"/>
      <c r="AP2090" s="192"/>
      <c r="AQ2090" s="192"/>
      <c r="AR2090" s="192"/>
      <c r="AS2090" s="192"/>
      <c r="AT2090" s="192"/>
    </row>
    <row r="2091" spans="1:46" ht="39" customHeight="1" x14ac:dyDescent="0.3">
      <c r="A2091" s="1468">
        <v>2090</v>
      </c>
      <c r="B2091" s="161">
        <v>5</v>
      </c>
      <c r="C2091" s="934" t="s">
        <v>367</v>
      </c>
      <c r="D2091" s="864"/>
      <c r="E2091" s="864"/>
      <c r="F2091" s="864"/>
      <c r="G2091" s="846" t="s">
        <v>700</v>
      </c>
      <c r="H2091" s="846" t="s">
        <v>132</v>
      </c>
      <c r="I2091" s="642"/>
      <c r="J2091" s="256">
        <v>403</v>
      </c>
      <c r="K2091" s="642"/>
      <c r="L2091" s="625"/>
      <c r="M2091" s="625"/>
      <c r="N2091" s="642"/>
      <c r="O2091" s="625"/>
      <c r="P2091" s="642"/>
      <c r="Q2091" s="642"/>
      <c r="R2091" s="683" t="s">
        <v>66</v>
      </c>
      <c r="S2091" s="279"/>
      <c r="T2091" s="642"/>
      <c r="U2091" s="250"/>
      <c r="V2091" s="642"/>
      <c r="W2091" s="625"/>
      <c r="X2091" s="625"/>
      <c r="Y2091" s="642"/>
      <c r="Z2091" s="642"/>
      <c r="AA2091" s="642"/>
      <c r="AB2091" s="1293"/>
      <c r="AC2091" s="642"/>
      <c r="AD2091" s="661"/>
      <c r="AE2091" s="494"/>
      <c r="AF2091" s="494"/>
      <c r="AG2091" s="642"/>
      <c r="AH2091" s="642"/>
      <c r="AI2091" s="625"/>
      <c r="AJ2091" s="625"/>
      <c r="AK2091" s="491">
        <v>3</v>
      </c>
      <c r="AL2091" s="169" t="s">
        <v>676</v>
      </c>
      <c r="AM2091" s="169" t="s">
        <v>662</v>
      </c>
      <c r="AN2091" s="200"/>
      <c r="AO2091" s="193"/>
      <c r="AR2091" s="115"/>
    </row>
    <row r="2092" spans="1:46" ht="39" customHeight="1" x14ac:dyDescent="0.3">
      <c r="A2092" s="1468">
        <v>2091</v>
      </c>
      <c r="B2092" s="161">
        <v>3</v>
      </c>
      <c r="C2092" s="358" t="s">
        <v>701</v>
      </c>
      <c r="D2092" s="595"/>
      <c r="E2092" s="595"/>
      <c r="F2092" s="595"/>
      <c r="G2092" s="392" t="s">
        <v>702</v>
      </c>
      <c r="H2092" s="262" t="s">
        <v>85</v>
      </c>
      <c r="I2092" s="595"/>
      <c r="J2092" s="245" t="s">
        <v>556</v>
      </c>
      <c r="K2092" s="216"/>
      <c r="L2092" s="288" t="s">
        <v>5144</v>
      </c>
      <c r="M2092" s="288" t="s">
        <v>5144</v>
      </c>
      <c r="N2092" s="366"/>
      <c r="O2092" s="1399" t="s">
        <v>5317</v>
      </c>
      <c r="P2092" s="374"/>
      <c r="Q2092" s="1399" t="s">
        <v>87</v>
      </c>
      <c r="R2092" s="1003" t="s">
        <v>5316</v>
      </c>
      <c r="S2092" s="279">
        <v>37442</v>
      </c>
      <c r="T2092" s="257"/>
      <c r="U2092" s="250"/>
      <c r="V2092" s="250"/>
      <c r="W2092" s="250"/>
      <c r="X2092" s="197"/>
      <c r="Y2092" s="250"/>
      <c r="Z2092" s="306"/>
      <c r="AA2092" s="246"/>
      <c r="AB2092" s="245"/>
      <c r="AC2092" s="223"/>
      <c r="AD2092" s="245" t="s">
        <v>467</v>
      </c>
      <c r="AE2092" s="494"/>
      <c r="AF2092" s="494"/>
      <c r="AG2092" s="241"/>
      <c r="AH2092" s="299"/>
      <c r="AI2092" s="254" t="s">
        <v>4208</v>
      </c>
      <c r="AJ2092" s="303" t="s">
        <v>136</v>
      </c>
      <c r="AK2092" s="241">
        <v>4</v>
      </c>
      <c r="AL2092" s="121" t="s">
        <v>676</v>
      </c>
      <c r="AM2092" s="121" t="s">
        <v>662</v>
      </c>
      <c r="AN2092" s="199"/>
      <c r="AO2092" s="190"/>
      <c r="AR2092" s="115"/>
    </row>
    <row r="2093" spans="1:46" ht="39" customHeight="1" x14ac:dyDescent="0.3">
      <c r="A2093" s="1468">
        <v>2092</v>
      </c>
      <c r="B2093" s="161">
        <v>2</v>
      </c>
      <c r="C2093" s="358" t="s">
        <v>703</v>
      </c>
      <c r="D2093" s="595"/>
      <c r="E2093" s="595"/>
      <c r="F2093" s="595"/>
      <c r="G2093" s="392" t="s">
        <v>704</v>
      </c>
      <c r="H2093" s="262" t="s">
        <v>87</v>
      </c>
      <c r="I2093" s="595"/>
      <c r="J2093" s="245" t="s">
        <v>561</v>
      </c>
      <c r="K2093" s="216" t="s">
        <v>158</v>
      </c>
      <c r="L2093" s="288" t="s">
        <v>4813</v>
      </c>
      <c r="M2093" s="288" t="s">
        <v>4813</v>
      </c>
      <c r="N2093" s="245"/>
      <c r="O2093" s="216" t="s">
        <v>4823</v>
      </c>
      <c r="P2093" s="372"/>
      <c r="Q2093" s="301" t="s">
        <v>293</v>
      </c>
      <c r="R2093" s="381" t="s">
        <v>4822</v>
      </c>
      <c r="S2093" s="279">
        <v>37643</v>
      </c>
      <c r="T2093" s="250"/>
      <c r="U2093" s="250"/>
      <c r="V2093" s="197"/>
      <c r="W2093" s="197"/>
      <c r="X2093" s="197"/>
      <c r="Y2093" s="197"/>
      <c r="Z2093" s="246"/>
      <c r="AA2093" s="246"/>
      <c r="AB2093" s="288" t="s">
        <v>4836</v>
      </c>
      <c r="AC2093" s="223" t="s">
        <v>946</v>
      </c>
      <c r="AD2093" s="245" t="s">
        <v>467</v>
      </c>
      <c r="AE2093" s="494"/>
      <c r="AF2093" s="494"/>
      <c r="AG2093" s="241"/>
      <c r="AH2093" s="283"/>
      <c r="AI2093" s="254" t="s">
        <v>4208</v>
      </c>
      <c r="AJ2093" s="303" t="s">
        <v>136</v>
      </c>
      <c r="AK2093" s="241">
        <v>4</v>
      </c>
      <c r="AL2093" s="121" t="s">
        <v>676</v>
      </c>
      <c r="AM2093" s="121" t="s">
        <v>662</v>
      </c>
      <c r="AN2093" s="199"/>
      <c r="AO2093" s="190"/>
      <c r="AR2093" s="115"/>
    </row>
    <row r="2094" spans="1:46" ht="39" customHeight="1" x14ac:dyDescent="0.3">
      <c r="A2094" s="1468">
        <v>2093</v>
      </c>
      <c r="B2094" s="161">
        <v>2</v>
      </c>
      <c r="C2094" s="504" t="s">
        <v>413</v>
      </c>
      <c r="D2094" s="640"/>
      <c r="E2094" s="640"/>
      <c r="F2094" s="640"/>
      <c r="G2094" s="626" t="s">
        <v>354</v>
      </c>
      <c r="H2094" s="262" t="s">
        <v>87</v>
      </c>
      <c r="I2094" s="640"/>
      <c r="J2094" s="245" t="s">
        <v>561</v>
      </c>
      <c r="K2094" s="216"/>
      <c r="L2094" s="288" t="s">
        <v>5144</v>
      </c>
      <c r="M2094" s="288" t="s">
        <v>5144</v>
      </c>
      <c r="N2094" s="366"/>
      <c r="O2094" s="1399" t="s">
        <v>5319</v>
      </c>
      <c r="P2094" s="402"/>
      <c r="Q2094" s="1399" t="s">
        <v>87</v>
      </c>
      <c r="R2094" s="1003" t="s">
        <v>5318</v>
      </c>
      <c r="S2094" s="279">
        <v>37662</v>
      </c>
      <c r="T2094" s="306"/>
      <c r="U2094" s="250"/>
      <c r="V2094" s="250"/>
      <c r="W2094" s="250"/>
      <c r="X2094" s="197"/>
      <c r="Y2094" s="250"/>
      <c r="Z2094" s="306"/>
      <c r="AA2094" s="246"/>
      <c r="AB2094" s="245"/>
      <c r="AC2094" s="223"/>
      <c r="AD2094" s="245" t="s">
        <v>467</v>
      </c>
      <c r="AE2094" s="494"/>
      <c r="AF2094" s="494"/>
      <c r="AG2094" s="241"/>
      <c r="AH2094" s="299"/>
      <c r="AI2094" s="254" t="s">
        <v>4208</v>
      </c>
      <c r="AJ2094" s="303" t="s">
        <v>136</v>
      </c>
      <c r="AK2094" s="471">
        <v>4</v>
      </c>
      <c r="AL2094" s="166" t="s">
        <v>676</v>
      </c>
      <c r="AM2094" s="166" t="s">
        <v>662</v>
      </c>
      <c r="AN2094" s="147" t="s">
        <v>4193</v>
      </c>
      <c r="AO2094" s="194"/>
      <c r="AR2094" s="115"/>
      <c r="AS2094" s="115"/>
      <c r="AT2094" s="115"/>
    </row>
    <row r="2095" spans="1:46" s="827" customFormat="1" ht="39" customHeight="1" x14ac:dyDescent="0.3">
      <c r="A2095" s="1468">
        <v>2094</v>
      </c>
      <c r="B2095" s="161"/>
      <c r="C2095" s="659"/>
      <c r="D2095" s="637"/>
      <c r="E2095" s="637"/>
      <c r="F2095" s="637"/>
      <c r="G2095" s="602"/>
      <c r="H2095" s="602"/>
      <c r="I2095" s="637"/>
      <c r="J2095" s="637"/>
      <c r="K2095" s="637"/>
      <c r="L2095" s="602"/>
      <c r="M2095" s="602"/>
      <c r="N2095" s="637"/>
      <c r="O2095" s="602"/>
      <c r="P2095" s="230" t="s">
        <v>706</v>
      </c>
      <c r="Q2095" s="637"/>
      <c r="R2095" s="324"/>
      <c r="S2095" s="279"/>
      <c r="T2095" s="637"/>
      <c r="U2095" s="250"/>
      <c r="V2095" s="637"/>
      <c r="W2095" s="602"/>
      <c r="X2095" s="602"/>
      <c r="Y2095" s="637"/>
      <c r="Z2095" s="637"/>
      <c r="AA2095" s="637"/>
      <c r="AB2095" s="1295"/>
      <c r="AC2095" s="637"/>
      <c r="AD2095" s="659"/>
      <c r="AE2095" s="494"/>
      <c r="AF2095" s="494"/>
      <c r="AG2095" s="637"/>
      <c r="AH2095" s="637"/>
      <c r="AI2095" s="602"/>
      <c r="AJ2095" s="602"/>
      <c r="AK2095" s="602"/>
      <c r="AL2095" s="205"/>
      <c r="AM2095" s="205"/>
      <c r="AN2095" s="202"/>
      <c r="AO2095" s="196"/>
      <c r="AP2095" s="192"/>
      <c r="AQ2095" s="192"/>
      <c r="AR2095" s="192"/>
      <c r="AS2095" s="192"/>
      <c r="AT2095" s="192"/>
    </row>
    <row r="2096" spans="1:46" ht="39" customHeight="1" x14ac:dyDescent="0.3">
      <c r="A2096" s="1468">
        <v>2095</v>
      </c>
      <c r="B2096" s="161">
        <v>10</v>
      </c>
      <c r="C2096" s="1095" t="s">
        <v>305</v>
      </c>
      <c r="D2096" s="481"/>
      <c r="E2096" s="700"/>
      <c r="F2096" s="481"/>
      <c r="G2096" s="782">
        <v>1110003</v>
      </c>
      <c r="H2096" s="244" t="s">
        <v>83</v>
      </c>
      <c r="I2096" s="640"/>
      <c r="J2096" s="245">
        <v>302</v>
      </c>
      <c r="K2096" s="197"/>
      <c r="L2096" s="626"/>
      <c r="M2096" s="626"/>
      <c r="N2096" s="640"/>
      <c r="O2096" s="626"/>
      <c r="P2096" s="1477"/>
      <c r="Q2096" s="1143"/>
      <c r="R2096" s="1000" t="s">
        <v>66</v>
      </c>
      <c r="S2096" s="279"/>
      <c r="T2096" s="640"/>
      <c r="U2096" s="250"/>
      <c r="V2096" s="626"/>
      <c r="W2096" s="1144"/>
      <c r="X2096" s="836"/>
      <c r="Y2096" s="836"/>
      <c r="Z2096" s="815"/>
      <c r="AA2096" s="252"/>
      <c r="AB2096" s="1291"/>
      <c r="AC2096" s="640"/>
      <c r="AD2096" s="660"/>
      <c r="AE2096" s="494"/>
      <c r="AF2096" s="494"/>
      <c r="AG2096" s="640"/>
      <c r="AH2096" s="640"/>
      <c r="AI2096" s="626"/>
      <c r="AJ2096" s="755"/>
      <c r="AK2096" s="582">
        <v>1</v>
      </c>
      <c r="AL2096" s="166" t="s">
        <v>707</v>
      </c>
      <c r="AM2096" s="166" t="s">
        <v>707</v>
      </c>
      <c r="AN2096" s="903"/>
      <c r="AO2096" s="904"/>
      <c r="AR2096" s="115"/>
    </row>
    <row r="2097" spans="1:46" s="827" customFormat="1" ht="39" customHeight="1" x14ac:dyDescent="0.3">
      <c r="A2097" s="1468">
        <v>2096</v>
      </c>
      <c r="B2097" s="1142"/>
      <c r="C2097" s="1145"/>
      <c r="D2097" s="637"/>
      <c r="E2097" s="637"/>
      <c r="F2097" s="637"/>
      <c r="G2097" s="602"/>
      <c r="H2097" s="602"/>
      <c r="I2097" s="637"/>
      <c r="J2097" s="637"/>
      <c r="K2097" s="637"/>
      <c r="L2097" s="602"/>
      <c r="M2097" s="602"/>
      <c r="N2097" s="637"/>
      <c r="O2097" s="602"/>
      <c r="P2097" s="230" t="s">
        <v>708</v>
      </c>
      <c r="Q2097" s="637"/>
      <c r="R2097" s="324"/>
      <c r="S2097" s="279"/>
      <c r="T2097" s="637"/>
      <c r="U2097" s="250"/>
      <c r="V2097" s="637"/>
      <c r="W2097" s="602"/>
      <c r="X2097" s="602"/>
      <c r="Y2097" s="637"/>
      <c r="Z2097" s="637"/>
      <c r="AA2097" s="637"/>
      <c r="AB2097" s="1295"/>
      <c r="AC2097" s="637"/>
      <c r="AD2097" s="659"/>
      <c r="AE2097" s="494"/>
      <c r="AF2097" s="494"/>
      <c r="AG2097" s="637"/>
      <c r="AH2097" s="637"/>
      <c r="AI2097" s="602"/>
      <c r="AJ2097" s="602"/>
      <c r="AK2097" s="602"/>
      <c r="AL2097" s="205"/>
      <c r="AM2097" s="205"/>
      <c r="AN2097" s="202"/>
      <c r="AO2097" s="196"/>
      <c r="AP2097" s="192"/>
      <c r="AQ2097" s="192"/>
      <c r="AR2097" s="192"/>
      <c r="AS2097" s="192"/>
      <c r="AT2097" s="192"/>
    </row>
    <row r="2098" spans="1:46" ht="39" customHeight="1" x14ac:dyDescent="0.3">
      <c r="A2098" s="1468">
        <v>2097</v>
      </c>
      <c r="B2098" s="161">
        <v>7</v>
      </c>
      <c r="C2098" s="934" t="s">
        <v>374</v>
      </c>
      <c r="D2098" s="864"/>
      <c r="E2098" s="864"/>
      <c r="F2098" s="864"/>
      <c r="G2098" s="846" t="s">
        <v>709</v>
      </c>
      <c r="H2098" s="846" t="s">
        <v>132</v>
      </c>
      <c r="I2098" s="642"/>
      <c r="J2098" s="256">
        <v>403</v>
      </c>
      <c r="K2098" s="277"/>
      <c r="L2098" s="277" t="s">
        <v>1279</v>
      </c>
      <c r="M2098" s="277" t="s">
        <v>1279</v>
      </c>
      <c r="N2098" s="277"/>
      <c r="O2098" s="625" t="s">
        <v>2574</v>
      </c>
      <c r="P2098" s="889"/>
      <c r="Q2098" s="709" t="s">
        <v>519</v>
      </c>
      <c r="R2098" s="998" t="s">
        <v>1280</v>
      </c>
      <c r="S2098" s="279">
        <v>26930</v>
      </c>
      <c r="T2098" s="443"/>
      <c r="U2098" s="251" t="s">
        <v>54</v>
      </c>
      <c r="V2098" s="306" t="s">
        <v>6136</v>
      </c>
      <c r="W2098" s="197" t="s">
        <v>128</v>
      </c>
      <c r="X2098" s="197" t="s">
        <v>475</v>
      </c>
      <c r="Y2098" s="981" t="s">
        <v>6151</v>
      </c>
      <c r="Z2098" s="246">
        <v>45323</v>
      </c>
      <c r="AA2098" s="252">
        <v>45351</v>
      </c>
      <c r="AB2098" s="487"/>
      <c r="AC2098" s="488"/>
      <c r="AD2098" s="487"/>
      <c r="AE2098" s="494"/>
      <c r="AF2098" s="494"/>
      <c r="AG2098" s="476"/>
      <c r="AH2098" s="489"/>
      <c r="AI2098" s="712"/>
      <c r="AJ2098" s="491" t="s">
        <v>560</v>
      </c>
      <c r="AK2098" s="491">
        <v>3</v>
      </c>
      <c r="AL2098" s="169" t="s">
        <v>707</v>
      </c>
      <c r="AM2098" s="169" t="s">
        <v>707</v>
      </c>
      <c r="AN2098" s="200"/>
      <c r="AO2098" s="193"/>
      <c r="AR2098" s="115"/>
    </row>
    <row r="2099" spans="1:46" ht="39" customHeight="1" x14ac:dyDescent="0.3">
      <c r="A2099" s="1468">
        <v>2098</v>
      </c>
      <c r="B2099" s="161">
        <v>3</v>
      </c>
      <c r="C2099" s="358" t="s">
        <v>710</v>
      </c>
      <c r="D2099" s="595"/>
      <c r="E2099" s="595"/>
      <c r="F2099" s="595"/>
      <c r="G2099" s="392" t="s">
        <v>711</v>
      </c>
      <c r="H2099" s="262" t="s">
        <v>85</v>
      </c>
      <c r="I2099" s="595"/>
      <c r="J2099" s="245" t="s">
        <v>556</v>
      </c>
      <c r="K2099" s="197"/>
      <c r="L2099" s="301" t="s">
        <v>1113</v>
      </c>
      <c r="M2099" s="281" t="s">
        <v>3561</v>
      </c>
      <c r="N2099" s="245"/>
      <c r="O2099" s="392" t="s">
        <v>3106</v>
      </c>
      <c r="P2099" s="247"/>
      <c r="Q2099" s="301" t="s">
        <v>293</v>
      </c>
      <c r="R2099" s="427" t="s">
        <v>1378</v>
      </c>
      <c r="S2099" s="279"/>
      <c r="T2099" s="250"/>
      <c r="U2099" s="251" t="s">
        <v>54</v>
      </c>
      <c r="V2099" s="306" t="s">
        <v>4607</v>
      </c>
      <c r="W2099" s="250" t="s">
        <v>4605</v>
      </c>
      <c r="X2099" s="250" t="s">
        <v>465</v>
      </c>
      <c r="Y2099" s="197" t="s">
        <v>4606</v>
      </c>
      <c r="Z2099" s="246">
        <v>45238</v>
      </c>
      <c r="AA2099" s="252"/>
      <c r="AB2099" s="288" t="s">
        <v>4546</v>
      </c>
      <c r="AC2099" s="223" t="s">
        <v>946</v>
      </c>
      <c r="AD2099" s="281"/>
      <c r="AE2099" s="494">
        <v>45076</v>
      </c>
      <c r="AF2099" s="494">
        <v>45441</v>
      </c>
      <c r="AG2099" s="282"/>
      <c r="AH2099" s="282"/>
      <c r="AI2099" s="254" t="s">
        <v>1351</v>
      </c>
      <c r="AJ2099" s="303" t="s">
        <v>136</v>
      </c>
      <c r="AK2099" s="241">
        <v>4</v>
      </c>
      <c r="AL2099" s="121" t="s">
        <v>707</v>
      </c>
      <c r="AM2099" s="121" t="s">
        <v>707</v>
      </c>
      <c r="AN2099" s="199"/>
      <c r="AO2099" s="190"/>
      <c r="AR2099" s="115"/>
    </row>
    <row r="2100" spans="1:46" ht="39" customHeight="1" x14ac:dyDescent="0.3">
      <c r="A2100" s="1468">
        <v>2099</v>
      </c>
      <c r="B2100" s="161">
        <v>2</v>
      </c>
      <c r="C2100" s="504" t="s">
        <v>712</v>
      </c>
      <c r="D2100" s="640"/>
      <c r="E2100" s="640"/>
      <c r="F2100" s="640"/>
      <c r="G2100" s="626" t="s">
        <v>414</v>
      </c>
      <c r="H2100" s="262" t="s">
        <v>87</v>
      </c>
      <c r="I2100" s="640"/>
      <c r="J2100" s="245" t="s">
        <v>561</v>
      </c>
      <c r="K2100" s="305"/>
      <c r="L2100" s="281" t="s">
        <v>1430</v>
      </c>
      <c r="M2100" s="281" t="s">
        <v>3561</v>
      </c>
      <c r="N2100" s="366"/>
      <c r="O2100" s="392" t="s">
        <v>2972</v>
      </c>
      <c r="P2100" s="305"/>
      <c r="Q2100" s="301" t="s">
        <v>87</v>
      </c>
      <c r="R2100" s="427" t="s">
        <v>1439</v>
      </c>
      <c r="S2100" s="279"/>
      <c r="T2100" s="306"/>
      <c r="U2100" s="251" t="s">
        <v>54</v>
      </c>
      <c r="V2100" s="306" t="s">
        <v>4607</v>
      </c>
      <c r="W2100" s="250" t="s">
        <v>4605</v>
      </c>
      <c r="X2100" s="250" t="s">
        <v>465</v>
      </c>
      <c r="Y2100" s="197" t="s">
        <v>4606</v>
      </c>
      <c r="Z2100" s="246">
        <v>45238</v>
      </c>
      <c r="AA2100" s="305"/>
      <c r="AB2100" s="288" t="s">
        <v>4547</v>
      </c>
      <c r="AC2100" s="223" t="s">
        <v>946</v>
      </c>
      <c r="AD2100" s="306"/>
      <c r="AE2100" s="494"/>
      <c r="AF2100" s="494"/>
      <c r="AG2100" s="282"/>
      <c r="AH2100" s="282"/>
      <c r="AI2100" s="254" t="s">
        <v>1351</v>
      </c>
      <c r="AJ2100" s="303" t="s">
        <v>136</v>
      </c>
      <c r="AK2100" s="471">
        <v>4</v>
      </c>
      <c r="AL2100" s="166" t="s">
        <v>707</v>
      </c>
      <c r="AM2100" s="166" t="s">
        <v>707</v>
      </c>
      <c r="AN2100" s="147" t="s">
        <v>5765</v>
      </c>
      <c r="AO2100" s="194"/>
      <c r="AR2100" s="115"/>
      <c r="AS2100" s="115"/>
      <c r="AT2100" s="115"/>
    </row>
    <row r="2101" spans="1:46" s="827" customFormat="1" ht="39" customHeight="1" x14ac:dyDescent="0.3">
      <c r="A2101" s="1468">
        <v>2100</v>
      </c>
      <c r="B2101" s="161"/>
      <c r="C2101" s="659"/>
      <c r="D2101" s="637"/>
      <c r="E2101" s="637"/>
      <c r="F2101" s="637"/>
      <c r="G2101" s="602"/>
      <c r="H2101" s="602"/>
      <c r="I2101" s="637"/>
      <c r="J2101" s="637"/>
      <c r="K2101" s="637"/>
      <c r="L2101" s="602"/>
      <c r="M2101" s="602"/>
      <c r="N2101" s="637"/>
      <c r="O2101" s="602"/>
      <c r="P2101" s="230" t="s">
        <v>713</v>
      </c>
      <c r="Q2101" s="637"/>
      <c r="R2101" s="324"/>
      <c r="S2101" s="279"/>
      <c r="T2101" s="637"/>
      <c r="U2101" s="250"/>
      <c r="V2101" s="637"/>
      <c r="W2101" s="602"/>
      <c r="X2101" s="602"/>
      <c r="Y2101" s="637"/>
      <c r="Z2101" s="637"/>
      <c r="AA2101" s="637"/>
      <c r="AB2101" s="1295"/>
      <c r="AC2101" s="637"/>
      <c r="AD2101" s="659"/>
      <c r="AE2101" s="494"/>
      <c r="AF2101" s="494"/>
      <c r="AG2101" s="637"/>
      <c r="AH2101" s="637"/>
      <c r="AI2101" s="602"/>
      <c r="AJ2101" s="602"/>
      <c r="AK2101" s="602"/>
      <c r="AL2101" s="205"/>
      <c r="AM2101" s="205"/>
      <c r="AN2101" s="202"/>
      <c r="AO2101" s="196"/>
      <c r="AP2101" s="192"/>
      <c r="AQ2101" s="192"/>
      <c r="AR2101" s="192"/>
      <c r="AS2101" s="192"/>
      <c r="AT2101" s="192"/>
    </row>
    <row r="2102" spans="1:46" ht="39" customHeight="1" x14ac:dyDescent="0.3">
      <c r="A2102" s="1468">
        <v>2101</v>
      </c>
      <c r="B2102" s="161">
        <v>5</v>
      </c>
      <c r="C2102" s="934" t="s">
        <v>367</v>
      </c>
      <c r="D2102" s="864"/>
      <c r="E2102" s="864"/>
      <c r="F2102" s="864"/>
      <c r="G2102" s="846" t="s">
        <v>714</v>
      </c>
      <c r="H2102" s="846" t="s">
        <v>132</v>
      </c>
      <c r="I2102" s="642"/>
      <c r="J2102" s="256">
        <v>403</v>
      </c>
      <c r="K2102" s="257"/>
      <c r="L2102" s="281"/>
      <c r="M2102" s="281"/>
      <c r="N2102" s="366"/>
      <c r="O2102" s="392"/>
      <c r="P2102" s="402"/>
      <c r="Q2102" s="380"/>
      <c r="R2102" s="683" t="s">
        <v>66</v>
      </c>
      <c r="S2102" s="279"/>
      <c r="T2102" s="197"/>
      <c r="U2102" s="250"/>
      <c r="V2102" s="197"/>
      <c r="W2102" s="197"/>
      <c r="X2102" s="197"/>
      <c r="Y2102" s="245"/>
      <c r="Z2102" s="246"/>
      <c r="AA2102" s="246"/>
      <c r="AB2102" s="361"/>
      <c r="AC2102" s="223"/>
      <c r="AD2102" s="376"/>
      <c r="AE2102" s="494"/>
      <c r="AF2102" s="494"/>
      <c r="AG2102" s="241"/>
      <c r="AH2102" s="283"/>
      <c r="AI2102" s="254"/>
      <c r="AJ2102" s="303"/>
      <c r="AK2102" s="491">
        <v>3</v>
      </c>
      <c r="AL2102" s="169" t="s">
        <v>707</v>
      </c>
      <c r="AM2102" s="169" t="s">
        <v>707</v>
      </c>
      <c r="AN2102" s="200"/>
      <c r="AO2102" s="193"/>
      <c r="AR2102" s="115"/>
    </row>
    <row r="2103" spans="1:46" ht="39" customHeight="1" x14ac:dyDescent="0.3">
      <c r="A2103" s="1468">
        <v>2102</v>
      </c>
      <c r="B2103" s="161">
        <v>2</v>
      </c>
      <c r="C2103" s="358" t="s">
        <v>715</v>
      </c>
      <c r="D2103" s="595"/>
      <c r="E2103" s="595"/>
      <c r="F2103" s="595"/>
      <c r="G2103" s="392" t="s">
        <v>716</v>
      </c>
      <c r="H2103" s="262" t="s">
        <v>87</v>
      </c>
      <c r="I2103" s="595"/>
      <c r="J2103" s="245" t="s">
        <v>561</v>
      </c>
      <c r="K2103" s="216"/>
      <c r="L2103" s="301" t="s">
        <v>4585</v>
      </c>
      <c r="M2103" s="301" t="s">
        <v>4585</v>
      </c>
      <c r="N2103" s="245"/>
      <c r="O2103" s="392" t="s">
        <v>4584</v>
      </c>
      <c r="P2103" s="372"/>
      <c r="Q2103" s="709" t="s">
        <v>293</v>
      </c>
      <c r="R2103" s="998" t="s">
        <v>4583</v>
      </c>
      <c r="S2103" s="279">
        <v>38030</v>
      </c>
      <c r="T2103" s="197"/>
      <c r="U2103" s="250"/>
      <c r="V2103" s="250"/>
      <c r="W2103" s="250"/>
      <c r="X2103" s="250"/>
      <c r="Y2103" s="197"/>
      <c r="Z2103" s="252"/>
      <c r="AA2103" s="246"/>
      <c r="AB2103" s="288"/>
      <c r="AC2103" s="223"/>
      <c r="AD2103" s="282"/>
      <c r="AE2103" s="494"/>
      <c r="AF2103" s="494"/>
      <c r="AG2103" s="241"/>
      <c r="AH2103" s="283"/>
      <c r="AI2103" s="254"/>
      <c r="AJ2103" s="491" t="s">
        <v>560</v>
      </c>
      <c r="AK2103" s="241">
        <v>4</v>
      </c>
      <c r="AL2103" s="121" t="s">
        <v>707</v>
      </c>
      <c r="AM2103" s="121" t="s">
        <v>707</v>
      </c>
      <c r="AN2103" s="199"/>
      <c r="AO2103" s="190"/>
      <c r="AR2103" s="115"/>
    </row>
    <row r="2104" spans="1:46" ht="39" customHeight="1" x14ac:dyDescent="0.3">
      <c r="A2104" s="1468">
        <v>2103</v>
      </c>
      <c r="B2104" s="161">
        <v>2</v>
      </c>
      <c r="C2104" s="504" t="s">
        <v>712</v>
      </c>
      <c r="D2104" s="640"/>
      <c r="E2104" s="640"/>
      <c r="F2104" s="640"/>
      <c r="G2104" s="626" t="s">
        <v>354</v>
      </c>
      <c r="H2104" s="262" t="s">
        <v>87</v>
      </c>
      <c r="I2104" s="640"/>
      <c r="J2104" s="245" t="s">
        <v>561</v>
      </c>
      <c r="K2104" s="216"/>
      <c r="L2104" s="301" t="s">
        <v>1113</v>
      </c>
      <c r="M2104" s="250" t="s">
        <v>3561</v>
      </c>
      <c r="N2104" s="245"/>
      <c r="O2104" s="392" t="s">
        <v>3132</v>
      </c>
      <c r="P2104" s="372"/>
      <c r="Q2104" s="301" t="s">
        <v>293</v>
      </c>
      <c r="R2104" s="427" t="s">
        <v>1957</v>
      </c>
      <c r="S2104" s="279"/>
      <c r="T2104" s="197"/>
      <c r="U2104" s="251" t="s">
        <v>54</v>
      </c>
      <c r="V2104" s="306" t="s">
        <v>4607</v>
      </c>
      <c r="W2104" s="250" t="s">
        <v>4605</v>
      </c>
      <c r="X2104" s="250" t="s">
        <v>465</v>
      </c>
      <c r="Y2104" s="197" t="s">
        <v>4606</v>
      </c>
      <c r="Z2104" s="246">
        <v>45238</v>
      </c>
      <c r="AA2104" s="246"/>
      <c r="AB2104" s="288" t="s">
        <v>4548</v>
      </c>
      <c r="AC2104" s="223" t="s">
        <v>946</v>
      </c>
      <c r="AD2104" s="282"/>
      <c r="AE2104" s="494">
        <v>45076</v>
      </c>
      <c r="AF2104" s="494">
        <v>45441</v>
      </c>
      <c r="AG2104" s="241"/>
      <c r="AH2104" s="283"/>
      <c r="AI2104" s="254" t="s">
        <v>1351</v>
      </c>
      <c r="AJ2104" s="303" t="s">
        <v>136</v>
      </c>
      <c r="AK2104" s="471">
        <v>4</v>
      </c>
      <c r="AL2104" s="166" t="s">
        <v>707</v>
      </c>
      <c r="AM2104" s="166" t="s">
        <v>707</v>
      </c>
      <c r="AN2104" s="147" t="s">
        <v>5764</v>
      </c>
      <c r="AO2104" s="194"/>
      <c r="AR2104" s="115"/>
      <c r="AS2104" s="115"/>
      <c r="AT2104" s="115"/>
    </row>
    <row r="2105" spans="1:46" s="827" customFormat="1" ht="39" customHeight="1" x14ac:dyDescent="0.3">
      <c r="A2105" s="1468">
        <v>2104</v>
      </c>
      <c r="B2105" s="161"/>
      <c r="C2105" s="659"/>
      <c r="D2105" s="637"/>
      <c r="E2105" s="637"/>
      <c r="F2105" s="637"/>
      <c r="G2105" s="602"/>
      <c r="H2105" s="602"/>
      <c r="I2105" s="637"/>
      <c r="J2105" s="637"/>
      <c r="K2105" s="637"/>
      <c r="L2105" s="602"/>
      <c r="M2105" s="602"/>
      <c r="N2105" s="637"/>
      <c r="O2105" s="602"/>
      <c r="P2105" s="230" t="s">
        <v>576</v>
      </c>
      <c r="Q2105" s="637"/>
      <c r="R2105" s="324"/>
      <c r="S2105" s="279"/>
      <c r="T2105" s="637"/>
      <c r="U2105" s="250"/>
      <c r="V2105" s="637"/>
      <c r="W2105" s="602"/>
      <c r="X2105" s="602"/>
      <c r="Y2105" s="637"/>
      <c r="Z2105" s="637"/>
      <c r="AA2105" s="637"/>
      <c r="AB2105" s="1295"/>
      <c r="AC2105" s="637"/>
      <c r="AD2105" s="659"/>
      <c r="AE2105" s="494"/>
      <c r="AF2105" s="494"/>
      <c r="AG2105" s="637"/>
      <c r="AH2105" s="637"/>
      <c r="AI2105" s="602"/>
      <c r="AJ2105" s="602"/>
      <c r="AK2105" s="602"/>
      <c r="AL2105" s="205"/>
      <c r="AM2105" s="205"/>
      <c r="AN2105" s="202"/>
      <c r="AO2105" s="196"/>
      <c r="AP2105" s="192"/>
      <c r="AQ2105" s="192"/>
      <c r="AR2105" s="192"/>
      <c r="AS2105" s="192"/>
      <c r="AT2105" s="192"/>
    </row>
    <row r="2106" spans="1:46" ht="39" customHeight="1" x14ac:dyDescent="0.3">
      <c r="A2106" s="1468">
        <v>2105</v>
      </c>
      <c r="B2106" s="161">
        <v>5</v>
      </c>
      <c r="C2106" s="934" t="s">
        <v>367</v>
      </c>
      <c r="D2106" s="864"/>
      <c r="E2106" s="864"/>
      <c r="F2106" s="864"/>
      <c r="G2106" s="846" t="s">
        <v>717</v>
      </c>
      <c r="H2106" s="846" t="s">
        <v>132</v>
      </c>
      <c r="I2106" s="642"/>
      <c r="J2106" s="256">
        <v>403</v>
      </c>
      <c r="K2106" s="642"/>
      <c r="L2106" s="625"/>
      <c r="M2106" s="625"/>
      <c r="N2106" s="642"/>
      <c r="O2106" s="625"/>
      <c r="P2106" s="642"/>
      <c r="Q2106" s="642"/>
      <c r="R2106" s="683" t="s">
        <v>66</v>
      </c>
      <c r="S2106" s="279"/>
      <c r="T2106" s="642"/>
      <c r="U2106" s="250"/>
      <c r="V2106" s="642"/>
      <c r="W2106" s="625"/>
      <c r="X2106" s="625"/>
      <c r="Y2106" s="642"/>
      <c r="Z2106" s="642"/>
      <c r="AA2106" s="642"/>
      <c r="AB2106" s="1293"/>
      <c r="AC2106" s="642"/>
      <c r="AD2106" s="661"/>
      <c r="AE2106" s="494"/>
      <c r="AF2106" s="494"/>
      <c r="AG2106" s="642"/>
      <c r="AH2106" s="642"/>
      <c r="AI2106" s="625"/>
      <c r="AJ2106" s="625"/>
      <c r="AK2106" s="491">
        <v>3</v>
      </c>
      <c r="AL2106" s="169" t="s">
        <v>707</v>
      </c>
      <c r="AM2106" s="169" t="s">
        <v>707</v>
      </c>
      <c r="AN2106" s="200"/>
      <c r="AO2106" s="193"/>
      <c r="AR2106" s="115"/>
    </row>
    <row r="2107" spans="1:46" ht="39" customHeight="1" x14ac:dyDescent="0.3">
      <c r="A2107" s="1468">
        <v>2106</v>
      </c>
      <c r="B2107" s="161">
        <v>3</v>
      </c>
      <c r="C2107" s="358" t="s">
        <v>718</v>
      </c>
      <c r="D2107" s="595"/>
      <c r="E2107" s="595"/>
      <c r="F2107" s="595"/>
      <c r="G2107" s="392" t="s">
        <v>719</v>
      </c>
      <c r="H2107" s="392" t="s">
        <v>2066</v>
      </c>
      <c r="I2107" s="595"/>
      <c r="J2107" s="1283">
        <v>455</v>
      </c>
      <c r="K2107" s="257"/>
      <c r="L2107" s="301" t="s">
        <v>1430</v>
      </c>
      <c r="M2107" s="281" t="s">
        <v>2783</v>
      </c>
      <c r="N2107" s="299"/>
      <c r="O2107" s="392" t="s">
        <v>3148</v>
      </c>
      <c r="P2107" s="300"/>
      <c r="Q2107" s="301" t="s">
        <v>87</v>
      </c>
      <c r="R2107" s="381" t="s">
        <v>1447</v>
      </c>
      <c r="S2107" s="279"/>
      <c r="T2107" s="289"/>
      <c r="U2107" s="251" t="s">
        <v>54</v>
      </c>
      <c r="V2107" s="306" t="s">
        <v>4607</v>
      </c>
      <c r="W2107" s="250" t="s">
        <v>4605</v>
      </c>
      <c r="X2107" s="250" t="s">
        <v>465</v>
      </c>
      <c r="Y2107" s="197" t="s">
        <v>4606</v>
      </c>
      <c r="Z2107" s="246">
        <v>45238</v>
      </c>
      <c r="AA2107" s="289"/>
      <c r="AB2107" s="299"/>
      <c r="AC2107" s="223" t="s">
        <v>946</v>
      </c>
      <c r="AD2107" s="299"/>
      <c r="AE2107" s="494"/>
      <c r="AF2107" s="494"/>
      <c r="AG2107" s="299"/>
      <c r="AH2107" s="299"/>
      <c r="AI2107" s="296" t="s">
        <v>1351</v>
      </c>
      <c r="AJ2107" s="303" t="s">
        <v>136</v>
      </c>
      <c r="AK2107" s="241">
        <v>4</v>
      </c>
      <c r="AL2107" s="121" t="s">
        <v>707</v>
      </c>
      <c r="AM2107" s="121" t="s">
        <v>707</v>
      </c>
      <c r="AN2107" s="199"/>
      <c r="AO2107" s="190"/>
      <c r="AR2107" s="115"/>
    </row>
    <row r="2108" spans="1:46" ht="39" customHeight="1" x14ac:dyDescent="0.3">
      <c r="A2108" s="1468">
        <v>2107</v>
      </c>
      <c r="B2108" s="161">
        <v>2</v>
      </c>
      <c r="C2108" s="358" t="s">
        <v>578</v>
      </c>
      <c r="D2108" s="595"/>
      <c r="E2108" s="595"/>
      <c r="F2108" s="595"/>
      <c r="G2108" s="392" t="s">
        <v>720</v>
      </c>
      <c r="H2108" s="392" t="s">
        <v>2067</v>
      </c>
      <c r="I2108" s="595"/>
      <c r="J2108" s="1283">
        <v>456</v>
      </c>
      <c r="K2108" s="216"/>
      <c r="L2108" s="301" t="s">
        <v>1678</v>
      </c>
      <c r="M2108" s="301" t="s">
        <v>991</v>
      </c>
      <c r="N2108" s="366"/>
      <c r="O2108" s="392" t="s">
        <v>3153</v>
      </c>
      <c r="P2108" s="435"/>
      <c r="Q2108" s="197" t="s">
        <v>87</v>
      </c>
      <c r="R2108" s="302" t="s">
        <v>1364</v>
      </c>
      <c r="S2108" s="279">
        <v>37239</v>
      </c>
      <c r="T2108" s="502"/>
      <c r="U2108" s="250"/>
      <c r="V2108" s="197"/>
      <c r="W2108" s="250" t="s">
        <v>2779</v>
      </c>
      <c r="X2108" s="250"/>
      <c r="Y2108" s="197"/>
      <c r="Z2108" s="246"/>
      <c r="AA2108" s="246"/>
      <c r="AB2108" s="250" t="s">
        <v>4485</v>
      </c>
      <c r="AC2108" s="223" t="s">
        <v>946</v>
      </c>
      <c r="AD2108" s="301"/>
      <c r="AE2108" s="494">
        <v>45070</v>
      </c>
      <c r="AF2108" s="494">
        <v>45435</v>
      </c>
      <c r="AG2108" s="301"/>
      <c r="AH2108" s="483"/>
      <c r="AI2108" s="254" t="s">
        <v>1351</v>
      </c>
      <c r="AJ2108" s="303" t="s">
        <v>136</v>
      </c>
      <c r="AK2108" s="241">
        <v>4</v>
      </c>
      <c r="AL2108" s="121" t="s">
        <v>707</v>
      </c>
      <c r="AM2108" s="121" t="s">
        <v>707</v>
      </c>
      <c r="AN2108" s="199"/>
      <c r="AO2108" s="190"/>
      <c r="AR2108" s="115"/>
    </row>
    <row r="2109" spans="1:46" ht="39" customHeight="1" x14ac:dyDescent="0.3">
      <c r="A2109" s="1468">
        <v>2108</v>
      </c>
      <c r="B2109" s="161">
        <v>2</v>
      </c>
      <c r="C2109" s="358" t="s">
        <v>578</v>
      </c>
      <c r="D2109" s="595"/>
      <c r="E2109" s="595"/>
      <c r="F2109" s="595"/>
      <c r="G2109" s="392" t="s">
        <v>720</v>
      </c>
      <c r="H2109" s="392" t="s">
        <v>2067</v>
      </c>
      <c r="I2109" s="595"/>
      <c r="J2109" s="1283">
        <v>456</v>
      </c>
      <c r="K2109" s="197"/>
      <c r="L2109" s="301" t="s">
        <v>1678</v>
      </c>
      <c r="M2109" s="301" t="s">
        <v>991</v>
      </c>
      <c r="N2109" s="245"/>
      <c r="O2109" s="392" t="s">
        <v>3155</v>
      </c>
      <c r="P2109" s="247"/>
      <c r="Q2109" s="197" t="s">
        <v>87</v>
      </c>
      <c r="R2109" s="302" t="s">
        <v>1365</v>
      </c>
      <c r="S2109" s="279">
        <v>36825</v>
      </c>
      <c r="T2109" s="250"/>
      <c r="U2109" s="250"/>
      <c r="V2109" s="197"/>
      <c r="W2109" s="250" t="s">
        <v>2779</v>
      </c>
      <c r="X2109" s="250"/>
      <c r="Y2109" s="197"/>
      <c r="Z2109" s="246"/>
      <c r="AA2109" s="246"/>
      <c r="AB2109" s="250" t="s">
        <v>4549</v>
      </c>
      <c r="AC2109" s="281" t="s">
        <v>4219</v>
      </c>
      <c r="AD2109" s="281"/>
      <c r="AE2109" s="494">
        <v>45070</v>
      </c>
      <c r="AF2109" s="494">
        <v>45435</v>
      </c>
      <c r="AG2109" s="282"/>
      <c r="AH2109" s="282"/>
      <c r="AI2109" s="254" t="s">
        <v>1351</v>
      </c>
      <c r="AJ2109" s="303" t="s">
        <v>136</v>
      </c>
      <c r="AK2109" s="241">
        <v>4</v>
      </c>
      <c r="AL2109" s="121" t="s">
        <v>707</v>
      </c>
      <c r="AM2109" s="121" t="s">
        <v>707</v>
      </c>
      <c r="AN2109" s="199"/>
      <c r="AO2109" s="190"/>
      <c r="AR2109" s="115"/>
    </row>
    <row r="2110" spans="1:46" ht="39" customHeight="1" x14ac:dyDescent="0.3">
      <c r="A2110" s="1468">
        <v>2109</v>
      </c>
      <c r="B2110" s="161">
        <v>2</v>
      </c>
      <c r="C2110" s="504" t="s">
        <v>353</v>
      </c>
      <c r="D2110" s="640"/>
      <c r="E2110" s="640"/>
      <c r="F2110" s="640"/>
      <c r="G2110" s="626" t="s">
        <v>721</v>
      </c>
      <c r="H2110" s="392" t="s">
        <v>2067</v>
      </c>
      <c r="I2110" s="640"/>
      <c r="J2110" s="1283">
        <v>456</v>
      </c>
      <c r="K2110" s="595"/>
      <c r="L2110" s="281" t="s">
        <v>1676</v>
      </c>
      <c r="M2110" s="281" t="s">
        <v>1508</v>
      </c>
      <c r="N2110" s="366"/>
      <c r="O2110" s="392" t="s">
        <v>3121</v>
      </c>
      <c r="P2110" s="402"/>
      <c r="Q2110" s="301" t="s">
        <v>87</v>
      </c>
      <c r="R2110" s="682" t="s">
        <v>1797</v>
      </c>
      <c r="S2110" s="279"/>
      <c r="T2110" s="197"/>
      <c r="U2110" s="251" t="s">
        <v>54</v>
      </c>
      <c r="V2110" s="245" t="s">
        <v>6136</v>
      </c>
      <c r="W2110" s="250" t="s">
        <v>128</v>
      </c>
      <c r="X2110" s="197" t="s">
        <v>475</v>
      </c>
      <c r="Y2110" s="245" t="s">
        <v>6165</v>
      </c>
      <c r="Z2110" s="246">
        <v>45295</v>
      </c>
      <c r="AA2110" s="246">
        <v>45324</v>
      </c>
      <c r="AB2110" s="296" t="s">
        <v>4550</v>
      </c>
      <c r="AC2110" s="223" t="s">
        <v>946</v>
      </c>
      <c r="AD2110" s="376"/>
      <c r="AE2110" s="494" t="s">
        <v>4354</v>
      </c>
      <c r="AF2110" s="494">
        <v>45477</v>
      </c>
      <c r="AG2110" s="241"/>
      <c r="AH2110" s="283"/>
      <c r="AI2110" s="254" t="s">
        <v>1351</v>
      </c>
      <c r="AJ2110" s="303" t="s">
        <v>136</v>
      </c>
      <c r="AK2110" s="471">
        <v>4</v>
      </c>
      <c r="AL2110" s="166" t="s">
        <v>707</v>
      </c>
      <c r="AM2110" s="166" t="s">
        <v>707</v>
      </c>
      <c r="AN2110" s="147" t="s">
        <v>5764</v>
      </c>
      <c r="AO2110" s="194"/>
      <c r="AR2110" s="115"/>
      <c r="AS2110" s="115"/>
      <c r="AT2110" s="115"/>
    </row>
    <row r="2111" spans="1:46" s="827" customFormat="1" ht="39" customHeight="1" x14ac:dyDescent="0.3">
      <c r="A2111" s="1468">
        <v>2110</v>
      </c>
      <c r="B2111" s="161"/>
      <c r="C2111" s="659"/>
      <c r="D2111" s="637"/>
      <c r="E2111" s="637"/>
      <c r="F2111" s="637"/>
      <c r="G2111" s="602"/>
      <c r="H2111" s="602"/>
      <c r="I2111" s="637"/>
      <c r="J2111" s="637"/>
      <c r="K2111" s="637"/>
      <c r="L2111" s="602"/>
      <c r="M2111" s="602"/>
      <c r="N2111" s="637"/>
      <c r="O2111" s="602"/>
      <c r="P2111" s="230" t="s">
        <v>722</v>
      </c>
      <c r="Q2111" s="637"/>
      <c r="R2111" s="324"/>
      <c r="S2111" s="279"/>
      <c r="T2111" s="637"/>
      <c r="U2111" s="250"/>
      <c r="V2111" s="637"/>
      <c r="W2111" s="602"/>
      <c r="X2111" s="602"/>
      <c r="Y2111" s="637"/>
      <c r="Z2111" s="637"/>
      <c r="AA2111" s="637"/>
      <c r="AB2111" s="1295"/>
      <c r="AC2111" s="637"/>
      <c r="AD2111" s="659"/>
      <c r="AE2111" s="494"/>
      <c r="AF2111" s="494"/>
      <c r="AG2111" s="637"/>
      <c r="AH2111" s="637"/>
      <c r="AI2111" s="602"/>
      <c r="AJ2111" s="602"/>
      <c r="AK2111" s="602"/>
      <c r="AL2111" s="205"/>
      <c r="AM2111" s="205"/>
      <c r="AN2111" s="202"/>
      <c r="AO2111" s="196"/>
      <c r="AP2111" s="192"/>
      <c r="AQ2111" s="192"/>
      <c r="AR2111" s="192"/>
      <c r="AS2111" s="192"/>
      <c r="AT2111" s="192"/>
    </row>
    <row r="2112" spans="1:46" ht="39" customHeight="1" x14ac:dyDescent="0.3">
      <c r="A2112" s="1468">
        <v>2111</v>
      </c>
      <c r="B2112" s="161">
        <v>14</v>
      </c>
      <c r="C2112" s="784" t="s">
        <v>277</v>
      </c>
      <c r="D2112" s="487"/>
      <c r="E2112" s="728"/>
      <c r="F2112" s="487"/>
      <c r="G2112" s="730">
        <v>1210003</v>
      </c>
      <c r="H2112" s="733" t="s">
        <v>78</v>
      </c>
      <c r="I2112" s="642"/>
      <c r="J2112" s="245">
        <v>300</v>
      </c>
      <c r="K2112" s="197" t="s">
        <v>50</v>
      </c>
      <c r="L2112" s="1477"/>
      <c r="M2112" s="1477"/>
      <c r="N2112" s="451"/>
      <c r="O2112" s="1476" t="s">
        <v>3224</v>
      </c>
      <c r="P2112" s="772" t="s">
        <v>551</v>
      </c>
      <c r="Q2112" s="728" t="s">
        <v>83</v>
      </c>
      <c r="R2112" s="1163" t="s">
        <v>1386</v>
      </c>
      <c r="S2112" s="279">
        <v>30002</v>
      </c>
      <c r="T2112" s="451"/>
      <c r="U2112" s="250" t="s">
        <v>178</v>
      </c>
      <c r="V2112" s="443" t="s">
        <v>6155</v>
      </c>
      <c r="W2112" s="280" t="s">
        <v>1955</v>
      </c>
      <c r="X2112" s="280" t="s">
        <v>6133</v>
      </c>
      <c r="Y2112" s="981" t="s">
        <v>6183</v>
      </c>
      <c r="Z2112" s="1042">
        <v>45327</v>
      </c>
      <c r="AA2112" s="1042">
        <v>45351</v>
      </c>
      <c r="AB2112" s="1293"/>
      <c r="AC2112" s="451"/>
      <c r="AD2112" s="661"/>
      <c r="AE2112" s="494"/>
      <c r="AF2112" s="494"/>
      <c r="AG2112" s="451"/>
      <c r="AH2112" s="451"/>
      <c r="AI2112" s="1477"/>
      <c r="AJ2112" s="755" t="s">
        <v>62</v>
      </c>
      <c r="AK2112" s="442">
        <v>1</v>
      </c>
      <c r="AL2112" s="169" t="s">
        <v>4204</v>
      </c>
      <c r="AM2112" s="169" t="s">
        <v>723</v>
      </c>
      <c r="AN2112" s="200"/>
      <c r="AO2112" s="193"/>
      <c r="AR2112" s="115"/>
    </row>
    <row r="2113" spans="1:46" ht="39" customHeight="1" x14ac:dyDescent="0.3">
      <c r="A2113" s="1468">
        <v>2112</v>
      </c>
      <c r="B2113" s="161">
        <v>12</v>
      </c>
      <c r="C2113" s="341" t="s">
        <v>279</v>
      </c>
      <c r="D2113" s="282"/>
      <c r="E2113" s="338"/>
      <c r="F2113" s="282"/>
      <c r="G2113" s="339">
        <v>3802003</v>
      </c>
      <c r="H2113" s="244" t="s">
        <v>83</v>
      </c>
      <c r="I2113" s="595"/>
      <c r="J2113" s="245">
        <v>302</v>
      </c>
      <c r="K2113" s="816" t="s">
        <v>158</v>
      </c>
      <c r="L2113" s="816"/>
      <c r="M2113" s="816"/>
      <c r="N2113" s="809"/>
      <c r="O2113" s="816" t="s">
        <v>1135</v>
      </c>
      <c r="P2113" s="855"/>
      <c r="Q2113" s="1143" t="s">
        <v>2053</v>
      </c>
      <c r="R2113" s="1181" t="s">
        <v>1136</v>
      </c>
      <c r="S2113" s="279">
        <v>29102</v>
      </c>
      <c r="T2113" s="840"/>
      <c r="U2113" s="250"/>
      <c r="V2113" s="306"/>
      <c r="W2113" s="250" t="s">
        <v>6065</v>
      </c>
      <c r="X2113" s="250"/>
      <c r="Y2113" s="197"/>
      <c r="Z2113" s="246"/>
      <c r="AA2113" s="252"/>
      <c r="AB2113" s="554"/>
      <c r="AC2113" s="822" t="s">
        <v>946</v>
      </c>
      <c r="AD2113" s="856"/>
      <c r="AE2113" s="494"/>
      <c r="AF2113" s="494">
        <v>45638</v>
      </c>
      <c r="AG2113" s="805" t="s">
        <v>61</v>
      </c>
      <c r="AH2113" s="823"/>
      <c r="AI2113" s="857"/>
      <c r="AJ2113" s="255" t="s">
        <v>62</v>
      </c>
      <c r="AK2113" s="242">
        <v>1</v>
      </c>
      <c r="AL2113" s="169" t="s">
        <v>4204</v>
      </c>
      <c r="AM2113" s="121" t="s">
        <v>723</v>
      </c>
      <c r="AN2113" s="199"/>
      <c r="AO2113" s="190"/>
      <c r="AR2113" s="115"/>
    </row>
    <row r="2114" spans="1:46" ht="39" customHeight="1" x14ac:dyDescent="0.3">
      <c r="A2114" s="1468">
        <v>2113</v>
      </c>
      <c r="B2114" s="161">
        <v>9</v>
      </c>
      <c r="C2114" s="532" t="s">
        <v>724</v>
      </c>
      <c r="D2114" s="282"/>
      <c r="E2114" s="353"/>
      <c r="F2114" s="282"/>
      <c r="G2114" s="445" t="s">
        <v>725</v>
      </c>
      <c r="H2114" s="350" t="s">
        <v>283</v>
      </c>
      <c r="I2114" s="595"/>
      <c r="J2114" s="281">
        <v>410</v>
      </c>
      <c r="K2114" s="595"/>
      <c r="L2114" s="1488" t="s">
        <v>4576</v>
      </c>
      <c r="M2114" s="1488" t="s">
        <v>4576</v>
      </c>
      <c r="N2114" s="595"/>
      <c r="O2114" s="216" t="s">
        <v>3454</v>
      </c>
      <c r="P2114" s="247" t="s">
        <v>1828</v>
      </c>
      <c r="Q2114" s="353" t="s">
        <v>153</v>
      </c>
      <c r="R2114" s="1140" t="s">
        <v>3453</v>
      </c>
      <c r="S2114" s="279">
        <v>30528</v>
      </c>
      <c r="T2114" s="595"/>
      <c r="U2114" s="251" t="s">
        <v>54</v>
      </c>
      <c r="V2114" s="197" t="s">
        <v>5955</v>
      </c>
      <c r="W2114" s="197" t="s">
        <v>70</v>
      </c>
      <c r="X2114" s="197" t="s">
        <v>71</v>
      </c>
      <c r="Y2114" s="949" t="s">
        <v>5964</v>
      </c>
      <c r="Z2114" s="612">
        <v>45312</v>
      </c>
      <c r="AA2114" s="289"/>
      <c r="AB2114" s="1289"/>
      <c r="AC2114" s="595"/>
      <c r="AD2114" s="658"/>
      <c r="AE2114" s="494"/>
      <c r="AF2114" s="494"/>
      <c r="AG2114" s="595"/>
      <c r="AH2114" s="595"/>
      <c r="AI2114" s="1488"/>
      <c r="AJ2114" s="445" t="s">
        <v>47</v>
      </c>
      <c r="AK2114" s="445">
        <v>2</v>
      </c>
      <c r="AL2114" s="169" t="s">
        <v>4204</v>
      </c>
      <c r="AM2114" s="121" t="s">
        <v>723</v>
      </c>
      <c r="AN2114" s="199"/>
      <c r="AO2114" s="190"/>
      <c r="AR2114" s="115"/>
    </row>
    <row r="2115" spans="1:46" ht="39" customHeight="1" x14ac:dyDescent="0.3">
      <c r="A2115" s="1468">
        <v>2114</v>
      </c>
      <c r="B2115" s="161">
        <v>9</v>
      </c>
      <c r="C2115" s="532" t="s">
        <v>284</v>
      </c>
      <c r="D2115" s="282"/>
      <c r="E2115" s="353"/>
      <c r="F2115" s="282"/>
      <c r="G2115" s="445" t="s">
        <v>285</v>
      </c>
      <c r="H2115" s="350" t="s">
        <v>663</v>
      </c>
      <c r="I2115" s="595"/>
      <c r="J2115" s="595"/>
      <c r="K2115" s="216" t="s">
        <v>158</v>
      </c>
      <c r="L2115" s="245" t="s">
        <v>1209</v>
      </c>
      <c r="M2115" s="245" t="s">
        <v>1209</v>
      </c>
      <c r="N2115" s="256"/>
      <c r="O2115" s="216" t="s">
        <v>1210</v>
      </c>
      <c r="P2115" s="247"/>
      <c r="Q2115" s="353" t="s">
        <v>153</v>
      </c>
      <c r="R2115" s="1140" t="s">
        <v>1211</v>
      </c>
      <c r="S2115" s="279">
        <v>36168</v>
      </c>
      <c r="T2115" s="197"/>
      <c r="U2115" s="197"/>
      <c r="V2115" s="197"/>
      <c r="W2115" s="197"/>
      <c r="X2115" s="197"/>
      <c r="Y2115" s="949"/>
      <c r="Z2115" s="246"/>
      <c r="AA2115" s="246"/>
      <c r="AB2115" s="245"/>
      <c r="AC2115" s="223" t="s">
        <v>946</v>
      </c>
      <c r="AD2115" s="245"/>
      <c r="AE2115" s="494">
        <v>44019</v>
      </c>
      <c r="AF2115" s="494">
        <v>45113</v>
      </c>
      <c r="AG2115" s="241" t="s">
        <v>61</v>
      </c>
      <c r="AH2115" s="253"/>
      <c r="AI2115" s="296"/>
      <c r="AJ2115" s="317" t="s">
        <v>47</v>
      </c>
      <c r="AK2115" s="445">
        <v>2</v>
      </c>
      <c r="AL2115" s="169" t="s">
        <v>4204</v>
      </c>
      <c r="AM2115" s="121" t="s">
        <v>723</v>
      </c>
      <c r="AN2115" s="199"/>
      <c r="AO2115" s="190"/>
      <c r="AR2115" s="115"/>
    </row>
    <row r="2116" spans="1:46" ht="39" customHeight="1" x14ac:dyDescent="0.3">
      <c r="A2116" s="1468">
        <v>2115</v>
      </c>
      <c r="B2116" s="161">
        <v>5</v>
      </c>
      <c r="C2116" s="520" t="s">
        <v>426</v>
      </c>
      <c r="D2116" s="640"/>
      <c r="E2116" s="640"/>
      <c r="F2116" s="640"/>
      <c r="G2116" s="626" t="s">
        <v>427</v>
      </c>
      <c r="H2116" s="262" t="s">
        <v>85</v>
      </c>
      <c r="I2116" s="640"/>
      <c r="J2116" s="245" t="s">
        <v>556</v>
      </c>
      <c r="K2116" s="640"/>
      <c r="L2116" s="277" t="s">
        <v>6071</v>
      </c>
      <c r="M2116" s="277" t="s">
        <v>6071</v>
      </c>
      <c r="N2116" s="640"/>
      <c r="O2116" s="626" t="s">
        <v>6210</v>
      </c>
      <c r="P2116" s="640"/>
      <c r="Q2116" s="663" t="s">
        <v>87</v>
      </c>
      <c r="R2116" s="1494" t="s">
        <v>6082</v>
      </c>
      <c r="S2116" s="279">
        <v>38269</v>
      </c>
      <c r="T2116" s="640"/>
      <c r="U2116" s="250"/>
      <c r="V2116" s="640"/>
      <c r="W2116" s="250"/>
      <c r="X2116" s="250"/>
      <c r="Y2116" s="197"/>
      <c r="Z2116" s="640"/>
      <c r="AA2116" s="640"/>
      <c r="AB2116" s="1291"/>
      <c r="AC2116" s="640"/>
      <c r="AD2116" s="660"/>
      <c r="AE2116" s="494"/>
      <c r="AF2116" s="494"/>
      <c r="AG2116" s="640"/>
      <c r="AH2116" s="640"/>
      <c r="AI2116" s="712" t="s">
        <v>4208</v>
      </c>
      <c r="AJ2116" s="1523" t="s">
        <v>136</v>
      </c>
      <c r="AK2116" s="471">
        <v>4</v>
      </c>
      <c r="AL2116" s="169" t="s">
        <v>4204</v>
      </c>
      <c r="AM2116" s="166" t="s">
        <v>723</v>
      </c>
      <c r="AN2116" s="201"/>
      <c r="AO2116" s="194"/>
      <c r="AR2116" s="115"/>
    </row>
    <row r="2117" spans="1:46" s="827" customFormat="1" ht="39" customHeight="1" x14ac:dyDescent="0.3">
      <c r="A2117" s="1468">
        <v>2116</v>
      </c>
      <c r="B2117" s="161"/>
      <c r="C2117" s="659"/>
      <c r="D2117" s="637"/>
      <c r="E2117" s="637"/>
      <c r="F2117" s="637"/>
      <c r="G2117" s="602"/>
      <c r="H2117" s="602"/>
      <c r="I2117" s="637"/>
      <c r="J2117" s="637"/>
      <c r="K2117" s="637"/>
      <c r="L2117" s="602"/>
      <c r="M2117" s="602"/>
      <c r="N2117" s="637"/>
      <c r="O2117" s="602"/>
      <c r="P2117" s="230" t="s">
        <v>726</v>
      </c>
      <c r="Q2117" s="637"/>
      <c r="R2117" s="324"/>
      <c r="S2117" s="279"/>
      <c r="T2117" s="637"/>
      <c r="U2117" s="250"/>
      <c r="V2117" s="637"/>
      <c r="W2117" s="197"/>
      <c r="X2117" s="197"/>
      <c r="Y2117" s="949"/>
      <c r="Z2117" s="637"/>
      <c r="AA2117" s="637"/>
      <c r="AB2117" s="1295"/>
      <c r="AC2117" s="637"/>
      <c r="AD2117" s="659"/>
      <c r="AE2117" s="494"/>
      <c r="AF2117" s="494"/>
      <c r="AG2117" s="637"/>
      <c r="AH2117" s="637"/>
      <c r="AI2117" s="602"/>
      <c r="AJ2117" s="602"/>
      <c r="AK2117" s="602"/>
      <c r="AL2117" s="205"/>
      <c r="AM2117" s="205"/>
      <c r="AN2117" s="202"/>
      <c r="AO2117" s="196"/>
      <c r="AP2117" s="192"/>
      <c r="AQ2117" s="192"/>
      <c r="AR2117" s="192"/>
      <c r="AS2117" s="192"/>
      <c r="AT2117" s="192"/>
    </row>
    <row r="2118" spans="1:46" ht="39" customHeight="1" x14ac:dyDescent="0.3">
      <c r="A2118" s="1468">
        <v>2117</v>
      </c>
      <c r="B2118" s="161">
        <v>6</v>
      </c>
      <c r="C2118" s="936" t="s">
        <v>727</v>
      </c>
      <c r="D2118" s="487"/>
      <c r="E2118" s="762"/>
      <c r="F2118" s="487"/>
      <c r="G2118" s="763" t="s">
        <v>728</v>
      </c>
      <c r="H2118" s="764" t="s">
        <v>153</v>
      </c>
      <c r="I2118" s="761"/>
      <c r="J2118" s="256">
        <v>400</v>
      </c>
      <c r="K2118" s="642"/>
      <c r="L2118" s="625" t="s">
        <v>4576</v>
      </c>
      <c r="M2118" s="625" t="s">
        <v>4576</v>
      </c>
      <c r="N2118" s="642"/>
      <c r="O2118" s="216" t="s">
        <v>3545</v>
      </c>
      <c r="P2118" s="247" t="s">
        <v>1828</v>
      </c>
      <c r="Q2118" s="353" t="s">
        <v>283</v>
      </c>
      <c r="R2118" s="1140" t="s">
        <v>3544</v>
      </c>
      <c r="S2118" s="279">
        <v>32531</v>
      </c>
      <c r="T2118" s="642"/>
      <c r="U2118" s="251" t="s">
        <v>54</v>
      </c>
      <c r="V2118" s="197" t="s">
        <v>5955</v>
      </c>
      <c r="W2118" s="197" t="s">
        <v>70</v>
      </c>
      <c r="X2118" s="197" t="s">
        <v>71</v>
      </c>
      <c r="Y2118" s="949" t="s">
        <v>5964</v>
      </c>
      <c r="Z2118" s="612">
        <v>45312</v>
      </c>
      <c r="AA2118" s="289"/>
      <c r="AB2118" s="1293"/>
      <c r="AC2118" s="642"/>
      <c r="AD2118" s="661"/>
      <c r="AE2118" s="494"/>
      <c r="AF2118" s="494"/>
      <c r="AG2118" s="642"/>
      <c r="AH2118" s="642"/>
      <c r="AI2118" s="625"/>
      <c r="AJ2118" s="445" t="s">
        <v>47</v>
      </c>
      <c r="AK2118" s="763">
        <v>2</v>
      </c>
      <c r="AL2118" s="169" t="s">
        <v>4204</v>
      </c>
      <c r="AM2118" s="169" t="s">
        <v>723</v>
      </c>
      <c r="AN2118" s="200"/>
      <c r="AO2118" s="193"/>
      <c r="AR2118" s="115"/>
    </row>
    <row r="2119" spans="1:46" ht="39" customHeight="1" x14ac:dyDescent="0.3">
      <c r="A2119" s="1468">
        <v>2118</v>
      </c>
      <c r="B2119" s="161">
        <v>6</v>
      </c>
      <c r="C2119" s="532" t="s">
        <v>729</v>
      </c>
      <c r="D2119" s="282"/>
      <c r="E2119" s="353"/>
      <c r="F2119" s="282"/>
      <c r="G2119" s="445" t="s">
        <v>730</v>
      </c>
      <c r="H2119" s="350" t="s">
        <v>153</v>
      </c>
      <c r="I2119" s="316"/>
      <c r="J2119" s="256">
        <v>400</v>
      </c>
      <c r="K2119" s="216"/>
      <c r="L2119" s="216"/>
      <c r="M2119" s="216"/>
      <c r="N2119" s="281"/>
      <c r="O2119" s="1258" t="s">
        <v>3165</v>
      </c>
      <c r="P2119" s="247"/>
      <c r="Q2119" s="344" t="s">
        <v>132</v>
      </c>
      <c r="R2119" s="982" t="s">
        <v>1393</v>
      </c>
      <c r="S2119" s="279">
        <v>37268</v>
      </c>
      <c r="T2119" s="250"/>
      <c r="U2119" s="250"/>
      <c r="V2119" s="252"/>
      <c r="W2119" s="197" t="s">
        <v>3582</v>
      </c>
      <c r="X2119" s="197"/>
      <c r="Y2119" s="197"/>
      <c r="Z2119" s="246"/>
      <c r="AA2119" s="250"/>
      <c r="AB2119" s="299"/>
      <c r="AC2119" s="223"/>
      <c r="AD2119" s="299"/>
      <c r="AE2119" s="494"/>
      <c r="AF2119" s="494"/>
      <c r="AG2119" s="299"/>
      <c r="AH2119" s="299"/>
      <c r="AI2119" s="296"/>
      <c r="AJ2119" s="348" t="s">
        <v>560</v>
      </c>
      <c r="AK2119" s="445">
        <v>2</v>
      </c>
      <c r="AL2119" s="169" t="s">
        <v>4204</v>
      </c>
      <c r="AM2119" s="121" t="s">
        <v>723</v>
      </c>
      <c r="AN2119" s="199"/>
      <c r="AO2119" s="190"/>
      <c r="AR2119" s="115"/>
    </row>
    <row r="2120" spans="1:46" ht="39" customHeight="1" x14ac:dyDescent="0.3">
      <c r="A2120" s="1468">
        <v>2119</v>
      </c>
      <c r="B2120" s="161">
        <v>2</v>
      </c>
      <c r="C2120" s="520" t="s">
        <v>86</v>
      </c>
      <c r="D2120" s="640"/>
      <c r="E2120" s="640"/>
      <c r="F2120" s="640"/>
      <c r="G2120" s="626" t="s">
        <v>731</v>
      </c>
      <c r="H2120" s="262" t="s">
        <v>87</v>
      </c>
      <c r="I2120" s="640"/>
      <c r="J2120" s="245" t="s">
        <v>561</v>
      </c>
      <c r="K2120" s="595"/>
      <c r="L2120" s="281" t="s">
        <v>1527</v>
      </c>
      <c r="M2120" s="281" t="s">
        <v>1676</v>
      </c>
      <c r="N2120" s="366"/>
      <c r="O2120" s="1357" t="s">
        <v>3113</v>
      </c>
      <c r="P2120" s="402"/>
      <c r="Q2120" s="301" t="s">
        <v>85</v>
      </c>
      <c r="R2120" s="427" t="s">
        <v>1717</v>
      </c>
      <c r="S2120" s="279"/>
      <c r="T2120" s="197"/>
      <c r="U2120" s="250"/>
      <c r="V2120" s="197"/>
      <c r="W2120" s="250" t="s">
        <v>2779</v>
      </c>
      <c r="X2120" s="299"/>
      <c r="Y2120" s="245"/>
      <c r="Z2120" s="246"/>
      <c r="AA2120" s="246"/>
      <c r="AB2120" s="296" t="s">
        <v>4358</v>
      </c>
      <c r="AC2120" s="474" t="s">
        <v>946</v>
      </c>
      <c r="AD2120" s="376"/>
      <c r="AE2120" s="494" t="s">
        <v>4359</v>
      </c>
      <c r="AF2120" s="494">
        <v>45477</v>
      </c>
      <c r="AG2120" s="241"/>
      <c r="AH2120" s="283"/>
      <c r="AI2120" s="254" t="s">
        <v>1351</v>
      </c>
      <c r="AJ2120" s="303" t="s">
        <v>136</v>
      </c>
      <c r="AK2120" s="471">
        <v>4</v>
      </c>
      <c r="AL2120" s="169" t="s">
        <v>4204</v>
      </c>
      <c r="AM2120" s="166" t="s">
        <v>723</v>
      </c>
      <c r="AN2120" s="201"/>
      <c r="AO2120" s="194"/>
      <c r="AR2120" s="115"/>
    </row>
    <row r="2121" spans="1:46" s="827" customFormat="1" ht="39" customHeight="1" x14ac:dyDescent="0.3">
      <c r="A2121" s="1468">
        <v>2120</v>
      </c>
      <c r="B2121" s="161"/>
      <c r="C2121" s="659"/>
      <c r="D2121" s="637"/>
      <c r="E2121" s="637"/>
      <c r="F2121" s="637"/>
      <c r="G2121" s="602"/>
      <c r="H2121" s="602"/>
      <c r="I2121" s="637"/>
      <c r="J2121" s="637"/>
      <c r="K2121" s="637"/>
      <c r="L2121" s="602"/>
      <c r="M2121" s="602"/>
      <c r="N2121" s="637"/>
      <c r="O2121" s="602"/>
      <c r="P2121" s="230" t="s">
        <v>732</v>
      </c>
      <c r="Q2121" s="637"/>
      <c r="R2121" s="324"/>
      <c r="S2121" s="279"/>
      <c r="T2121" s="637"/>
      <c r="U2121" s="250"/>
      <c r="V2121" s="637"/>
      <c r="W2121" s="602"/>
      <c r="X2121" s="602"/>
      <c r="Y2121" s="637"/>
      <c r="Z2121" s="637"/>
      <c r="AA2121" s="637"/>
      <c r="AB2121" s="1295"/>
      <c r="AC2121" s="637"/>
      <c r="AD2121" s="659"/>
      <c r="AE2121" s="494"/>
      <c r="AF2121" s="494"/>
      <c r="AG2121" s="637"/>
      <c r="AH2121" s="637"/>
      <c r="AI2121" s="602"/>
      <c r="AJ2121" s="602"/>
      <c r="AK2121" s="602"/>
      <c r="AL2121" s="205"/>
      <c r="AM2121" s="205"/>
      <c r="AN2121" s="202"/>
      <c r="AO2121" s="196"/>
      <c r="AP2121" s="192"/>
      <c r="AQ2121" s="192"/>
      <c r="AR2121" s="192"/>
      <c r="AS2121" s="192"/>
      <c r="AT2121" s="192"/>
    </row>
    <row r="2122" spans="1:46" ht="39" customHeight="1" x14ac:dyDescent="0.3">
      <c r="A2122" s="1468">
        <v>2121</v>
      </c>
      <c r="B2122" s="161">
        <v>10</v>
      </c>
      <c r="C2122" s="249" t="s">
        <v>733</v>
      </c>
      <c r="D2122" s="282"/>
      <c r="E2122" s="338"/>
      <c r="F2122" s="282"/>
      <c r="G2122" s="339">
        <v>1218003</v>
      </c>
      <c r="H2122" s="244" t="s">
        <v>83</v>
      </c>
      <c r="I2122" s="595"/>
      <c r="J2122" s="245">
        <v>302</v>
      </c>
      <c r="K2122" s="197" t="s">
        <v>50</v>
      </c>
      <c r="L2122" s="1476"/>
      <c r="M2122" s="1476"/>
      <c r="N2122" s="595"/>
      <c r="O2122" s="1476" t="s">
        <v>3225</v>
      </c>
      <c r="P2122" s="595"/>
      <c r="Q2122" s="338" t="s">
        <v>119</v>
      </c>
      <c r="R2122" s="990" t="s">
        <v>1917</v>
      </c>
      <c r="S2122" s="279">
        <v>32906</v>
      </c>
      <c r="T2122" s="595"/>
      <c r="U2122" s="197"/>
      <c r="V2122" s="626"/>
      <c r="W2122" s="836" t="s">
        <v>6062</v>
      </c>
      <c r="X2122" s="197"/>
      <c r="Y2122" s="836"/>
      <c r="Z2122" s="486"/>
      <c r="AA2122" s="640"/>
      <c r="AB2122" s="1289"/>
      <c r="AC2122" s="595"/>
      <c r="AD2122" s="658"/>
      <c r="AE2122" s="494"/>
      <c r="AF2122" s="494"/>
      <c r="AG2122" s="595"/>
      <c r="AH2122" s="595"/>
      <c r="AI2122" s="392"/>
      <c r="AJ2122" s="255" t="s">
        <v>62</v>
      </c>
      <c r="AK2122" s="242">
        <v>1</v>
      </c>
      <c r="AL2122" s="121" t="s">
        <v>734</v>
      </c>
      <c r="AM2122" s="121" t="s">
        <v>723</v>
      </c>
      <c r="AN2122" s="903"/>
      <c r="AO2122" s="904"/>
      <c r="AR2122" s="115"/>
    </row>
    <row r="2123" spans="1:46" s="827" customFormat="1" ht="39" customHeight="1" x14ac:dyDescent="0.3">
      <c r="A2123" s="1468">
        <v>2122</v>
      </c>
      <c r="B2123" s="161"/>
      <c r="C2123" s="659"/>
      <c r="D2123" s="637"/>
      <c r="E2123" s="637"/>
      <c r="F2123" s="637"/>
      <c r="G2123" s="602"/>
      <c r="H2123" s="602"/>
      <c r="I2123" s="637"/>
      <c r="J2123" s="637"/>
      <c r="K2123" s="637"/>
      <c r="L2123" s="602"/>
      <c r="M2123" s="602"/>
      <c r="N2123" s="637"/>
      <c r="O2123" s="602"/>
      <c r="P2123" s="230" t="s">
        <v>735</v>
      </c>
      <c r="Q2123" s="637"/>
      <c r="R2123" s="324"/>
      <c r="S2123" s="279"/>
      <c r="T2123" s="637"/>
      <c r="U2123" s="250"/>
      <c r="V2123" s="637"/>
      <c r="W2123" s="602"/>
      <c r="X2123" s="602"/>
      <c r="Y2123" s="637"/>
      <c r="Z2123" s="637"/>
      <c r="AA2123" s="637"/>
      <c r="AB2123" s="1295"/>
      <c r="AC2123" s="637" t="s">
        <v>6146</v>
      </c>
      <c r="AD2123" s="659"/>
      <c r="AE2123" s="494"/>
      <c r="AF2123" s="494"/>
      <c r="AG2123" s="637"/>
      <c r="AH2123" s="637"/>
      <c r="AI2123" s="602"/>
      <c r="AJ2123" s="602"/>
      <c r="AK2123" s="602"/>
      <c r="AL2123" s="205"/>
      <c r="AM2123" s="205"/>
      <c r="AN2123" s="202"/>
      <c r="AO2123" s="196"/>
      <c r="AP2123" s="192"/>
      <c r="AQ2123" s="192"/>
      <c r="AR2123" s="192"/>
      <c r="AS2123" s="192"/>
      <c r="AT2123" s="192"/>
    </row>
    <row r="2124" spans="1:46" ht="39" customHeight="1" x14ac:dyDescent="0.3">
      <c r="A2124" s="1468">
        <v>2123</v>
      </c>
      <c r="B2124" s="161">
        <v>6</v>
      </c>
      <c r="C2124" s="936" t="s">
        <v>729</v>
      </c>
      <c r="D2124" s="487"/>
      <c r="E2124" s="762"/>
      <c r="F2124" s="487"/>
      <c r="G2124" s="763" t="s">
        <v>730</v>
      </c>
      <c r="H2124" s="764" t="s">
        <v>153</v>
      </c>
      <c r="I2124" s="642"/>
      <c r="J2124" s="256">
        <v>400</v>
      </c>
      <c r="K2124" s="642"/>
      <c r="L2124" s="625" t="s">
        <v>2577</v>
      </c>
      <c r="M2124" s="625" t="s">
        <v>2577</v>
      </c>
      <c r="N2124" s="642"/>
      <c r="O2124" s="216" t="s">
        <v>2575</v>
      </c>
      <c r="P2124" s="247"/>
      <c r="Q2124" s="353" t="s">
        <v>153</v>
      </c>
      <c r="R2124" s="1502" t="s">
        <v>2576</v>
      </c>
      <c r="S2124" s="279">
        <v>31862</v>
      </c>
      <c r="T2124" s="250"/>
      <c r="U2124" s="251" t="s">
        <v>54</v>
      </c>
      <c r="V2124" s="197" t="s">
        <v>5955</v>
      </c>
      <c r="W2124" s="197" t="s">
        <v>70</v>
      </c>
      <c r="X2124" s="197" t="s">
        <v>71</v>
      </c>
      <c r="Y2124" s="949" t="s">
        <v>5993</v>
      </c>
      <c r="Z2124" s="612">
        <v>45312</v>
      </c>
      <c r="AA2124" s="252"/>
      <c r="AB2124" s="1293"/>
      <c r="AC2124" s="642"/>
      <c r="AD2124" s="661"/>
      <c r="AE2124" s="494"/>
      <c r="AF2124" s="494"/>
      <c r="AG2124" s="642"/>
      <c r="AH2124" s="642"/>
      <c r="AI2124" s="625"/>
      <c r="AJ2124" s="779" t="s">
        <v>47</v>
      </c>
      <c r="AK2124" s="763">
        <v>2</v>
      </c>
      <c r="AL2124" s="169" t="s">
        <v>734</v>
      </c>
      <c r="AM2124" s="169" t="s">
        <v>723</v>
      </c>
      <c r="AN2124" s="200"/>
      <c r="AO2124" s="193"/>
      <c r="AR2124" s="115"/>
    </row>
    <row r="2125" spans="1:46" ht="39" customHeight="1" x14ac:dyDescent="0.3">
      <c r="A2125" s="1468">
        <v>2124</v>
      </c>
      <c r="B2125" s="161">
        <v>3</v>
      </c>
      <c r="C2125" s="356" t="s">
        <v>736</v>
      </c>
      <c r="D2125" s="595"/>
      <c r="E2125" s="595"/>
      <c r="F2125" s="595"/>
      <c r="G2125" s="392" t="s">
        <v>737</v>
      </c>
      <c r="H2125" s="262" t="s">
        <v>85</v>
      </c>
      <c r="I2125" s="595"/>
      <c r="J2125" s="245" t="s">
        <v>556</v>
      </c>
      <c r="K2125" s="595"/>
      <c r="L2125" s="1286" t="s">
        <v>3596</v>
      </c>
      <c r="M2125" s="1286" t="s">
        <v>3596</v>
      </c>
      <c r="N2125" s="595"/>
      <c r="O2125" s="1286" t="s">
        <v>3609</v>
      </c>
      <c r="P2125" s="1253" t="s">
        <v>1828</v>
      </c>
      <c r="Q2125" s="344" t="s">
        <v>87</v>
      </c>
      <c r="R2125" s="1503" t="s">
        <v>3608</v>
      </c>
      <c r="S2125" s="279">
        <v>28439</v>
      </c>
      <c r="T2125" s="595"/>
      <c r="U2125" s="251" t="s">
        <v>54</v>
      </c>
      <c r="V2125" s="280" t="s">
        <v>3959</v>
      </c>
      <c r="W2125" s="197" t="s">
        <v>70</v>
      </c>
      <c r="X2125" s="289" t="s">
        <v>71</v>
      </c>
      <c r="Y2125" s="280" t="s">
        <v>4351</v>
      </c>
      <c r="Z2125" s="486">
        <v>45226</v>
      </c>
      <c r="AA2125" s="595"/>
      <c r="AB2125" s="1289"/>
      <c r="AC2125" s="595"/>
      <c r="AD2125" s="658"/>
      <c r="AE2125" s="494"/>
      <c r="AF2125" s="494"/>
      <c r="AG2125" s="595"/>
      <c r="AH2125" s="595"/>
      <c r="AI2125" s="1286"/>
      <c r="AJ2125" s="348" t="s">
        <v>560</v>
      </c>
      <c r="AK2125" s="241">
        <v>4</v>
      </c>
      <c r="AL2125" s="121" t="s">
        <v>734</v>
      </c>
      <c r="AM2125" s="121" t="s">
        <v>723</v>
      </c>
      <c r="AN2125" s="199"/>
      <c r="AO2125" s="190"/>
      <c r="AR2125" s="115"/>
    </row>
    <row r="2126" spans="1:46" ht="39" customHeight="1" x14ac:dyDescent="0.3">
      <c r="A2126" s="1468">
        <v>2125</v>
      </c>
      <c r="B2126" s="161">
        <v>2</v>
      </c>
      <c r="C2126" s="356" t="s">
        <v>696</v>
      </c>
      <c r="D2126" s="595"/>
      <c r="E2126" s="595"/>
      <c r="F2126" s="595"/>
      <c r="G2126" s="392" t="s">
        <v>738</v>
      </c>
      <c r="H2126" s="262" t="s">
        <v>87</v>
      </c>
      <c r="I2126" s="595"/>
      <c r="J2126" s="245" t="s">
        <v>561</v>
      </c>
      <c r="K2126" s="595"/>
      <c r="L2126" s="1522" t="s">
        <v>6071</v>
      </c>
      <c r="M2126" s="392" t="s">
        <v>6071</v>
      </c>
      <c r="N2126" s="595"/>
      <c r="O2126" s="392" t="s">
        <v>6206</v>
      </c>
      <c r="P2126" s="1253"/>
      <c r="Q2126" s="301" t="s">
        <v>87</v>
      </c>
      <c r="R2126" s="1494" t="s">
        <v>6074</v>
      </c>
      <c r="S2126" s="279">
        <v>38005</v>
      </c>
      <c r="T2126" s="595"/>
      <c r="U2126" s="250"/>
      <c r="V2126" s="280"/>
      <c r="W2126" s="197"/>
      <c r="X2126" s="289"/>
      <c r="Y2126" s="280"/>
      <c r="Z2126" s="486"/>
      <c r="AA2126" s="595"/>
      <c r="AB2126" s="1289"/>
      <c r="AC2126" s="595"/>
      <c r="AD2126" s="658"/>
      <c r="AE2126" s="494"/>
      <c r="AF2126" s="494"/>
      <c r="AG2126" s="595"/>
      <c r="AH2126" s="595"/>
      <c r="AI2126" s="254" t="s">
        <v>4208</v>
      </c>
      <c r="AJ2126" s="303" t="s">
        <v>136</v>
      </c>
      <c r="AK2126" s="241">
        <v>4</v>
      </c>
      <c r="AL2126" s="121" t="s">
        <v>734</v>
      </c>
      <c r="AM2126" s="121" t="s">
        <v>723</v>
      </c>
      <c r="AN2126" s="199"/>
      <c r="AO2126" s="190"/>
      <c r="AR2126" s="115"/>
    </row>
    <row r="2127" spans="1:46" ht="39" customHeight="1" x14ac:dyDescent="0.3">
      <c r="A2127" s="1468">
        <v>2126</v>
      </c>
      <c r="B2127" s="161">
        <v>2</v>
      </c>
      <c r="C2127" s="504" t="s">
        <v>413</v>
      </c>
      <c r="D2127" s="640"/>
      <c r="E2127" s="640"/>
      <c r="F2127" s="640"/>
      <c r="G2127" s="626" t="s">
        <v>449</v>
      </c>
      <c r="H2127" s="262" t="s">
        <v>87</v>
      </c>
      <c r="I2127" s="640"/>
      <c r="J2127" s="245" t="s">
        <v>561</v>
      </c>
      <c r="K2127" s="288" t="s">
        <v>2782</v>
      </c>
      <c r="L2127" s="277" t="s">
        <v>4641</v>
      </c>
      <c r="M2127" s="277" t="s">
        <v>4641</v>
      </c>
      <c r="N2127" s="640"/>
      <c r="O2127" s="626" t="s">
        <v>4708</v>
      </c>
      <c r="P2127" s="640"/>
      <c r="Q2127" s="301" t="s">
        <v>87</v>
      </c>
      <c r="R2127" s="1494" t="s">
        <v>4656</v>
      </c>
      <c r="S2127" s="279">
        <v>38630</v>
      </c>
      <c r="T2127" s="640"/>
      <c r="U2127" s="250"/>
      <c r="V2127" s="216"/>
      <c r="W2127" s="1284"/>
      <c r="X2127" s="1284"/>
      <c r="Y2127" s="288"/>
      <c r="Z2127" s="612"/>
      <c r="AA2127" s="640"/>
      <c r="AB2127" s="836" t="s">
        <v>4709</v>
      </c>
      <c r="AC2127" s="1284" t="s">
        <v>4226</v>
      </c>
      <c r="AD2127" s="281" t="s">
        <v>467</v>
      </c>
      <c r="AE2127" s="494">
        <v>45238</v>
      </c>
      <c r="AF2127" s="494">
        <v>45603</v>
      </c>
      <c r="AG2127" s="640"/>
      <c r="AH2127" s="640"/>
      <c r="AI2127" s="254" t="s">
        <v>4208</v>
      </c>
      <c r="AJ2127" s="303" t="s">
        <v>136</v>
      </c>
      <c r="AK2127" s="471">
        <v>4</v>
      </c>
      <c r="AL2127" s="166" t="s">
        <v>734</v>
      </c>
      <c r="AM2127" s="166" t="s">
        <v>723</v>
      </c>
      <c r="AN2127" s="147" t="s">
        <v>5781</v>
      </c>
      <c r="AO2127" s="194"/>
      <c r="AR2127" s="115"/>
      <c r="AS2127" s="115"/>
      <c r="AT2127" s="115"/>
    </row>
    <row r="2128" spans="1:46" s="827" customFormat="1" ht="39" customHeight="1" x14ac:dyDescent="0.3">
      <c r="A2128" s="1468">
        <v>2127</v>
      </c>
      <c r="B2128" s="161"/>
      <c r="C2128" s="659"/>
      <c r="D2128" s="637"/>
      <c r="E2128" s="637"/>
      <c r="F2128" s="637"/>
      <c r="G2128" s="602"/>
      <c r="H2128" s="602"/>
      <c r="I2128" s="637"/>
      <c r="J2128" s="637"/>
      <c r="K2128" s="637"/>
      <c r="L2128" s="602"/>
      <c r="M2128" s="602"/>
      <c r="N2128" s="637"/>
      <c r="O2128" s="602"/>
      <c r="P2128" s="230" t="s">
        <v>739</v>
      </c>
      <c r="Q2128" s="637"/>
      <c r="R2128" s="1209"/>
      <c r="S2128" s="279"/>
      <c r="T2128" s="637"/>
      <c r="U2128" s="250"/>
      <c r="V2128" s="637"/>
      <c r="W2128" s="602"/>
      <c r="X2128" s="602"/>
      <c r="Y2128" s="637"/>
      <c r="Z2128" s="637"/>
      <c r="AA2128" s="637"/>
      <c r="AB2128" s="1295"/>
      <c r="AC2128" s="637"/>
      <c r="AD2128" s="659"/>
      <c r="AE2128" s="494"/>
      <c r="AF2128" s="494"/>
      <c r="AG2128" s="637"/>
      <c r="AH2128" s="637"/>
      <c r="AI2128" s="602"/>
      <c r="AJ2128" s="602"/>
      <c r="AK2128" s="602"/>
      <c r="AL2128" s="205"/>
      <c r="AM2128" s="205"/>
      <c r="AN2128" s="202"/>
      <c r="AO2128" s="196"/>
      <c r="AP2128" s="192"/>
      <c r="AQ2128" s="192"/>
      <c r="AR2128" s="192"/>
      <c r="AS2128" s="192"/>
      <c r="AT2128" s="192"/>
    </row>
    <row r="2129" spans="1:46" ht="39" customHeight="1" x14ac:dyDescent="0.3">
      <c r="A2129" s="1468">
        <v>2128</v>
      </c>
      <c r="B2129" s="161">
        <v>5</v>
      </c>
      <c r="C2129" s="934" t="s">
        <v>407</v>
      </c>
      <c r="D2129" s="864"/>
      <c r="E2129" s="864"/>
      <c r="F2129" s="864"/>
      <c r="G2129" s="846" t="s">
        <v>740</v>
      </c>
      <c r="H2129" s="846" t="s">
        <v>132</v>
      </c>
      <c r="I2129" s="642"/>
      <c r="J2129" s="256">
        <v>403</v>
      </c>
      <c r="K2129" s="216"/>
      <c r="L2129" s="216"/>
      <c r="M2129" s="216"/>
      <c r="N2129" s="281"/>
      <c r="O2129" s="392"/>
      <c r="P2129" s="1253"/>
      <c r="Q2129" s="344"/>
      <c r="R2129" s="1503" t="s">
        <v>66</v>
      </c>
      <c r="S2129" s="279"/>
      <c r="T2129" s="250"/>
      <c r="U2129" s="197"/>
      <c r="V2129" s="197"/>
      <c r="W2129" s="250"/>
      <c r="X2129" s="197"/>
      <c r="Y2129" s="197"/>
      <c r="Z2129" s="246"/>
      <c r="AA2129" s="250"/>
      <c r="AB2129" s="299"/>
      <c r="AC2129" s="223"/>
      <c r="AD2129" s="299"/>
      <c r="AE2129" s="494"/>
      <c r="AF2129" s="494"/>
      <c r="AG2129" s="299"/>
      <c r="AH2129" s="299"/>
      <c r="AI2129" s="296"/>
      <c r="AJ2129" s="491"/>
      <c r="AK2129" s="846">
        <v>3</v>
      </c>
      <c r="AL2129" s="169" t="s">
        <v>734</v>
      </c>
      <c r="AM2129" s="169" t="s">
        <v>723</v>
      </c>
      <c r="AN2129" s="200"/>
      <c r="AO2129" s="193"/>
      <c r="AR2129" s="115"/>
    </row>
    <row r="2130" spans="1:46" ht="39" customHeight="1" x14ac:dyDescent="0.3">
      <c r="A2130" s="1468">
        <v>2129</v>
      </c>
      <c r="B2130" s="161">
        <v>3</v>
      </c>
      <c r="C2130" s="358" t="s">
        <v>741</v>
      </c>
      <c r="D2130" s="595"/>
      <c r="E2130" s="595"/>
      <c r="F2130" s="595"/>
      <c r="G2130" s="392" t="s">
        <v>742</v>
      </c>
      <c r="H2130" s="262" t="s">
        <v>85</v>
      </c>
      <c r="I2130" s="595"/>
      <c r="J2130" s="245" t="s">
        <v>556</v>
      </c>
      <c r="K2130" s="288" t="s">
        <v>4571</v>
      </c>
      <c r="L2130" s="277" t="s">
        <v>4641</v>
      </c>
      <c r="M2130" s="277" t="s">
        <v>4641</v>
      </c>
      <c r="N2130" s="288"/>
      <c r="O2130" s="1522" t="s">
        <v>4700</v>
      </c>
      <c r="P2130" s="247"/>
      <c r="Q2130" s="380" t="s">
        <v>87</v>
      </c>
      <c r="R2130" s="1494" t="s">
        <v>4663</v>
      </c>
      <c r="S2130" s="279">
        <v>36888</v>
      </c>
      <c r="T2130" s="257"/>
      <c r="U2130" s="250"/>
      <c r="V2130" s="216"/>
      <c r="W2130" s="1522"/>
      <c r="X2130" s="1522"/>
      <c r="Y2130" s="288"/>
      <c r="Z2130" s="612"/>
      <c r="AA2130" s="252"/>
      <c r="AB2130" s="288" t="s">
        <v>4701</v>
      </c>
      <c r="AC2130" s="1522" t="s">
        <v>946</v>
      </c>
      <c r="AD2130" s="281" t="s">
        <v>467</v>
      </c>
      <c r="AE2130" s="494">
        <v>45238</v>
      </c>
      <c r="AF2130" s="494">
        <v>45603</v>
      </c>
      <c r="AG2130" s="385"/>
      <c r="AH2130" s="281"/>
      <c r="AI2130" s="254" t="s">
        <v>4208</v>
      </c>
      <c r="AJ2130" s="303" t="s">
        <v>136</v>
      </c>
      <c r="AK2130" s="241">
        <v>4</v>
      </c>
      <c r="AL2130" s="121" t="s">
        <v>734</v>
      </c>
      <c r="AM2130" s="121" t="s">
        <v>723</v>
      </c>
      <c r="AN2130" s="199"/>
      <c r="AO2130" s="190"/>
      <c r="AR2130" s="115"/>
    </row>
    <row r="2131" spans="1:46" ht="39" customHeight="1" x14ac:dyDescent="0.3">
      <c r="A2131" s="1468">
        <v>2130</v>
      </c>
      <c r="B2131" s="161">
        <v>2</v>
      </c>
      <c r="C2131" s="1136" t="s">
        <v>411</v>
      </c>
      <c r="D2131" s="595"/>
      <c r="E2131" s="595"/>
      <c r="F2131" s="595"/>
      <c r="G2131" s="392" t="s">
        <v>743</v>
      </c>
      <c r="H2131" s="262" t="s">
        <v>87</v>
      </c>
      <c r="I2131" s="595"/>
      <c r="J2131" s="245" t="s">
        <v>561</v>
      </c>
      <c r="K2131" s="301"/>
      <c r="L2131" s="216"/>
      <c r="M2131" s="216"/>
      <c r="N2131" s="366"/>
      <c r="O2131" s="277" t="s">
        <v>3468</v>
      </c>
      <c r="P2131" s="1253" t="s">
        <v>1828</v>
      </c>
      <c r="Q2131" s="709" t="s">
        <v>132</v>
      </c>
      <c r="R2131" s="1503" t="s">
        <v>3467</v>
      </c>
      <c r="S2131" s="279">
        <v>24507</v>
      </c>
      <c r="T2131" s="289"/>
      <c r="U2131" s="251" t="s">
        <v>54</v>
      </c>
      <c r="V2131" s="197" t="s">
        <v>5512</v>
      </c>
      <c r="W2131" s="250" t="s">
        <v>56</v>
      </c>
      <c r="X2131" s="197" t="s">
        <v>57</v>
      </c>
      <c r="Y2131" s="197" t="s">
        <v>5726</v>
      </c>
      <c r="Z2131" s="246">
        <v>45272</v>
      </c>
      <c r="AA2131" s="246"/>
      <c r="AB2131" s="301"/>
      <c r="AC2131" s="223"/>
      <c r="AD2131" s="299"/>
      <c r="AE2131" s="494"/>
      <c r="AF2131" s="494"/>
      <c r="AG2131" s="282"/>
      <c r="AH2131" s="253"/>
      <c r="AI2131" s="296"/>
      <c r="AJ2131" s="491" t="s">
        <v>560</v>
      </c>
      <c r="AK2131" s="241">
        <v>4</v>
      </c>
      <c r="AL2131" s="121" t="s">
        <v>734</v>
      </c>
      <c r="AM2131" s="121" t="s">
        <v>723</v>
      </c>
      <c r="AN2131" s="199"/>
      <c r="AO2131" s="190"/>
      <c r="AR2131" s="115"/>
    </row>
    <row r="2132" spans="1:46" ht="39" customHeight="1" x14ac:dyDescent="0.3">
      <c r="A2132" s="1468">
        <v>2131</v>
      </c>
      <c r="B2132" s="161">
        <v>2</v>
      </c>
      <c r="C2132" s="1264" t="s">
        <v>413</v>
      </c>
      <c r="D2132" s="595"/>
      <c r="E2132" s="595"/>
      <c r="F2132" s="595"/>
      <c r="G2132" s="1260" t="s">
        <v>414</v>
      </c>
      <c r="H2132" s="262" t="s">
        <v>87</v>
      </c>
      <c r="I2132" s="595"/>
      <c r="J2132" s="245" t="s">
        <v>561</v>
      </c>
      <c r="K2132" s="288" t="s">
        <v>158</v>
      </c>
      <c r="L2132" s="216" t="s">
        <v>4641</v>
      </c>
      <c r="M2132" s="216" t="s">
        <v>4641</v>
      </c>
      <c r="N2132" s="595"/>
      <c r="O2132" s="1263" t="s">
        <v>4687</v>
      </c>
      <c r="P2132" s="595"/>
      <c r="Q2132" s="301" t="s">
        <v>87</v>
      </c>
      <c r="R2132" s="1494" t="s">
        <v>4660</v>
      </c>
      <c r="S2132" s="279">
        <v>37751</v>
      </c>
      <c r="T2132" s="595"/>
      <c r="U2132" s="251" t="s">
        <v>544</v>
      </c>
      <c r="V2132" s="286">
        <v>45313</v>
      </c>
      <c r="W2132" s="1260"/>
      <c r="X2132" s="1260"/>
      <c r="Y2132" s="288"/>
      <c r="Z2132" s="612"/>
      <c r="AA2132" s="595"/>
      <c r="AB2132" s="288" t="s">
        <v>4688</v>
      </c>
      <c r="AC2132" s="1263" t="s">
        <v>946</v>
      </c>
      <c r="AD2132" s="281" t="s">
        <v>467</v>
      </c>
      <c r="AE2132" s="494">
        <v>45238</v>
      </c>
      <c r="AF2132" s="494">
        <v>45603</v>
      </c>
      <c r="AG2132" s="595"/>
      <c r="AH2132" s="595"/>
      <c r="AI2132" s="254" t="s">
        <v>4208</v>
      </c>
      <c r="AJ2132" s="303" t="s">
        <v>136</v>
      </c>
      <c r="AK2132" s="241">
        <v>4</v>
      </c>
      <c r="AL2132" s="121" t="s">
        <v>734</v>
      </c>
      <c r="AM2132" s="121" t="s">
        <v>723</v>
      </c>
      <c r="AN2132" s="147" t="s">
        <v>5765</v>
      </c>
      <c r="AO2132" s="194"/>
      <c r="AR2132" s="115"/>
      <c r="AS2132" s="115"/>
      <c r="AT2132" s="115"/>
    </row>
    <row r="2133" spans="1:46" s="827" customFormat="1" ht="39" customHeight="1" x14ac:dyDescent="0.3">
      <c r="A2133" s="1468">
        <v>2132</v>
      </c>
      <c r="B2133" s="161"/>
      <c r="C2133" s="659"/>
      <c r="D2133" s="637"/>
      <c r="E2133" s="637"/>
      <c r="F2133" s="637"/>
      <c r="G2133" s="602"/>
      <c r="H2133" s="602"/>
      <c r="I2133" s="637"/>
      <c r="J2133" s="637"/>
      <c r="K2133" s="637"/>
      <c r="L2133" s="602"/>
      <c r="M2133" s="602"/>
      <c r="N2133" s="637"/>
      <c r="O2133" s="602"/>
      <c r="P2133" s="230" t="s">
        <v>744</v>
      </c>
      <c r="Q2133" s="637"/>
      <c r="R2133" s="1209"/>
      <c r="S2133" s="279"/>
      <c r="T2133" s="332"/>
      <c r="U2133" s="332"/>
      <c r="V2133" s="332"/>
      <c r="W2133" s="332"/>
      <c r="X2133" s="332"/>
      <c r="Y2133" s="332"/>
      <c r="Z2133" s="637"/>
      <c r="AA2133" s="637"/>
      <c r="AB2133" s="1295"/>
      <c r="AC2133" s="637"/>
      <c r="AD2133" s="659"/>
      <c r="AE2133" s="494"/>
      <c r="AF2133" s="494"/>
      <c r="AG2133" s="637"/>
      <c r="AH2133" s="637"/>
      <c r="AI2133" s="602"/>
      <c r="AJ2133" s="602"/>
      <c r="AK2133" s="602"/>
      <c r="AL2133" s="205"/>
      <c r="AM2133" s="205"/>
      <c r="AN2133" s="202"/>
      <c r="AO2133" s="196"/>
      <c r="AP2133" s="192"/>
      <c r="AQ2133" s="192"/>
      <c r="AR2133" s="192"/>
      <c r="AS2133" s="192"/>
      <c r="AT2133" s="192"/>
    </row>
    <row r="2134" spans="1:46" ht="39" customHeight="1" x14ac:dyDescent="0.3">
      <c r="A2134" s="1468">
        <v>2133</v>
      </c>
      <c r="B2134" s="161">
        <v>4</v>
      </c>
      <c r="C2134" s="1106" t="s">
        <v>407</v>
      </c>
      <c r="D2134" s="556"/>
      <c r="E2134" s="556"/>
      <c r="F2134" s="556"/>
      <c r="G2134" s="197" t="s">
        <v>408</v>
      </c>
      <c r="H2134" s="262" t="s">
        <v>85</v>
      </c>
      <c r="I2134" s="595"/>
      <c r="J2134" s="245" t="s">
        <v>556</v>
      </c>
      <c r="K2134" s="288" t="s">
        <v>4571</v>
      </c>
      <c r="L2134" s="216" t="s">
        <v>3959</v>
      </c>
      <c r="M2134" s="216" t="s">
        <v>3959</v>
      </c>
      <c r="N2134" s="281" t="s">
        <v>4217</v>
      </c>
      <c r="O2134" s="216" t="s">
        <v>3992</v>
      </c>
      <c r="P2134" s="300"/>
      <c r="Q2134" s="301" t="s">
        <v>87</v>
      </c>
      <c r="R2134" s="1494" t="s">
        <v>3991</v>
      </c>
      <c r="S2134" s="279">
        <v>38206</v>
      </c>
      <c r="T2134" s="289"/>
      <c r="U2134" s="250"/>
      <c r="V2134" s="197"/>
      <c r="W2134" s="250"/>
      <c r="X2134" s="250"/>
      <c r="Y2134" s="197"/>
      <c r="Z2134" s="252"/>
      <c r="AA2134" s="289"/>
      <c r="AB2134" s="288" t="s">
        <v>4319</v>
      </c>
      <c r="AC2134" s="223" t="s">
        <v>4219</v>
      </c>
      <c r="AD2134" s="299" t="s">
        <v>467</v>
      </c>
      <c r="AE2134" s="494">
        <v>45077</v>
      </c>
      <c r="AF2134" s="494">
        <v>45442</v>
      </c>
      <c r="AG2134" s="305"/>
      <c r="AH2134" s="299"/>
      <c r="AI2134" s="254" t="s">
        <v>1351</v>
      </c>
      <c r="AJ2134" s="303" t="s">
        <v>136</v>
      </c>
      <c r="AK2134" s="241">
        <v>4</v>
      </c>
      <c r="AL2134" s="121" t="s">
        <v>734</v>
      </c>
      <c r="AM2134" s="121" t="s">
        <v>723</v>
      </c>
      <c r="AN2134" s="199"/>
      <c r="AO2134" s="190"/>
      <c r="AR2134" s="115"/>
    </row>
    <row r="2135" spans="1:46" ht="39" customHeight="1" x14ac:dyDescent="0.3">
      <c r="A2135" s="1468">
        <v>2134</v>
      </c>
      <c r="B2135" s="161">
        <v>3</v>
      </c>
      <c r="C2135" s="356" t="s">
        <v>409</v>
      </c>
      <c r="D2135" s="595"/>
      <c r="E2135" s="595"/>
      <c r="F2135" s="595"/>
      <c r="G2135" s="392" t="s">
        <v>410</v>
      </c>
      <c r="H2135" s="262" t="s">
        <v>87</v>
      </c>
      <c r="I2135" s="595"/>
      <c r="J2135" s="245" t="s">
        <v>561</v>
      </c>
      <c r="K2135" s="288" t="s">
        <v>158</v>
      </c>
      <c r="L2135" s="216" t="s">
        <v>3959</v>
      </c>
      <c r="M2135" s="216" t="s">
        <v>3959</v>
      </c>
      <c r="N2135" s="281" t="s">
        <v>4217</v>
      </c>
      <c r="O2135" s="216" t="s">
        <v>3985</v>
      </c>
      <c r="P2135" s="247"/>
      <c r="Q2135" s="301" t="s">
        <v>87</v>
      </c>
      <c r="R2135" s="1494" t="s">
        <v>3984</v>
      </c>
      <c r="S2135" s="279">
        <v>38104</v>
      </c>
      <c r="T2135" s="289"/>
      <c r="U2135" s="250"/>
      <c r="V2135" s="197"/>
      <c r="W2135" s="197"/>
      <c r="X2135" s="197"/>
      <c r="Y2135" s="197"/>
      <c r="Z2135" s="246"/>
      <c r="AA2135" s="246"/>
      <c r="AB2135" s="288" t="s">
        <v>4342</v>
      </c>
      <c r="AC2135" s="223" t="s">
        <v>946</v>
      </c>
      <c r="AD2135" s="299" t="s">
        <v>467</v>
      </c>
      <c r="AE2135" s="494">
        <v>45106</v>
      </c>
      <c r="AF2135" s="494">
        <v>45471</v>
      </c>
      <c r="AG2135" s="282"/>
      <c r="AH2135" s="253"/>
      <c r="AI2135" s="254" t="s">
        <v>1351</v>
      </c>
      <c r="AJ2135" s="303" t="s">
        <v>136</v>
      </c>
      <c r="AK2135" s="241">
        <v>4</v>
      </c>
      <c r="AL2135" s="121" t="s">
        <v>734</v>
      </c>
      <c r="AM2135" s="121" t="s">
        <v>723</v>
      </c>
      <c r="AN2135" s="199"/>
      <c r="AO2135" s="190"/>
      <c r="AR2135" s="115"/>
    </row>
    <row r="2136" spans="1:46" ht="39" customHeight="1" x14ac:dyDescent="0.3">
      <c r="A2136" s="1468">
        <v>2135</v>
      </c>
      <c r="B2136" s="161">
        <v>2</v>
      </c>
      <c r="C2136" s="520" t="s">
        <v>411</v>
      </c>
      <c r="D2136" s="640"/>
      <c r="E2136" s="640"/>
      <c r="F2136" s="640"/>
      <c r="G2136" s="626" t="s">
        <v>412</v>
      </c>
      <c r="H2136" s="262" t="s">
        <v>87</v>
      </c>
      <c r="I2136" s="640"/>
      <c r="J2136" s="245" t="s">
        <v>561</v>
      </c>
      <c r="K2136" s="595"/>
      <c r="L2136" s="1286"/>
      <c r="M2136" s="1286"/>
      <c r="N2136" s="595"/>
      <c r="O2136" s="277" t="s">
        <v>4599</v>
      </c>
      <c r="P2136" s="715" t="s">
        <v>1828</v>
      </c>
      <c r="Q2136" s="709" t="s">
        <v>570</v>
      </c>
      <c r="R2136" s="1503" t="s">
        <v>4598</v>
      </c>
      <c r="S2136" s="279">
        <v>33100</v>
      </c>
      <c r="T2136" s="595"/>
      <c r="U2136" s="251" t="s">
        <v>54</v>
      </c>
      <c r="V2136" s="983" t="s">
        <v>5857</v>
      </c>
      <c r="W2136" s="250" t="s">
        <v>56</v>
      </c>
      <c r="X2136" s="197" t="s">
        <v>57</v>
      </c>
      <c r="Y2136" s="981" t="s">
        <v>5859</v>
      </c>
      <c r="Z2136" s="252">
        <v>45300</v>
      </c>
      <c r="AA2136" s="252"/>
      <c r="AB2136" s="1289"/>
      <c r="AC2136" s="595"/>
      <c r="AD2136" s="658"/>
      <c r="AE2136" s="494"/>
      <c r="AF2136" s="494"/>
      <c r="AG2136" s="595"/>
      <c r="AH2136" s="595"/>
      <c r="AI2136" s="1286"/>
      <c r="AJ2136" s="491" t="s">
        <v>560</v>
      </c>
      <c r="AK2136" s="471">
        <v>4</v>
      </c>
      <c r="AL2136" s="166" t="s">
        <v>734</v>
      </c>
      <c r="AM2136" s="166" t="s">
        <v>723</v>
      </c>
      <c r="AN2136" s="201"/>
      <c r="AO2136" s="194"/>
      <c r="AR2136" s="115"/>
    </row>
    <row r="2137" spans="1:46" ht="39" customHeight="1" x14ac:dyDescent="0.3">
      <c r="A2137" s="1468">
        <v>2136</v>
      </c>
      <c r="B2137" s="161">
        <v>2</v>
      </c>
      <c r="C2137" s="504" t="s">
        <v>413</v>
      </c>
      <c r="D2137" s="640"/>
      <c r="E2137" s="640"/>
      <c r="F2137" s="640"/>
      <c r="G2137" s="626" t="s">
        <v>354</v>
      </c>
      <c r="H2137" s="262" t="s">
        <v>87</v>
      </c>
      <c r="I2137" s="640"/>
      <c r="J2137" s="245" t="s">
        <v>561</v>
      </c>
      <c r="K2137" s="288" t="s">
        <v>4571</v>
      </c>
      <c r="L2137" s="277" t="s">
        <v>4641</v>
      </c>
      <c r="M2137" s="277" t="s">
        <v>4641</v>
      </c>
      <c r="N2137" s="366"/>
      <c r="O2137" s="1263" t="s">
        <v>5145</v>
      </c>
      <c r="P2137" s="247"/>
      <c r="Q2137" s="301" t="s">
        <v>87</v>
      </c>
      <c r="R2137" s="1494" t="s">
        <v>4662</v>
      </c>
      <c r="S2137" s="279">
        <v>38100</v>
      </c>
      <c r="T2137" s="396"/>
      <c r="U2137" s="1487" t="s">
        <v>54</v>
      </c>
      <c r="V2137" s="245" t="s">
        <v>6155</v>
      </c>
      <c r="W2137" s="414" t="s">
        <v>6158</v>
      </c>
      <c r="X2137" s="268" t="s">
        <v>6157</v>
      </c>
      <c r="Y2137" s="1108" t="s">
        <v>6156</v>
      </c>
      <c r="Z2137" s="405">
        <v>45323</v>
      </c>
      <c r="AA2137" s="450"/>
      <c r="AB2137" s="288" t="s">
        <v>4690</v>
      </c>
      <c r="AC2137" s="1263" t="s">
        <v>946</v>
      </c>
      <c r="AD2137" s="281" t="s">
        <v>467</v>
      </c>
      <c r="AE2137" s="494">
        <v>45238</v>
      </c>
      <c r="AF2137" s="494">
        <v>45603</v>
      </c>
      <c r="AG2137" s="450"/>
      <c r="AH2137" s="438"/>
      <c r="AI2137" s="254" t="s">
        <v>4208</v>
      </c>
      <c r="AJ2137" s="303" t="s">
        <v>136</v>
      </c>
      <c r="AK2137" s="471">
        <v>4</v>
      </c>
      <c r="AL2137" s="166" t="s">
        <v>734</v>
      </c>
      <c r="AM2137" s="166" t="s">
        <v>723</v>
      </c>
      <c r="AN2137" s="147" t="s">
        <v>5782</v>
      </c>
      <c r="AO2137" s="194"/>
      <c r="AR2137" s="115"/>
      <c r="AS2137" s="115"/>
      <c r="AT2137" s="115"/>
    </row>
    <row r="2138" spans="1:46" s="827" customFormat="1" ht="39" customHeight="1" x14ac:dyDescent="0.3">
      <c r="A2138" s="1468">
        <v>2137</v>
      </c>
      <c r="B2138" s="161"/>
      <c r="C2138" s="723"/>
      <c r="D2138" s="637"/>
      <c r="E2138" s="637"/>
      <c r="F2138" s="637"/>
      <c r="G2138" s="602"/>
      <c r="H2138" s="602"/>
      <c r="I2138" s="637"/>
      <c r="J2138" s="637"/>
      <c r="K2138" s="637"/>
      <c r="L2138" s="602"/>
      <c r="M2138" s="602"/>
      <c r="N2138" s="637"/>
      <c r="O2138" s="602"/>
      <c r="P2138" s="230" t="s">
        <v>745</v>
      </c>
      <c r="Q2138" s="637"/>
      <c r="R2138" s="1209"/>
      <c r="S2138" s="279"/>
      <c r="T2138" s="637"/>
      <c r="U2138" s="250"/>
      <c r="V2138" s="637"/>
      <c r="W2138" s="602"/>
      <c r="X2138" s="602"/>
      <c r="Y2138" s="637"/>
      <c r="Z2138" s="637"/>
      <c r="AA2138" s="637"/>
      <c r="AB2138" s="1295"/>
      <c r="AC2138" s="637"/>
      <c r="AD2138" s="659"/>
      <c r="AE2138" s="494"/>
      <c r="AF2138" s="494"/>
      <c r="AG2138" s="637"/>
      <c r="AH2138" s="637"/>
      <c r="AI2138" s="602"/>
      <c r="AJ2138" s="602"/>
      <c r="AK2138" s="602"/>
      <c r="AL2138" s="205"/>
      <c r="AM2138" s="205"/>
      <c r="AN2138" s="202"/>
      <c r="AO2138" s="196"/>
      <c r="AP2138" s="192"/>
      <c r="AQ2138" s="192"/>
      <c r="AR2138" s="192"/>
      <c r="AS2138" s="192"/>
      <c r="AT2138" s="192"/>
    </row>
    <row r="2139" spans="1:46" ht="39" customHeight="1" x14ac:dyDescent="0.3">
      <c r="A2139" s="1468">
        <v>2138</v>
      </c>
      <c r="B2139" s="161">
        <v>4</v>
      </c>
      <c r="C2139" s="521" t="s">
        <v>407</v>
      </c>
      <c r="D2139" s="642"/>
      <c r="E2139" s="642"/>
      <c r="F2139" s="642"/>
      <c r="G2139" s="280" t="s">
        <v>408</v>
      </c>
      <c r="H2139" s="262" t="s">
        <v>85</v>
      </c>
      <c r="I2139" s="642"/>
      <c r="J2139" s="245" t="s">
        <v>556</v>
      </c>
      <c r="K2139" s="715"/>
      <c r="L2139" s="397"/>
      <c r="M2139" s="397"/>
      <c r="N2139" s="715"/>
      <c r="O2139" s="277"/>
      <c r="P2139" s="1253"/>
      <c r="Q2139" s="709"/>
      <c r="R2139" s="360" t="s">
        <v>66</v>
      </c>
      <c r="S2139" s="279"/>
      <c r="T2139" s="452"/>
      <c r="U2139" s="197"/>
      <c r="V2139" s="197"/>
      <c r="W2139" s="250"/>
      <c r="X2139" s="197"/>
      <c r="Y2139" s="197"/>
      <c r="Z2139" s="246"/>
      <c r="AA2139" s="715"/>
      <c r="AB2139" s="715"/>
      <c r="AC2139" s="488"/>
      <c r="AD2139" s="452"/>
      <c r="AE2139" s="494"/>
      <c r="AF2139" s="494"/>
      <c r="AG2139" s="715"/>
      <c r="AH2139" s="489"/>
      <c r="AI2139" s="721"/>
      <c r="AJ2139" s="491"/>
      <c r="AK2139" s="476">
        <v>4</v>
      </c>
      <c r="AL2139" s="169" t="s">
        <v>734</v>
      </c>
      <c r="AM2139" s="169" t="s">
        <v>723</v>
      </c>
      <c r="AN2139" s="200"/>
      <c r="AO2139" s="193"/>
      <c r="AR2139" s="115"/>
    </row>
    <row r="2140" spans="1:46" ht="39" customHeight="1" x14ac:dyDescent="0.3">
      <c r="A2140" s="1468">
        <v>2139</v>
      </c>
      <c r="B2140" s="161">
        <v>3</v>
      </c>
      <c r="C2140" s="356" t="s">
        <v>409</v>
      </c>
      <c r="D2140" s="595"/>
      <c r="E2140" s="595"/>
      <c r="F2140" s="595"/>
      <c r="G2140" s="392" t="s">
        <v>410</v>
      </c>
      <c r="H2140" s="262" t="s">
        <v>87</v>
      </c>
      <c r="I2140" s="595"/>
      <c r="J2140" s="245" t="s">
        <v>561</v>
      </c>
      <c r="K2140" s="288" t="s">
        <v>158</v>
      </c>
      <c r="L2140" s="216" t="s">
        <v>3959</v>
      </c>
      <c r="M2140" s="216" t="s">
        <v>3959</v>
      </c>
      <c r="N2140" s="281" t="s">
        <v>4217</v>
      </c>
      <c r="O2140" s="392" t="s">
        <v>3988</v>
      </c>
      <c r="P2140" s="402"/>
      <c r="Q2140" s="380" t="s">
        <v>3986</v>
      </c>
      <c r="R2140" s="1494" t="s">
        <v>3987</v>
      </c>
      <c r="S2140" s="279">
        <v>37558</v>
      </c>
      <c r="T2140" s="197"/>
      <c r="U2140" s="250"/>
      <c r="V2140" s="241"/>
      <c r="W2140" s="197"/>
      <c r="X2140" s="197"/>
      <c r="Y2140" s="245"/>
      <c r="Z2140" s="246"/>
      <c r="AA2140" s="246"/>
      <c r="AB2140" s="288" t="s">
        <v>4330</v>
      </c>
      <c r="AC2140" s="223" t="s">
        <v>946</v>
      </c>
      <c r="AD2140" s="299" t="s">
        <v>467</v>
      </c>
      <c r="AE2140" s="494">
        <v>45106</v>
      </c>
      <c r="AF2140" s="494">
        <v>45471</v>
      </c>
      <c r="AG2140" s="241"/>
      <c r="AH2140" s="283"/>
      <c r="AI2140" s="254" t="s">
        <v>1351</v>
      </c>
      <c r="AJ2140" s="303" t="s">
        <v>136</v>
      </c>
      <c r="AK2140" s="241">
        <v>4</v>
      </c>
      <c r="AL2140" s="121" t="s">
        <v>734</v>
      </c>
      <c r="AM2140" s="121" t="s">
        <v>723</v>
      </c>
      <c r="AN2140" s="199"/>
      <c r="AO2140" s="190"/>
      <c r="AR2140" s="115"/>
    </row>
    <row r="2141" spans="1:46" ht="39" customHeight="1" x14ac:dyDescent="0.3">
      <c r="A2141" s="1468">
        <v>2140</v>
      </c>
      <c r="B2141" s="161">
        <v>2</v>
      </c>
      <c r="C2141" s="358" t="s">
        <v>411</v>
      </c>
      <c r="D2141" s="595"/>
      <c r="E2141" s="595"/>
      <c r="F2141" s="595"/>
      <c r="G2141" s="392" t="s">
        <v>412</v>
      </c>
      <c r="H2141" s="262" t="s">
        <v>87</v>
      </c>
      <c r="I2141" s="595"/>
      <c r="J2141" s="245" t="s">
        <v>561</v>
      </c>
      <c r="K2141" s="216"/>
      <c r="L2141" s="281" t="s">
        <v>1527</v>
      </c>
      <c r="M2141" s="281" t="s">
        <v>1676</v>
      </c>
      <c r="N2141" s="366"/>
      <c r="O2141" s="392" t="s">
        <v>2936</v>
      </c>
      <c r="P2141" s="402"/>
      <c r="Q2141" s="380" t="s">
        <v>87</v>
      </c>
      <c r="R2141" s="1494" t="s">
        <v>1728</v>
      </c>
      <c r="S2141" s="279"/>
      <c r="T2141" s="197"/>
      <c r="U2141" s="250"/>
      <c r="V2141" s="241"/>
      <c r="W2141" s="197" t="s">
        <v>3583</v>
      </c>
      <c r="X2141" s="197"/>
      <c r="Y2141" s="245"/>
      <c r="Z2141" s="246"/>
      <c r="AA2141" s="246"/>
      <c r="AB2141" s="361"/>
      <c r="AC2141" s="223" t="s">
        <v>946</v>
      </c>
      <c r="AD2141" s="376"/>
      <c r="AE2141" s="494"/>
      <c r="AF2141" s="494"/>
      <c r="AG2141" s="241"/>
      <c r="AH2141" s="283"/>
      <c r="AI2141" s="254" t="s">
        <v>1351</v>
      </c>
      <c r="AJ2141" s="303" t="s">
        <v>136</v>
      </c>
      <c r="AK2141" s="241">
        <v>4</v>
      </c>
      <c r="AL2141" s="121" t="s">
        <v>734</v>
      </c>
      <c r="AM2141" s="121" t="s">
        <v>723</v>
      </c>
      <c r="AN2141" s="199"/>
      <c r="AO2141" s="190"/>
      <c r="AR2141" s="115"/>
    </row>
    <row r="2142" spans="1:46" ht="39" customHeight="1" x14ac:dyDescent="0.3">
      <c r="A2142" s="1468">
        <v>2141</v>
      </c>
      <c r="B2142" s="161">
        <v>2</v>
      </c>
      <c r="C2142" s="504" t="s">
        <v>413</v>
      </c>
      <c r="D2142" s="640"/>
      <c r="E2142" s="640"/>
      <c r="F2142" s="640"/>
      <c r="G2142" s="626" t="s">
        <v>414</v>
      </c>
      <c r="H2142" s="262" t="s">
        <v>87</v>
      </c>
      <c r="I2142" s="640"/>
      <c r="J2142" s="245" t="s">
        <v>561</v>
      </c>
      <c r="K2142" s="288"/>
      <c r="L2142" s="277"/>
      <c r="M2142" s="277"/>
      <c r="N2142" s="288"/>
      <c r="O2142" s="1263"/>
      <c r="P2142" s="247"/>
      <c r="Q2142" s="380"/>
      <c r="R2142" s="1494"/>
      <c r="S2142" s="279"/>
      <c r="T2142" s="257"/>
      <c r="U2142" s="250"/>
      <c r="V2142" s="216"/>
      <c r="W2142" s="1260"/>
      <c r="X2142" s="1260"/>
      <c r="Y2142" s="288"/>
      <c r="Z2142" s="612"/>
      <c r="AA2142" s="252"/>
      <c r="AB2142" s="288"/>
      <c r="AC2142" s="1263"/>
      <c r="AD2142" s="281"/>
      <c r="AE2142" s="494"/>
      <c r="AF2142" s="494"/>
      <c r="AG2142" s="385"/>
      <c r="AH2142" s="281"/>
      <c r="AI2142" s="254"/>
      <c r="AJ2142" s="303"/>
      <c r="AK2142" s="471">
        <v>4</v>
      </c>
      <c r="AL2142" s="166" t="s">
        <v>734</v>
      </c>
      <c r="AM2142" s="166" t="s">
        <v>723</v>
      </c>
      <c r="AN2142" s="147" t="s">
        <v>5765</v>
      </c>
      <c r="AO2142" s="194"/>
      <c r="AR2142" s="115"/>
      <c r="AS2142" s="115"/>
      <c r="AT2142" s="115"/>
    </row>
    <row r="2143" spans="1:46" s="827" customFormat="1" ht="39" customHeight="1" x14ac:dyDescent="0.3">
      <c r="A2143" s="1468">
        <v>2142</v>
      </c>
      <c r="B2143" s="161"/>
      <c r="C2143" s="723"/>
      <c r="D2143" s="637"/>
      <c r="E2143" s="637"/>
      <c r="F2143" s="637"/>
      <c r="G2143" s="602"/>
      <c r="H2143" s="602"/>
      <c r="I2143" s="637"/>
      <c r="J2143" s="637"/>
      <c r="K2143" s="637"/>
      <c r="L2143" s="602"/>
      <c r="M2143" s="602"/>
      <c r="N2143" s="637"/>
      <c r="O2143" s="602"/>
      <c r="P2143" s="230" t="s">
        <v>746</v>
      </c>
      <c r="Q2143" s="637"/>
      <c r="R2143" s="1209"/>
      <c r="S2143" s="279"/>
      <c r="T2143" s="637"/>
      <c r="U2143" s="250"/>
      <c r="V2143" s="637"/>
      <c r="W2143" s="602"/>
      <c r="X2143" s="602"/>
      <c r="Y2143" s="637"/>
      <c r="Z2143" s="637"/>
      <c r="AA2143" s="637"/>
      <c r="AB2143" s="1295"/>
      <c r="AC2143" s="637"/>
      <c r="AD2143" s="659"/>
      <c r="AE2143" s="494"/>
      <c r="AF2143" s="494"/>
      <c r="AG2143" s="637"/>
      <c r="AH2143" s="637"/>
      <c r="AI2143" s="602"/>
      <c r="AJ2143" s="602"/>
      <c r="AK2143" s="602"/>
      <c r="AL2143" s="205"/>
      <c r="AM2143" s="205"/>
      <c r="AN2143" s="202"/>
      <c r="AO2143" s="196"/>
      <c r="AP2143" s="192"/>
      <c r="AQ2143" s="192"/>
      <c r="AR2143" s="192"/>
      <c r="AS2143" s="192"/>
      <c r="AT2143" s="192"/>
    </row>
    <row r="2144" spans="1:46" ht="39" customHeight="1" x14ac:dyDescent="0.3">
      <c r="A2144" s="1468">
        <v>2143</v>
      </c>
      <c r="B2144" s="161">
        <v>4</v>
      </c>
      <c r="C2144" s="521" t="s">
        <v>407</v>
      </c>
      <c r="D2144" s="642"/>
      <c r="E2144" s="642"/>
      <c r="F2144" s="642"/>
      <c r="G2144" s="280" t="s">
        <v>408</v>
      </c>
      <c r="H2144" s="262" t="s">
        <v>85</v>
      </c>
      <c r="I2144" s="642"/>
      <c r="J2144" s="245" t="s">
        <v>556</v>
      </c>
      <c r="K2144" s="756"/>
      <c r="L2144" s="277" t="s">
        <v>6071</v>
      </c>
      <c r="M2144" s="277" t="s">
        <v>6071</v>
      </c>
      <c r="N2144" s="441"/>
      <c r="O2144" s="277" t="s">
        <v>6208</v>
      </c>
      <c r="P2144" s="905"/>
      <c r="Q2144" s="1495" t="s">
        <v>87</v>
      </c>
      <c r="R2144" s="1494" t="s">
        <v>6077</v>
      </c>
      <c r="S2144" s="279">
        <v>38123</v>
      </c>
      <c r="T2144" s="443"/>
      <c r="U2144" s="250"/>
      <c r="V2144" s="280"/>
      <c r="W2144" s="280"/>
      <c r="X2144" s="280"/>
      <c r="Y2144" s="280"/>
      <c r="Z2144" s="486"/>
      <c r="AA2144" s="486"/>
      <c r="AB2144" s="756"/>
      <c r="AC2144" s="488"/>
      <c r="AD2144" s="756"/>
      <c r="AE2144" s="494"/>
      <c r="AF2144" s="494"/>
      <c r="AG2144" s="625"/>
      <c r="AH2144" s="489"/>
      <c r="AI2144" s="712" t="s">
        <v>4208</v>
      </c>
      <c r="AJ2144" s="507" t="s">
        <v>136</v>
      </c>
      <c r="AK2144" s="846">
        <v>4</v>
      </c>
      <c r="AL2144" s="169" t="s">
        <v>734</v>
      </c>
      <c r="AM2144" s="169" t="s">
        <v>723</v>
      </c>
      <c r="AN2144" s="200"/>
      <c r="AO2144" s="193"/>
      <c r="AR2144" s="115"/>
    </row>
    <row r="2145" spans="1:46" ht="39" customHeight="1" x14ac:dyDescent="0.3">
      <c r="A2145" s="1468">
        <v>2144</v>
      </c>
      <c r="B2145" s="161">
        <v>3</v>
      </c>
      <c r="C2145" s="356" t="s">
        <v>409</v>
      </c>
      <c r="D2145" s="595"/>
      <c r="E2145" s="595"/>
      <c r="F2145" s="595"/>
      <c r="G2145" s="392" t="s">
        <v>410</v>
      </c>
      <c r="H2145" s="262" t="s">
        <v>87</v>
      </c>
      <c r="I2145" s="595"/>
      <c r="J2145" s="245" t="s">
        <v>561</v>
      </c>
      <c r="K2145" s="288" t="s">
        <v>158</v>
      </c>
      <c r="L2145" s="216" t="s">
        <v>3959</v>
      </c>
      <c r="M2145" s="216" t="s">
        <v>3959</v>
      </c>
      <c r="N2145" s="281" t="s">
        <v>4217</v>
      </c>
      <c r="O2145" s="216" t="s">
        <v>3990</v>
      </c>
      <c r="P2145" s="684"/>
      <c r="Q2145" s="380" t="s">
        <v>87</v>
      </c>
      <c r="R2145" s="1494" t="s">
        <v>3989</v>
      </c>
      <c r="S2145" s="279">
        <v>38075</v>
      </c>
      <c r="T2145" s="684"/>
      <c r="U2145" s="250"/>
      <c r="V2145" s="684"/>
      <c r="W2145" s="197" t="s">
        <v>3587</v>
      </c>
      <c r="X2145" s="685"/>
      <c r="Y2145" s="684"/>
      <c r="Z2145" s="684"/>
      <c r="AA2145" s="684"/>
      <c r="AB2145" s="288" t="s">
        <v>4271</v>
      </c>
      <c r="AC2145" s="223" t="s">
        <v>946</v>
      </c>
      <c r="AD2145" s="299" t="s">
        <v>467</v>
      </c>
      <c r="AE2145" s="494">
        <v>45104</v>
      </c>
      <c r="AF2145" s="494">
        <v>45469</v>
      </c>
      <c r="AG2145" s="684"/>
      <c r="AH2145" s="684"/>
      <c r="AI2145" s="254" t="s">
        <v>1351</v>
      </c>
      <c r="AJ2145" s="303" t="s">
        <v>136</v>
      </c>
      <c r="AK2145" s="241">
        <v>4</v>
      </c>
      <c r="AL2145" s="121" t="s">
        <v>734</v>
      </c>
      <c r="AM2145" s="121" t="s">
        <v>723</v>
      </c>
      <c r="AN2145" s="199"/>
      <c r="AO2145" s="190"/>
      <c r="AR2145" s="115"/>
    </row>
    <row r="2146" spans="1:46" ht="39" customHeight="1" x14ac:dyDescent="0.3">
      <c r="A2146" s="1468">
        <v>2145</v>
      </c>
      <c r="B2146" s="161">
        <v>2</v>
      </c>
      <c r="C2146" s="358" t="s">
        <v>411</v>
      </c>
      <c r="D2146" s="595"/>
      <c r="E2146" s="595"/>
      <c r="F2146" s="595"/>
      <c r="G2146" s="392" t="s">
        <v>412</v>
      </c>
      <c r="H2146" s="262" t="s">
        <v>87</v>
      </c>
      <c r="I2146" s="595"/>
      <c r="J2146" s="245" t="s">
        <v>561</v>
      </c>
      <c r="K2146" s="288" t="s">
        <v>158</v>
      </c>
      <c r="L2146" s="301" t="s">
        <v>3904</v>
      </c>
      <c r="M2146" s="301" t="s">
        <v>3904</v>
      </c>
      <c r="N2146" s="281" t="s">
        <v>4217</v>
      </c>
      <c r="O2146" s="216" t="s">
        <v>3888</v>
      </c>
      <c r="P2146" s="684"/>
      <c r="Q2146" s="380" t="s">
        <v>293</v>
      </c>
      <c r="R2146" s="1494" t="s">
        <v>3887</v>
      </c>
      <c r="S2146" s="279">
        <v>38020</v>
      </c>
      <c r="T2146" s="684"/>
      <c r="U2146" s="250"/>
      <c r="V2146" s="684"/>
      <c r="W2146" s="1235"/>
      <c r="X2146" s="685"/>
      <c r="Y2146" s="684"/>
      <c r="Z2146" s="684"/>
      <c r="AA2146" s="684"/>
      <c r="AB2146" s="288" t="s">
        <v>4242</v>
      </c>
      <c r="AC2146" s="223" t="s">
        <v>946</v>
      </c>
      <c r="AD2146" s="299" t="s">
        <v>467</v>
      </c>
      <c r="AE2146" s="494">
        <v>45099</v>
      </c>
      <c r="AF2146" s="494">
        <v>45464</v>
      </c>
      <c r="AG2146" s="684"/>
      <c r="AH2146" s="684"/>
      <c r="AI2146" s="296" t="s">
        <v>1351</v>
      </c>
      <c r="AJ2146" s="303" t="s">
        <v>136</v>
      </c>
      <c r="AK2146" s="241">
        <v>4</v>
      </c>
      <c r="AL2146" s="121" t="s">
        <v>734</v>
      </c>
      <c r="AM2146" s="121" t="s">
        <v>723</v>
      </c>
      <c r="AN2146" s="199"/>
      <c r="AO2146" s="190"/>
      <c r="AR2146" s="115"/>
    </row>
    <row r="2147" spans="1:46" ht="39" customHeight="1" x14ac:dyDescent="0.3">
      <c r="A2147" s="1468">
        <v>2146</v>
      </c>
      <c r="B2147" s="161">
        <v>2</v>
      </c>
      <c r="C2147" s="504" t="s">
        <v>413</v>
      </c>
      <c r="D2147" s="640"/>
      <c r="E2147" s="640"/>
      <c r="F2147" s="640"/>
      <c r="G2147" s="626" t="s">
        <v>414</v>
      </c>
      <c r="H2147" s="262" t="s">
        <v>87</v>
      </c>
      <c r="I2147" s="640"/>
      <c r="J2147" s="245" t="s">
        <v>561</v>
      </c>
      <c r="K2147" s="288" t="s">
        <v>4731</v>
      </c>
      <c r="L2147" s="277" t="s">
        <v>4641</v>
      </c>
      <c r="M2147" s="277" t="s">
        <v>4641</v>
      </c>
      <c r="N2147" s="450"/>
      <c r="O2147" s="1263" t="s">
        <v>4706</v>
      </c>
      <c r="P2147" s="450"/>
      <c r="Q2147" s="380" t="s">
        <v>293</v>
      </c>
      <c r="R2147" s="1494" t="s">
        <v>4666</v>
      </c>
      <c r="S2147" s="279">
        <v>37688</v>
      </c>
      <c r="T2147" s="396"/>
      <c r="U2147" s="251" t="s">
        <v>54</v>
      </c>
      <c r="V2147" s="216" t="s">
        <v>5830</v>
      </c>
      <c r="W2147" s="1260" t="s">
        <v>5514</v>
      </c>
      <c r="X2147" s="1260" t="s">
        <v>475</v>
      </c>
      <c r="Y2147" s="981" t="s">
        <v>5917</v>
      </c>
      <c r="Z2147" s="612">
        <v>45292</v>
      </c>
      <c r="AA2147" s="396">
        <v>45310</v>
      </c>
      <c r="AB2147" s="288" t="s">
        <v>4707</v>
      </c>
      <c r="AC2147" s="1263" t="s">
        <v>946</v>
      </c>
      <c r="AD2147" s="281" t="s">
        <v>467</v>
      </c>
      <c r="AE2147" s="494">
        <v>45239</v>
      </c>
      <c r="AF2147" s="494">
        <v>45604</v>
      </c>
      <c r="AG2147" s="450"/>
      <c r="AH2147" s="438"/>
      <c r="AI2147" s="254" t="s">
        <v>4208</v>
      </c>
      <c r="AJ2147" s="303" t="s">
        <v>136</v>
      </c>
      <c r="AK2147" s="471">
        <v>4</v>
      </c>
      <c r="AL2147" s="166" t="s">
        <v>734</v>
      </c>
      <c r="AM2147" s="166" t="s">
        <v>723</v>
      </c>
      <c r="AN2147" s="147" t="s">
        <v>5765</v>
      </c>
      <c r="AO2147" s="194"/>
      <c r="AR2147" s="115"/>
      <c r="AS2147" s="115"/>
      <c r="AT2147" s="115"/>
    </row>
    <row r="2148" spans="1:46" s="827" customFormat="1" ht="39" customHeight="1" x14ac:dyDescent="0.3">
      <c r="A2148" s="1468">
        <v>2147</v>
      </c>
      <c r="B2148" s="161"/>
      <c r="C2148" s="723"/>
      <c r="D2148" s="637"/>
      <c r="E2148" s="637"/>
      <c r="F2148" s="637"/>
      <c r="G2148" s="602"/>
      <c r="H2148" s="602"/>
      <c r="I2148" s="637"/>
      <c r="J2148" s="637"/>
      <c r="K2148" s="637"/>
      <c r="L2148" s="602"/>
      <c r="M2148" s="602"/>
      <c r="N2148" s="637"/>
      <c r="O2148" s="602"/>
      <c r="P2148" s="230" t="s">
        <v>747</v>
      </c>
      <c r="Q2148" s="637"/>
      <c r="R2148" s="1209"/>
      <c r="S2148" s="279"/>
      <c r="T2148" s="637"/>
      <c r="U2148" s="250"/>
      <c r="V2148" s="637"/>
      <c r="W2148" s="602"/>
      <c r="X2148" s="602"/>
      <c r="Y2148" s="637"/>
      <c r="Z2148" s="637"/>
      <c r="AA2148" s="637"/>
      <c r="AB2148" s="1295"/>
      <c r="AC2148" s="637"/>
      <c r="AD2148" s="659"/>
      <c r="AE2148" s="494"/>
      <c r="AF2148" s="494"/>
      <c r="AG2148" s="637"/>
      <c r="AH2148" s="637"/>
      <c r="AI2148" s="602"/>
      <c r="AJ2148" s="602"/>
      <c r="AK2148" s="602"/>
      <c r="AL2148" s="205"/>
      <c r="AM2148" s="205"/>
      <c r="AN2148" s="202"/>
      <c r="AO2148" s="196"/>
      <c r="AP2148" s="192"/>
      <c r="AQ2148" s="192"/>
      <c r="AR2148" s="192"/>
      <c r="AS2148" s="192"/>
      <c r="AT2148" s="192"/>
    </row>
    <row r="2149" spans="1:46" ht="39" customHeight="1" x14ac:dyDescent="0.3">
      <c r="A2149" s="1468">
        <v>2148</v>
      </c>
      <c r="B2149" s="161">
        <v>4</v>
      </c>
      <c r="C2149" s="521" t="s">
        <v>407</v>
      </c>
      <c r="D2149" s="642"/>
      <c r="E2149" s="642"/>
      <c r="F2149" s="642"/>
      <c r="G2149" s="280" t="s">
        <v>408</v>
      </c>
      <c r="H2149" s="262" t="s">
        <v>85</v>
      </c>
      <c r="I2149" s="642"/>
      <c r="J2149" s="245" t="s">
        <v>556</v>
      </c>
      <c r="K2149" s="756"/>
      <c r="L2149" s="277" t="s">
        <v>6071</v>
      </c>
      <c r="M2149" s="277" t="s">
        <v>6071</v>
      </c>
      <c r="N2149" s="412"/>
      <c r="O2149" s="277" t="s">
        <v>6214</v>
      </c>
      <c r="P2149" s="413"/>
      <c r="Q2149" s="1495" t="s">
        <v>87</v>
      </c>
      <c r="R2149" s="1494" t="s">
        <v>6078</v>
      </c>
      <c r="S2149" s="279">
        <v>37507</v>
      </c>
      <c r="T2149" s="443"/>
      <c r="U2149" s="250"/>
      <c r="V2149" s="412"/>
      <c r="W2149" s="280"/>
      <c r="X2149" s="412"/>
      <c r="Y2149" s="399"/>
      <c r="Z2149" s="399"/>
      <c r="AA2149" s="399"/>
      <c r="AB2149" s="756"/>
      <c r="AC2149" s="488"/>
      <c r="AD2149" s="756"/>
      <c r="AE2149" s="494"/>
      <c r="AF2149" s="494"/>
      <c r="AG2149" s="625"/>
      <c r="AH2149" s="412"/>
      <c r="AI2149" s="712" t="s">
        <v>4208</v>
      </c>
      <c r="AJ2149" s="507" t="s">
        <v>136</v>
      </c>
      <c r="AK2149" s="846">
        <v>4</v>
      </c>
      <c r="AL2149" s="169" t="s">
        <v>734</v>
      </c>
      <c r="AM2149" s="169" t="s">
        <v>723</v>
      </c>
      <c r="AN2149" s="200"/>
      <c r="AO2149" s="193"/>
      <c r="AR2149" s="115"/>
    </row>
    <row r="2150" spans="1:46" ht="39" customHeight="1" x14ac:dyDescent="0.3">
      <c r="A2150" s="1468">
        <v>2149</v>
      </c>
      <c r="B2150" s="161">
        <v>3</v>
      </c>
      <c r="C2150" s="356" t="s">
        <v>409</v>
      </c>
      <c r="D2150" s="595"/>
      <c r="E2150" s="595"/>
      <c r="F2150" s="595"/>
      <c r="G2150" s="392" t="s">
        <v>410</v>
      </c>
      <c r="H2150" s="262" t="s">
        <v>87</v>
      </c>
      <c r="I2150" s="595"/>
      <c r="J2150" s="245" t="s">
        <v>561</v>
      </c>
      <c r="K2150" s="288" t="s">
        <v>4571</v>
      </c>
      <c r="L2150" s="277" t="s">
        <v>4641</v>
      </c>
      <c r="M2150" s="277" t="s">
        <v>4641</v>
      </c>
      <c r="N2150" s="299"/>
      <c r="O2150" s="216" t="s">
        <v>5146</v>
      </c>
      <c r="P2150" s="300"/>
      <c r="Q2150" s="380" t="s">
        <v>87</v>
      </c>
      <c r="R2150" s="1494" t="s">
        <v>4643</v>
      </c>
      <c r="S2150" s="279">
        <v>38594</v>
      </c>
      <c r="T2150" s="289"/>
      <c r="U2150" s="1487" t="s">
        <v>54</v>
      </c>
      <c r="V2150" s="245" t="s">
        <v>6155</v>
      </c>
      <c r="W2150" s="414" t="s">
        <v>6158</v>
      </c>
      <c r="X2150" s="268" t="s">
        <v>6157</v>
      </c>
      <c r="Y2150" s="1108" t="s">
        <v>6156</v>
      </c>
      <c r="Z2150" s="405">
        <v>45323</v>
      </c>
      <c r="AA2150" s="289"/>
      <c r="AB2150" s="299" t="s">
        <v>4691</v>
      </c>
      <c r="AC2150" s="223" t="s">
        <v>4692</v>
      </c>
      <c r="AD2150" s="281" t="s">
        <v>467</v>
      </c>
      <c r="AE2150" s="494">
        <v>45238</v>
      </c>
      <c r="AF2150" s="494">
        <v>45603</v>
      </c>
      <c r="AG2150" s="299"/>
      <c r="AH2150" s="299"/>
      <c r="AI2150" s="254" t="s">
        <v>4208</v>
      </c>
      <c r="AJ2150" s="303" t="s">
        <v>136</v>
      </c>
      <c r="AK2150" s="241">
        <v>4</v>
      </c>
      <c r="AL2150" s="121" t="s">
        <v>734</v>
      </c>
      <c r="AM2150" s="121" t="s">
        <v>723</v>
      </c>
      <c r="AN2150" s="199"/>
      <c r="AO2150" s="190"/>
      <c r="AR2150" s="115"/>
    </row>
    <row r="2151" spans="1:46" ht="39" customHeight="1" x14ac:dyDescent="0.3">
      <c r="A2151" s="1468">
        <v>2150</v>
      </c>
      <c r="B2151" s="161">
        <v>2</v>
      </c>
      <c r="C2151" s="358" t="s">
        <v>411</v>
      </c>
      <c r="D2151" s="595"/>
      <c r="E2151" s="595"/>
      <c r="F2151" s="595"/>
      <c r="G2151" s="1263" t="s">
        <v>412</v>
      </c>
      <c r="H2151" s="262" t="s">
        <v>87</v>
      </c>
      <c r="I2151" s="595"/>
      <c r="J2151" s="245" t="s">
        <v>561</v>
      </c>
      <c r="K2151" s="288"/>
      <c r="L2151" s="277" t="s">
        <v>6071</v>
      </c>
      <c r="M2151" s="277" t="s">
        <v>6071</v>
      </c>
      <c r="N2151" s="450"/>
      <c r="O2151" s="265" t="s">
        <v>6213</v>
      </c>
      <c r="P2151" s="450"/>
      <c r="Q2151" s="380" t="s">
        <v>87</v>
      </c>
      <c r="R2151" s="1494" t="s">
        <v>6075</v>
      </c>
      <c r="S2151" s="279">
        <v>38491</v>
      </c>
      <c r="T2151" s="289"/>
      <c r="U2151" s="250"/>
      <c r="V2151" s="216"/>
      <c r="W2151" s="1260"/>
      <c r="X2151" s="1260"/>
      <c r="Y2151" s="288"/>
      <c r="Z2151" s="612"/>
      <c r="AA2151" s="246"/>
      <c r="AB2151" s="288"/>
      <c r="AC2151" s="1261"/>
      <c r="AD2151" s="281"/>
      <c r="AE2151" s="494"/>
      <c r="AF2151" s="494"/>
      <c r="AG2151" s="305"/>
      <c r="AH2151" s="283"/>
      <c r="AI2151" s="712" t="s">
        <v>4208</v>
      </c>
      <c r="AJ2151" s="507" t="s">
        <v>136</v>
      </c>
      <c r="AK2151" s="241">
        <v>4</v>
      </c>
      <c r="AL2151" s="121" t="s">
        <v>734</v>
      </c>
      <c r="AM2151" s="121" t="s">
        <v>723</v>
      </c>
      <c r="AN2151" s="199"/>
      <c r="AO2151" s="190"/>
      <c r="AR2151" s="115"/>
    </row>
    <row r="2152" spans="1:46" ht="39" customHeight="1" x14ac:dyDescent="0.3">
      <c r="A2152" s="1468">
        <v>2151</v>
      </c>
      <c r="B2152" s="161">
        <v>2</v>
      </c>
      <c r="C2152" s="1046" t="s">
        <v>413</v>
      </c>
      <c r="D2152" s="595"/>
      <c r="E2152" s="595"/>
      <c r="F2152" s="595"/>
      <c r="G2152" s="1373" t="s">
        <v>414</v>
      </c>
      <c r="H2152" s="262" t="s">
        <v>87</v>
      </c>
      <c r="I2152" s="595"/>
      <c r="J2152" s="245" t="s">
        <v>561</v>
      </c>
      <c r="K2152" s="257"/>
      <c r="L2152" s="281" t="s">
        <v>5149</v>
      </c>
      <c r="M2152" s="281" t="s">
        <v>5149</v>
      </c>
      <c r="N2152" s="366"/>
      <c r="O2152" s="1448" t="s">
        <v>5399</v>
      </c>
      <c r="P2152" s="402"/>
      <c r="Q2152" s="380" t="s">
        <v>87</v>
      </c>
      <c r="R2152" s="1494" t="s">
        <v>5398</v>
      </c>
      <c r="S2152" s="279">
        <v>38466</v>
      </c>
      <c r="T2152" s="197" t="s">
        <v>5918</v>
      </c>
      <c r="U2152" s="250"/>
      <c r="V2152" s="197"/>
      <c r="W2152" s="250"/>
      <c r="X2152" s="197"/>
      <c r="Y2152" s="245"/>
      <c r="Z2152" s="246"/>
      <c r="AA2152" s="246"/>
      <c r="AB2152" s="361"/>
      <c r="AC2152" s="223"/>
      <c r="AD2152" s="376"/>
      <c r="AE2152" s="494"/>
      <c r="AF2152" s="494"/>
      <c r="AG2152" s="241"/>
      <c r="AH2152" s="283"/>
      <c r="AI2152" s="254" t="s">
        <v>1351</v>
      </c>
      <c r="AJ2152" s="303" t="s">
        <v>136</v>
      </c>
      <c r="AK2152" s="241">
        <v>4</v>
      </c>
      <c r="AL2152" s="121" t="s">
        <v>734</v>
      </c>
      <c r="AM2152" s="121" t="s">
        <v>723</v>
      </c>
      <c r="AN2152" s="147" t="s">
        <v>5765</v>
      </c>
      <c r="AO2152" s="194"/>
      <c r="AR2152" s="115"/>
      <c r="AS2152" s="115"/>
      <c r="AT2152" s="115"/>
    </row>
    <row r="2153" spans="1:46" s="827" customFormat="1" ht="39" customHeight="1" x14ac:dyDescent="0.3">
      <c r="A2153" s="1468">
        <v>2152</v>
      </c>
      <c r="B2153" s="161"/>
      <c r="C2153" s="659"/>
      <c r="D2153" s="637"/>
      <c r="E2153" s="637"/>
      <c r="F2153" s="637"/>
      <c r="G2153" s="602"/>
      <c r="H2153" s="602"/>
      <c r="I2153" s="637"/>
      <c r="J2153" s="637"/>
      <c r="K2153" s="637"/>
      <c r="L2153" s="602"/>
      <c r="M2153" s="602"/>
      <c r="N2153" s="637"/>
      <c r="O2153" s="602"/>
      <c r="P2153" s="230" t="s">
        <v>748</v>
      </c>
      <c r="Q2153" s="637"/>
      <c r="R2153" s="1209"/>
      <c r="S2153" s="279"/>
      <c r="T2153" s="637"/>
      <c r="U2153" s="250"/>
      <c r="V2153" s="637"/>
      <c r="W2153" s="602"/>
      <c r="X2153" s="602"/>
      <c r="Y2153" s="637"/>
      <c r="Z2153" s="637"/>
      <c r="AA2153" s="637"/>
      <c r="AB2153" s="1295"/>
      <c r="AC2153" s="637"/>
      <c r="AD2153" s="659"/>
      <c r="AE2153" s="494"/>
      <c r="AF2153" s="494"/>
      <c r="AG2153" s="637"/>
      <c r="AH2153" s="637"/>
      <c r="AI2153" s="602"/>
      <c r="AJ2153" s="602"/>
      <c r="AK2153" s="602"/>
      <c r="AL2153" s="205"/>
      <c r="AM2153" s="205"/>
      <c r="AN2153" s="202"/>
      <c r="AO2153" s="196"/>
      <c r="AP2153" s="192"/>
      <c r="AQ2153" s="192"/>
      <c r="AR2153" s="192"/>
      <c r="AS2153" s="192"/>
      <c r="AT2153" s="192"/>
    </row>
    <row r="2154" spans="1:46" ht="39" customHeight="1" x14ac:dyDescent="0.3">
      <c r="A2154" s="1468">
        <v>2153</v>
      </c>
      <c r="B2154" s="161">
        <v>4</v>
      </c>
      <c r="C2154" s="521" t="s">
        <v>407</v>
      </c>
      <c r="D2154" s="642"/>
      <c r="E2154" s="642"/>
      <c r="F2154" s="642"/>
      <c r="G2154" s="280" t="s">
        <v>408</v>
      </c>
      <c r="H2154" s="262" t="s">
        <v>85</v>
      </c>
      <c r="I2154" s="642"/>
      <c r="J2154" s="245" t="s">
        <v>556</v>
      </c>
      <c r="K2154" s="642"/>
      <c r="L2154" s="277" t="s">
        <v>6071</v>
      </c>
      <c r="M2154" s="277" t="s">
        <v>6071</v>
      </c>
      <c r="N2154" s="642"/>
      <c r="O2154" s="625" t="s">
        <v>6212</v>
      </c>
      <c r="P2154" s="642"/>
      <c r="Q2154" s="380" t="s">
        <v>87</v>
      </c>
      <c r="R2154" s="1494" t="s">
        <v>6076</v>
      </c>
      <c r="S2154" s="279">
        <v>35984</v>
      </c>
      <c r="T2154" s="642"/>
      <c r="U2154" s="250"/>
      <c r="V2154" s="642"/>
      <c r="W2154" s="625"/>
      <c r="X2154" s="625"/>
      <c r="Y2154" s="642"/>
      <c r="Z2154" s="642"/>
      <c r="AA2154" s="642"/>
      <c r="AB2154" s="1293"/>
      <c r="AC2154" s="642"/>
      <c r="AD2154" s="661"/>
      <c r="AE2154" s="494"/>
      <c r="AF2154" s="494"/>
      <c r="AG2154" s="642"/>
      <c r="AH2154" s="642"/>
      <c r="AI2154" s="712" t="s">
        <v>4208</v>
      </c>
      <c r="AJ2154" s="507" t="s">
        <v>136</v>
      </c>
      <c r="AK2154" s="524">
        <v>4</v>
      </c>
      <c r="AL2154" s="169" t="s">
        <v>734</v>
      </c>
      <c r="AM2154" s="169" t="s">
        <v>723</v>
      </c>
      <c r="AN2154" s="200"/>
      <c r="AO2154" s="193"/>
      <c r="AR2154" s="115"/>
    </row>
    <row r="2155" spans="1:46" ht="39" customHeight="1" x14ac:dyDescent="0.3">
      <c r="A2155" s="1468">
        <v>2154</v>
      </c>
      <c r="B2155" s="161">
        <v>3</v>
      </c>
      <c r="C2155" s="356" t="s">
        <v>409</v>
      </c>
      <c r="D2155" s="595"/>
      <c r="E2155" s="595"/>
      <c r="F2155" s="595"/>
      <c r="G2155" s="392" t="s">
        <v>410</v>
      </c>
      <c r="H2155" s="262" t="s">
        <v>87</v>
      </c>
      <c r="I2155" s="595"/>
      <c r="J2155" s="245" t="s">
        <v>561</v>
      </c>
      <c r="K2155" s="197"/>
      <c r="L2155" s="277" t="s">
        <v>6071</v>
      </c>
      <c r="M2155" s="277" t="s">
        <v>6071</v>
      </c>
      <c r="N2155" s="245"/>
      <c r="O2155" s="1433" t="s">
        <v>6209</v>
      </c>
      <c r="P2155" s="706"/>
      <c r="Q2155" s="594" t="s">
        <v>87</v>
      </c>
      <c r="R2155" s="1494" t="s">
        <v>6079</v>
      </c>
      <c r="S2155" s="279">
        <v>37978</v>
      </c>
      <c r="T2155" s="289"/>
      <c r="U2155" s="250"/>
      <c r="V2155" s="197"/>
      <c r="W2155" s="197"/>
      <c r="X2155" s="401"/>
      <c r="Y2155" s="197"/>
      <c r="Z2155" s="246"/>
      <c r="AA2155" s="281"/>
      <c r="AB2155" s="307"/>
      <c r="AC2155" s="223"/>
      <c r="AD2155" s="245"/>
      <c r="AE2155" s="252"/>
      <c r="AF2155" s="252"/>
      <c r="AG2155" s="241"/>
      <c r="AH2155" s="253"/>
      <c r="AI2155" s="712" t="s">
        <v>4208</v>
      </c>
      <c r="AJ2155" s="507" t="s">
        <v>136</v>
      </c>
      <c r="AK2155" s="241">
        <v>4</v>
      </c>
      <c r="AL2155" s="121" t="s">
        <v>734</v>
      </c>
      <c r="AM2155" s="121" t="s">
        <v>723</v>
      </c>
      <c r="AN2155" s="199"/>
      <c r="AO2155" s="190"/>
      <c r="AR2155" s="115"/>
    </row>
    <row r="2156" spans="1:46" ht="39" customHeight="1" x14ac:dyDescent="0.3">
      <c r="A2156" s="1468">
        <v>2155</v>
      </c>
      <c r="B2156" s="161">
        <v>2</v>
      </c>
      <c r="C2156" s="358" t="s">
        <v>411</v>
      </c>
      <c r="D2156" s="595"/>
      <c r="E2156" s="595"/>
      <c r="F2156" s="595"/>
      <c r="G2156" s="392" t="s">
        <v>412</v>
      </c>
      <c r="H2156" s="262" t="s">
        <v>87</v>
      </c>
      <c r="I2156" s="595"/>
      <c r="J2156" s="245" t="s">
        <v>561</v>
      </c>
      <c r="K2156" s="288" t="s">
        <v>144</v>
      </c>
      <c r="L2156" s="277" t="s">
        <v>4641</v>
      </c>
      <c r="M2156" s="277" t="s">
        <v>4641</v>
      </c>
      <c r="N2156" s="366"/>
      <c r="O2156" s="1286" t="s">
        <v>5147</v>
      </c>
      <c r="P2156" s="247"/>
      <c r="Q2156" s="380" t="s">
        <v>87</v>
      </c>
      <c r="R2156" s="1494" t="s">
        <v>4661</v>
      </c>
      <c r="S2156" s="279">
        <v>37703</v>
      </c>
      <c r="T2156" s="289"/>
      <c r="U2156" s="250"/>
      <c r="V2156" s="216"/>
      <c r="W2156" s="1286" t="s">
        <v>6189</v>
      </c>
      <c r="X2156" s="1286"/>
      <c r="Y2156" s="288"/>
      <c r="Z2156" s="612"/>
      <c r="AA2156" s="246"/>
      <c r="AB2156" s="288" t="s">
        <v>4689</v>
      </c>
      <c r="AC2156" s="1286" t="s">
        <v>946</v>
      </c>
      <c r="AD2156" s="281" t="s">
        <v>467</v>
      </c>
      <c r="AE2156" s="494">
        <v>45238</v>
      </c>
      <c r="AF2156" s="494">
        <v>45603</v>
      </c>
      <c r="AG2156" s="282"/>
      <c r="AH2156" s="253"/>
      <c r="AI2156" s="254" t="s">
        <v>4208</v>
      </c>
      <c r="AJ2156" s="303" t="s">
        <v>136</v>
      </c>
      <c r="AK2156" s="241">
        <v>4</v>
      </c>
      <c r="AL2156" s="121" t="s">
        <v>734</v>
      </c>
      <c r="AM2156" s="121" t="s">
        <v>723</v>
      </c>
      <c r="AN2156" s="199"/>
      <c r="AO2156" s="190"/>
      <c r="AR2156" s="115"/>
    </row>
    <row r="2157" spans="1:46" ht="39" customHeight="1" x14ac:dyDescent="0.3">
      <c r="A2157" s="1468">
        <v>2156</v>
      </c>
      <c r="B2157" s="161">
        <v>2</v>
      </c>
      <c r="C2157" s="504" t="s">
        <v>413</v>
      </c>
      <c r="D2157" s="640"/>
      <c r="E2157" s="640"/>
      <c r="F2157" s="640"/>
      <c r="G2157" s="626" t="s">
        <v>414</v>
      </c>
      <c r="H2157" s="262" t="s">
        <v>87</v>
      </c>
      <c r="I2157" s="640"/>
      <c r="J2157" s="245" t="s">
        <v>561</v>
      </c>
      <c r="K2157" s="288" t="s">
        <v>313</v>
      </c>
      <c r="L2157" s="277" t="s">
        <v>4813</v>
      </c>
      <c r="M2157" s="277" t="s">
        <v>4813</v>
      </c>
      <c r="N2157" s="684"/>
      <c r="O2157" s="277" t="s">
        <v>4817</v>
      </c>
      <c r="P2157" s="684"/>
      <c r="Q2157" s="380" t="s">
        <v>293</v>
      </c>
      <c r="R2157" s="1494" t="s">
        <v>4816</v>
      </c>
      <c r="S2157" s="279">
        <v>38595</v>
      </c>
      <c r="T2157" s="684"/>
      <c r="U2157" s="250"/>
      <c r="V2157" s="197"/>
      <c r="W2157" s="197"/>
      <c r="X2157" s="197"/>
      <c r="Y2157" s="197"/>
      <c r="Z2157" s="246"/>
      <c r="AA2157" s="684"/>
      <c r="AB2157" s="288" t="s">
        <v>4836</v>
      </c>
      <c r="AC2157" s="223" t="s">
        <v>946</v>
      </c>
      <c r="AD2157" s="299" t="s">
        <v>467</v>
      </c>
      <c r="AE2157" s="494"/>
      <c r="AF2157" s="494"/>
      <c r="AG2157" s="684"/>
      <c r="AH2157" s="684"/>
      <c r="AI2157" s="254" t="s">
        <v>4208</v>
      </c>
      <c r="AJ2157" s="303" t="s">
        <v>136</v>
      </c>
      <c r="AK2157" s="471">
        <v>4</v>
      </c>
      <c r="AL2157" s="166" t="s">
        <v>734</v>
      </c>
      <c r="AM2157" s="166" t="s">
        <v>723</v>
      </c>
      <c r="AN2157" s="147" t="s">
        <v>5765</v>
      </c>
      <c r="AO2157" s="194"/>
      <c r="AR2157" s="115"/>
      <c r="AS2157" s="115"/>
      <c r="AT2157" s="115"/>
    </row>
    <row r="2158" spans="1:46" s="827" customFormat="1" ht="39" customHeight="1" x14ac:dyDescent="0.3">
      <c r="A2158" s="1468">
        <v>2157</v>
      </c>
      <c r="B2158" s="161"/>
      <c r="C2158" s="922"/>
      <c r="D2158" s="638"/>
      <c r="E2158" s="638"/>
      <c r="F2158" s="638"/>
      <c r="G2158" s="921"/>
      <c r="H2158" s="921"/>
      <c r="I2158" s="638"/>
      <c r="J2158" s="638"/>
      <c r="K2158" s="638"/>
      <c r="L2158" s="921"/>
      <c r="M2158" s="921"/>
      <c r="N2158" s="638"/>
      <c r="O2158" s="921"/>
      <c r="P2158" s="230" t="s">
        <v>749</v>
      </c>
      <c r="Q2158" s="638"/>
      <c r="R2158" s="1209"/>
      <c r="S2158" s="279"/>
      <c r="T2158" s="638"/>
      <c r="U2158" s="250"/>
      <c r="V2158" s="638"/>
      <c r="W2158" s="921"/>
      <c r="X2158" s="921"/>
      <c r="Y2158" s="638"/>
      <c r="Z2158" s="638"/>
      <c r="AA2158" s="638"/>
      <c r="AB2158" s="1297"/>
      <c r="AC2158" s="638"/>
      <c r="AD2158" s="922"/>
      <c r="AE2158" s="494"/>
      <c r="AF2158" s="494"/>
      <c r="AG2158" s="638"/>
      <c r="AH2158" s="638"/>
      <c r="AI2158" s="921"/>
      <c r="AJ2158" s="921"/>
      <c r="AK2158" s="921"/>
      <c r="AL2158" s="923"/>
      <c r="AM2158" s="923"/>
      <c r="AN2158" s="924"/>
      <c r="AO2158" s="925"/>
      <c r="AP2158" s="192"/>
      <c r="AQ2158" s="192"/>
      <c r="AR2158" s="192"/>
      <c r="AS2158" s="192"/>
      <c r="AT2158" s="192"/>
    </row>
    <row r="2159" spans="1:46" ht="39" customHeight="1" x14ac:dyDescent="0.3">
      <c r="A2159" s="1468">
        <v>2158</v>
      </c>
      <c r="B2159" s="161">
        <v>6</v>
      </c>
      <c r="C2159" s="936" t="s">
        <v>750</v>
      </c>
      <c r="D2159" s="487"/>
      <c r="E2159" s="762"/>
      <c r="F2159" s="487"/>
      <c r="G2159" s="763" t="s">
        <v>751</v>
      </c>
      <c r="H2159" s="764" t="s">
        <v>153</v>
      </c>
      <c r="I2159" s="642"/>
      <c r="J2159" s="256">
        <v>400</v>
      </c>
      <c r="K2159" s="684"/>
      <c r="L2159" s="288" t="s">
        <v>2374</v>
      </c>
      <c r="M2159" s="288" t="s">
        <v>2374</v>
      </c>
      <c r="N2159" s="684"/>
      <c r="O2159" s="1258" t="s">
        <v>2369</v>
      </c>
      <c r="P2159" s="684"/>
      <c r="Q2159" s="373" t="s">
        <v>87</v>
      </c>
      <c r="R2159" s="1503" t="s">
        <v>2368</v>
      </c>
      <c r="S2159" s="279">
        <v>36849</v>
      </c>
      <c r="T2159" s="684"/>
      <c r="U2159" s="250"/>
      <c r="V2159" s="197"/>
      <c r="W2159" s="268" t="s">
        <v>2779</v>
      </c>
      <c r="X2159" s="197"/>
      <c r="Y2159" s="197"/>
      <c r="Z2159" s="246"/>
      <c r="AA2159" s="684"/>
      <c r="AB2159" s="1290"/>
      <c r="AC2159" s="684"/>
      <c r="AD2159" s="686"/>
      <c r="AE2159" s="494"/>
      <c r="AF2159" s="494"/>
      <c r="AG2159" s="684"/>
      <c r="AH2159" s="684"/>
      <c r="AI2159" s="685"/>
      <c r="AJ2159" s="348" t="s">
        <v>560</v>
      </c>
      <c r="AK2159" s="763">
        <v>2</v>
      </c>
      <c r="AL2159" s="169" t="s">
        <v>734</v>
      </c>
      <c r="AM2159" s="169" t="s">
        <v>723</v>
      </c>
      <c r="AN2159" s="200"/>
      <c r="AO2159" s="193"/>
      <c r="AR2159" s="115"/>
    </row>
    <row r="2160" spans="1:46" ht="39" customHeight="1" x14ac:dyDescent="0.3">
      <c r="A2160" s="1468">
        <v>2159</v>
      </c>
      <c r="B2160" s="161">
        <v>4</v>
      </c>
      <c r="C2160" s="356" t="s">
        <v>752</v>
      </c>
      <c r="D2160" s="595"/>
      <c r="E2160" s="595"/>
      <c r="F2160" s="595"/>
      <c r="G2160" s="392" t="s">
        <v>753</v>
      </c>
      <c r="H2160" s="262" t="s">
        <v>85</v>
      </c>
      <c r="I2160" s="595"/>
      <c r="J2160" s="245" t="s">
        <v>556</v>
      </c>
      <c r="K2160" s="216" t="s">
        <v>158</v>
      </c>
      <c r="L2160" s="288" t="s">
        <v>4813</v>
      </c>
      <c r="M2160" s="288" t="s">
        <v>4813</v>
      </c>
      <c r="N2160" s="366"/>
      <c r="O2160" s="216" t="s">
        <v>4825</v>
      </c>
      <c r="P2160" s="402"/>
      <c r="Q2160" s="380" t="s">
        <v>293</v>
      </c>
      <c r="R2160" s="1494" t="s">
        <v>4824</v>
      </c>
      <c r="S2160" s="279">
        <v>37591</v>
      </c>
      <c r="T2160" s="197"/>
      <c r="U2160" s="250"/>
      <c r="V2160" s="197"/>
      <c r="W2160" s="197"/>
      <c r="X2160" s="197"/>
      <c r="Y2160" s="197"/>
      <c r="Z2160" s="246"/>
      <c r="AA2160" s="246"/>
      <c r="AB2160" s="288" t="s">
        <v>4836</v>
      </c>
      <c r="AC2160" s="223" t="s">
        <v>946</v>
      </c>
      <c r="AD2160" s="299" t="s">
        <v>467</v>
      </c>
      <c r="AE2160" s="494"/>
      <c r="AF2160" s="494"/>
      <c r="AG2160" s="241"/>
      <c r="AH2160" s="283"/>
      <c r="AI2160" s="254" t="s">
        <v>4208</v>
      </c>
      <c r="AJ2160" s="303" t="s">
        <v>136</v>
      </c>
      <c r="AK2160" s="241">
        <v>4</v>
      </c>
      <c r="AL2160" s="121" t="s">
        <v>734</v>
      </c>
      <c r="AM2160" s="121" t="s">
        <v>723</v>
      </c>
      <c r="AN2160" s="199"/>
      <c r="AO2160" s="190"/>
      <c r="AR2160" s="115"/>
    </row>
    <row r="2161" spans="1:46" ht="39" customHeight="1" x14ac:dyDescent="0.3">
      <c r="A2161" s="1468">
        <v>2160</v>
      </c>
      <c r="B2161" s="161">
        <v>3</v>
      </c>
      <c r="C2161" s="356" t="s">
        <v>754</v>
      </c>
      <c r="D2161" s="595"/>
      <c r="E2161" s="595"/>
      <c r="F2161" s="595"/>
      <c r="G2161" s="392" t="s">
        <v>755</v>
      </c>
      <c r="H2161" s="262" t="s">
        <v>87</v>
      </c>
      <c r="I2161" s="595"/>
      <c r="J2161" s="245" t="s">
        <v>561</v>
      </c>
      <c r="K2161" s="1288" t="s">
        <v>313</v>
      </c>
      <c r="L2161" s="277" t="s">
        <v>4853</v>
      </c>
      <c r="M2161" s="277" t="s">
        <v>4853</v>
      </c>
      <c r="N2161" s="640"/>
      <c r="O2161" s="1288" t="s">
        <v>4883</v>
      </c>
      <c r="P2161" s="640"/>
      <c r="Q2161" s="380" t="s">
        <v>87</v>
      </c>
      <c r="R2161" s="1494" t="s">
        <v>4877</v>
      </c>
      <c r="S2161" s="279">
        <v>37510</v>
      </c>
      <c r="T2161" s="595"/>
      <c r="U2161" s="250"/>
      <c r="V2161" s="1287"/>
      <c r="W2161" s="1287"/>
      <c r="X2161" s="1287"/>
      <c r="Y2161" s="288"/>
      <c r="Z2161" s="612"/>
      <c r="AA2161" s="595"/>
      <c r="AB2161" s="288" t="s">
        <v>4409</v>
      </c>
      <c r="AC2161" s="1288" t="s">
        <v>482</v>
      </c>
      <c r="AD2161" s="288" t="s">
        <v>467</v>
      </c>
      <c r="AE2161" s="494">
        <v>45244</v>
      </c>
      <c r="AF2161" s="494">
        <v>45609</v>
      </c>
      <c r="AG2161" s="595"/>
      <c r="AH2161" s="595"/>
      <c r="AI2161" s="254" t="s">
        <v>4208</v>
      </c>
      <c r="AJ2161" s="303" t="s">
        <v>136</v>
      </c>
      <c r="AK2161" s="241">
        <v>4</v>
      </c>
      <c r="AL2161" s="121" t="s">
        <v>734</v>
      </c>
      <c r="AM2161" s="121" t="s">
        <v>723</v>
      </c>
      <c r="AN2161" s="199"/>
      <c r="AO2161" s="190"/>
      <c r="AR2161" s="115"/>
    </row>
    <row r="2162" spans="1:46" ht="39" customHeight="1" x14ac:dyDescent="0.3">
      <c r="A2162" s="1468">
        <v>2161</v>
      </c>
      <c r="B2162" s="161">
        <v>3</v>
      </c>
      <c r="C2162" s="356" t="s">
        <v>754</v>
      </c>
      <c r="D2162" s="595"/>
      <c r="E2162" s="595"/>
      <c r="F2162" s="595"/>
      <c r="G2162" s="392" t="s">
        <v>755</v>
      </c>
      <c r="H2162" s="262" t="s">
        <v>87</v>
      </c>
      <c r="I2162" s="595"/>
      <c r="J2162" s="245" t="s">
        <v>561</v>
      </c>
      <c r="K2162" s="1288" t="s">
        <v>313</v>
      </c>
      <c r="L2162" s="277" t="s">
        <v>4853</v>
      </c>
      <c r="M2162" s="277" t="s">
        <v>4853</v>
      </c>
      <c r="N2162" s="640"/>
      <c r="O2162" s="1288" t="s">
        <v>4881</v>
      </c>
      <c r="P2162" s="640"/>
      <c r="Q2162" s="380" t="s">
        <v>87</v>
      </c>
      <c r="R2162" s="1494" t="s">
        <v>4878</v>
      </c>
      <c r="S2162" s="279">
        <v>38201</v>
      </c>
      <c r="T2162" s="595"/>
      <c r="U2162" s="250" t="s">
        <v>54</v>
      </c>
      <c r="V2162" s="1287" t="s">
        <v>6226</v>
      </c>
      <c r="W2162" s="1287" t="s">
        <v>6228</v>
      </c>
      <c r="X2162" s="1287" t="s">
        <v>475</v>
      </c>
      <c r="Y2162" s="1547" t="s">
        <v>6229</v>
      </c>
      <c r="Z2162" s="612">
        <v>45327</v>
      </c>
      <c r="AA2162" s="595"/>
      <c r="AB2162" s="288" t="s">
        <v>4884</v>
      </c>
      <c r="AC2162" s="1288" t="s">
        <v>482</v>
      </c>
      <c r="AD2162" s="288" t="s">
        <v>467</v>
      </c>
      <c r="AE2162" s="494">
        <v>45244</v>
      </c>
      <c r="AF2162" s="494">
        <v>45609</v>
      </c>
      <c r="AG2162" s="595"/>
      <c r="AH2162" s="595"/>
      <c r="AI2162" s="254" t="s">
        <v>4208</v>
      </c>
      <c r="AJ2162" s="303" t="s">
        <v>136</v>
      </c>
      <c r="AK2162" s="241">
        <v>4</v>
      </c>
      <c r="AL2162" s="121" t="s">
        <v>734</v>
      </c>
      <c r="AM2162" s="121" t="s">
        <v>723</v>
      </c>
      <c r="AN2162" s="199"/>
      <c r="AO2162" s="190"/>
      <c r="AR2162" s="115"/>
    </row>
    <row r="2163" spans="1:46" ht="39" customHeight="1" x14ac:dyDescent="0.3">
      <c r="A2163" s="1468">
        <v>2162</v>
      </c>
      <c r="B2163" s="161">
        <v>2</v>
      </c>
      <c r="C2163" s="358" t="s">
        <v>756</v>
      </c>
      <c r="D2163" s="595"/>
      <c r="E2163" s="595"/>
      <c r="F2163" s="595"/>
      <c r="G2163" s="392" t="s">
        <v>757</v>
      </c>
      <c r="H2163" s="262" t="s">
        <v>87</v>
      </c>
      <c r="I2163" s="595"/>
      <c r="J2163" s="245" t="s">
        <v>561</v>
      </c>
      <c r="K2163" s="216" t="s">
        <v>158</v>
      </c>
      <c r="L2163" s="288" t="s">
        <v>4813</v>
      </c>
      <c r="M2163" s="288" t="s">
        <v>4813</v>
      </c>
      <c r="N2163" s="684"/>
      <c r="O2163" s="1281" t="s">
        <v>4831</v>
      </c>
      <c r="P2163" s="684"/>
      <c r="Q2163" s="380" t="s">
        <v>87</v>
      </c>
      <c r="R2163" s="1494" t="s">
        <v>4830</v>
      </c>
      <c r="S2163" s="279">
        <v>38279</v>
      </c>
      <c r="T2163" s="684"/>
      <c r="U2163" s="250"/>
      <c r="V2163" s="197"/>
      <c r="W2163" s="197"/>
      <c r="X2163" s="197"/>
      <c r="Y2163" s="197"/>
      <c r="Z2163" s="246"/>
      <c r="AA2163" s="684"/>
      <c r="AB2163" s="288" t="s">
        <v>4840</v>
      </c>
      <c r="AC2163" s="223" t="s">
        <v>946</v>
      </c>
      <c r="AD2163" s="299" t="s">
        <v>467</v>
      </c>
      <c r="AE2163" s="494"/>
      <c r="AF2163" s="494"/>
      <c r="AG2163" s="684"/>
      <c r="AH2163" s="684"/>
      <c r="AI2163" s="254" t="s">
        <v>4208</v>
      </c>
      <c r="AJ2163" s="303" t="s">
        <v>136</v>
      </c>
      <c r="AK2163" s="241">
        <v>4</v>
      </c>
      <c r="AL2163" s="121" t="s">
        <v>734</v>
      </c>
      <c r="AM2163" s="121" t="s">
        <v>723</v>
      </c>
      <c r="AN2163" s="199"/>
      <c r="AO2163" s="190"/>
      <c r="AR2163" s="115"/>
    </row>
    <row r="2164" spans="1:46" ht="39" customHeight="1" x14ac:dyDescent="0.3">
      <c r="A2164" s="1468">
        <v>2163</v>
      </c>
      <c r="B2164" s="161">
        <v>2</v>
      </c>
      <c r="C2164" s="358" t="s">
        <v>756</v>
      </c>
      <c r="D2164" s="595"/>
      <c r="E2164" s="595"/>
      <c r="F2164" s="595"/>
      <c r="G2164" s="1263" t="s">
        <v>757</v>
      </c>
      <c r="H2164" s="262" t="s">
        <v>87</v>
      </c>
      <c r="I2164" s="595"/>
      <c r="J2164" s="245" t="s">
        <v>561</v>
      </c>
      <c r="K2164" s="288" t="s">
        <v>144</v>
      </c>
      <c r="L2164" s="277" t="s">
        <v>4641</v>
      </c>
      <c r="M2164" s="277" t="s">
        <v>4641</v>
      </c>
      <c r="N2164" s="684"/>
      <c r="O2164" s="685" t="s">
        <v>4697</v>
      </c>
      <c r="P2164" s="684"/>
      <c r="Q2164" s="380" t="s">
        <v>87</v>
      </c>
      <c r="R2164" s="1494" t="s">
        <v>4658</v>
      </c>
      <c r="S2164" s="279">
        <v>38599</v>
      </c>
      <c r="T2164" s="684"/>
      <c r="U2164" s="250"/>
      <c r="V2164" s="216"/>
      <c r="W2164" s="1260"/>
      <c r="X2164" s="1260"/>
      <c r="Y2164" s="288"/>
      <c r="Z2164" s="612"/>
      <c r="AA2164" s="684"/>
      <c r="AB2164" s="299" t="s">
        <v>4696</v>
      </c>
      <c r="AC2164" s="223" t="s">
        <v>946</v>
      </c>
      <c r="AD2164" s="281" t="s">
        <v>467</v>
      </c>
      <c r="AE2164" s="494">
        <v>45239</v>
      </c>
      <c r="AF2164" s="494">
        <v>45604</v>
      </c>
      <c r="AG2164" s="684"/>
      <c r="AH2164" s="684"/>
      <c r="AI2164" s="254" t="s">
        <v>4208</v>
      </c>
      <c r="AJ2164" s="303" t="s">
        <v>136</v>
      </c>
      <c r="AK2164" s="241">
        <v>4</v>
      </c>
      <c r="AL2164" s="121" t="s">
        <v>734</v>
      </c>
      <c r="AM2164" s="121" t="s">
        <v>723</v>
      </c>
      <c r="AN2164" s="199"/>
      <c r="AO2164" s="190"/>
      <c r="AR2164" s="115"/>
    </row>
    <row r="2165" spans="1:46" ht="39" customHeight="1" x14ac:dyDescent="0.3">
      <c r="A2165" s="1468">
        <v>2164</v>
      </c>
      <c r="B2165" s="161">
        <v>2</v>
      </c>
      <c r="C2165" s="358" t="s">
        <v>299</v>
      </c>
      <c r="D2165" s="595"/>
      <c r="E2165" s="595"/>
      <c r="F2165" s="595"/>
      <c r="G2165" s="392" t="s">
        <v>300</v>
      </c>
      <c r="H2165" s="262" t="s">
        <v>87</v>
      </c>
      <c r="I2165" s="595"/>
      <c r="J2165" s="245" t="s">
        <v>561</v>
      </c>
      <c r="K2165" s="257"/>
      <c r="L2165" s="301"/>
      <c r="M2165" s="301"/>
      <c r="N2165" s="299"/>
      <c r="O2165" s="392"/>
      <c r="P2165" s="300"/>
      <c r="Q2165" s="373"/>
      <c r="R2165" s="1503" t="s">
        <v>66</v>
      </c>
      <c r="S2165" s="279"/>
      <c r="T2165" s="289"/>
      <c r="U2165" s="197"/>
      <c r="V2165" s="197"/>
      <c r="W2165" s="250"/>
      <c r="X2165" s="197"/>
      <c r="Y2165" s="197"/>
      <c r="Z2165" s="246"/>
      <c r="AA2165" s="289"/>
      <c r="AB2165" s="299"/>
      <c r="AC2165" s="223"/>
      <c r="AD2165" s="299"/>
      <c r="AE2165" s="494"/>
      <c r="AF2165" s="494"/>
      <c r="AG2165" s="299"/>
      <c r="AH2165" s="299"/>
      <c r="AI2165" s="254"/>
      <c r="AJ2165" s="348"/>
      <c r="AK2165" s="241">
        <v>4</v>
      </c>
      <c r="AL2165" s="121" t="s">
        <v>734</v>
      </c>
      <c r="AM2165" s="121" t="s">
        <v>723</v>
      </c>
      <c r="AN2165" s="199"/>
      <c r="AO2165" s="190"/>
      <c r="AR2165" s="115"/>
    </row>
    <row r="2166" spans="1:46" ht="39" customHeight="1" x14ac:dyDescent="0.3">
      <c r="A2166" s="1468">
        <v>2165</v>
      </c>
      <c r="B2166" s="161">
        <v>2</v>
      </c>
      <c r="C2166" s="358" t="s">
        <v>299</v>
      </c>
      <c r="D2166" s="595"/>
      <c r="E2166" s="595"/>
      <c r="F2166" s="595"/>
      <c r="G2166" s="1263" t="s">
        <v>300</v>
      </c>
      <c r="H2166" s="262" t="s">
        <v>87</v>
      </c>
      <c r="I2166" s="595"/>
      <c r="J2166" s="245" t="s">
        <v>561</v>
      </c>
      <c r="K2166" s="288" t="s">
        <v>4731</v>
      </c>
      <c r="L2166" s="277" t="s">
        <v>4641</v>
      </c>
      <c r="M2166" s="277" t="s">
        <v>4641</v>
      </c>
      <c r="N2166" s="684"/>
      <c r="O2166" s="685" t="s">
        <v>4695</v>
      </c>
      <c r="P2166" s="684"/>
      <c r="Q2166" s="380" t="s">
        <v>87</v>
      </c>
      <c r="R2166" s="1494" t="s">
        <v>4729</v>
      </c>
      <c r="S2166" s="279">
        <v>38491</v>
      </c>
      <c r="T2166" s="684"/>
      <c r="U2166" s="250"/>
      <c r="V2166" s="216"/>
      <c r="W2166" s="1260"/>
      <c r="X2166" s="1260"/>
      <c r="Y2166" s="288"/>
      <c r="Z2166" s="612"/>
      <c r="AA2166" s="684"/>
      <c r="AB2166" s="299" t="s">
        <v>4696</v>
      </c>
      <c r="AC2166" s="223" t="s">
        <v>209</v>
      </c>
      <c r="AD2166" s="281" t="s">
        <v>467</v>
      </c>
      <c r="AE2166" s="494">
        <v>45239</v>
      </c>
      <c r="AF2166" s="494">
        <v>45604</v>
      </c>
      <c r="AG2166" s="684"/>
      <c r="AH2166" s="684"/>
      <c r="AI2166" s="254" t="s">
        <v>4208</v>
      </c>
      <c r="AJ2166" s="303" t="s">
        <v>136</v>
      </c>
      <c r="AK2166" s="241">
        <v>4</v>
      </c>
      <c r="AL2166" s="121" t="s">
        <v>734</v>
      </c>
      <c r="AM2166" s="121" t="s">
        <v>723</v>
      </c>
      <c r="AN2166" s="199"/>
      <c r="AO2166" s="190"/>
      <c r="AR2166" s="115"/>
    </row>
    <row r="2167" spans="1:46" ht="39" customHeight="1" x14ac:dyDescent="0.3">
      <c r="A2167" s="1468">
        <v>2166</v>
      </c>
      <c r="B2167" s="161">
        <v>2</v>
      </c>
      <c r="C2167" s="504" t="s">
        <v>413</v>
      </c>
      <c r="D2167" s="640"/>
      <c r="E2167" s="640"/>
      <c r="F2167" s="640"/>
      <c r="G2167" s="626" t="s">
        <v>449</v>
      </c>
      <c r="H2167" s="262" t="s">
        <v>87</v>
      </c>
      <c r="I2167" s="640"/>
      <c r="J2167" s="245" t="s">
        <v>561</v>
      </c>
      <c r="K2167" s="288" t="s">
        <v>4732</v>
      </c>
      <c r="L2167" s="277" t="s">
        <v>4641</v>
      </c>
      <c r="M2167" s="277" t="s">
        <v>4641</v>
      </c>
      <c r="N2167" s="640"/>
      <c r="O2167" s="1263" t="s">
        <v>4693</v>
      </c>
      <c r="P2167" s="640"/>
      <c r="Q2167" s="380" t="s">
        <v>87</v>
      </c>
      <c r="R2167" s="1494" t="s">
        <v>4657</v>
      </c>
      <c r="S2167" s="279">
        <v>38401</v>
      </c>
      <c r="T2167" s="640"/>
      <c r="U2167" s="250"/>
      <c r="V2167" s="216"/>
      <c r="W2167" s="1260"/>
      <c r="X2167" s="1260"/>
      <c r="Y2167" s="288"/>
      <c r="Z2167" s="612"/>
      <c r="AA2167" s="640"/>
      <c r="AB2167" s="299" t="s">
        <v>4694</v>
      </c>
      <c r="AC2167" s="223" t="s">
        <v>946</v>
      </c>
      <c r="AD2167" s="281" t="s">
        <v>467</v>
      </c>
      <c r="AE2167" s="494">
        <v>45237</v>
      </c>
      <c r="AF2167" s="494">
        <v>45602</v>
      </c>
      <c r="AG2167" s="640"/>
      <c r="AH2167" s="640"/>
      <c r="AI2167" s="254" t="s">
        <v>4208</v>
      </c>
      <c r="AJ2167" s="303" t="s">
        <v>136</v>
      </c>
      <c r="AK2167" s="471">
        <v>4</v>
      </c>
      <c r="AL2167" s="166" t="s">
        <v>734</v>
      </c>
      <c r="AM2167" s="166" t="s">
        <v>723</v>
      </c>
      <c r="AN2167" s="147" t="s">
        <v>5782</v>
      </c>
      <c r="AO2167" s="194"/>
      <c r="AR2167" s="115"/>
      <c r="AS2167" s="115"/>
      <c r="AT2167" s="115"/>
    </row>
    <row r="2168" spans="1:46" s="827" customFormat="1" ht="39" customHeight="1" x14ac:dyDescent="0.3">
      <c r="A2168" s="1468">
        <v>2167</v>
      </c>
      <c r="B2168" s="161"/>
      <c r="C2168" s="659"/>
      <c r="D2168" s="637"/>
      <c r="E2168" s="637"/>
      <c r="F2168" s="637"/>
      <c r="G2168" s="602"/>
      <c r="H2168" s="602"/>
      <c r="I2168" s="637"/>
      <c r="J2168" s="637"/>
      <c r="K2168" s="637"/>
      <c r="L2168" s="602"/>
      <c r="M2168" s="602"/>
      <c r="N2168" s="637"/>
      <c r="O2168" s="602"/>
      <c r="P2168" s="230" t="s">
        <v>758</v>
      </c>
      <c r="Q2168" s="637"/>
      <c r="R2168" s="1209"/>
      <c r="S2168" s="279"/>
      <c r="T2168" s="637"/>
      <c r="U2168" s="250"/>
      <c r="V2168" s="637"/>
      <c r="W2168" s="602"/>
      <c r="X2168" s="602"/>
      <c r="Y2168" s="637"/>
      <c r="Z2168" s="637"/>
      <c r="AA2168" s="637"/>
      <c r="AB2168" s="1295"/>
      <c r="AC2168" s="637"/>
      <c r="AD2168" s="659"/>
      <c r="AE2168" s="494"/>
      <c r="AF2168" s="494"/>
      <c r="AG2168" s="637"/>
      <c r="AH2168" s="637"/>
      <c r="AI2168" s="602"/>
      <c r="AJ2168" s="602"/>
      <c r="AK2168" s="602"/>
      <c r="AL2168" s="205"/>
      <c r="AM2168" s="205"/>
      <c r="AN2168" s="202"/>
      <c r="AO2168" s="196"/>
      <c r="AP2168" s="192"/>
      <c r="AQ2168" s="192"/>
      <c r="AR2168" s="192"/>
      <c r="AS2168" s="192"/>
      <c r="AT2168" s="192"/>
    </row>
    <row r="2169" spans="1:46" ht="39" customHeight="1" x14ac:dyDescent="0.3">
      <c r="A2169" s="1468">
        <v>2168</v>
      </c>
      <c r="B2169" s="161">
        <v>10</v>
      </c>
      <c r="C2169" s="249" t="s">
        <v>305</v>
      </c>
      <c r="D2169" s="282"/>
      <c r="E2169" s="338"/>
      <c r="F2169" s="282"/>
      <c r="G2169" s="339">
        <v>1210003</v>
      </c>
      <c r="H2169" s="244" t="s">
        <v>83</v>
      </c>
      <c r="I2169" s="595"/>
      <c r="J2169" s="245">
        <v>302</v>
      </c>
      <c r="K2169" s="197" t="s">
        <v>50</v>
      </c>
      <c r="L2169" s="281" t="s">
        <v>1470</v>
      </c>
      <c r="M2169" s="281" t="s">
        <v>1470</v>
      </c>
      <c r="N2169" s="595"/>
      <c r="O2169" s="1476" t="s">
        <v>1467</v>
      </c>
      <c r="P2169" s="595"/>
      <c r="Q2169" s="326" t="s">
        <v>119</v>
      </c>
      <c r="R2169" s="1501" t="s">
        <v>1466</v>
      </c>
      <c r="S2169" s="279">
        <v>35927</v>
      </c>
      <c r="T2169" s="595"/>
      <c r="U2169" s="250"/>
      <c r="V2169" s="197"/>
      <c r="W2169" s="197" t="s">
        <v>4565</v>
      </c>
      <c r="X2169" s="197"/>
      <c r="Y2169" s="595"/>
      <c r="Z2169" s="595"/>
      <c r="AA2169" s="595"/>
      <c r="AB2169" s="1289"/>
      <c r="AC2169" s="595"/>
      <c r="AD2169" s="658"/>
      <c r="AE2169" s="494"/>
      <c r="AF2169" s="494"/>
      <c r="AG2169" s="595"/>
      <c r="AH2169" s="595"/>
      <c r="AI2169" s="1476"/>
      <c r="AJ2169" s="1014" t="s">
        <v>62</v>
      </c>
      <c r="AK2169" s="242">
        <v>1</v>
      </c>
      <c r="AL2169" s="121" t="s">
        <v>759</v>
      </c>
      <c r="AM2169" s="121" t="s">
        <v>723</v>
      </c>
      <c r="AN2169" s="903"/>
      <c r="AO2169" s="904"/>
      <c r="AR2169" s="115"/>
    </row>
    <row r="2170" spans="1:46" s="827" customFormat="1" ht="39" customHeight="1" x14ac:dyDescent="0.3">
      <c r="A2170" s="1468">
        <v>2169</v>
      </c>
      <c r="B2170" s="161"/>
      <c r="C2170" s="659"/>
      <c r="D2170" s="637"/>
      <c r="E2170" s="637"/>
      <c r="F2170" s="637"/>
      <c r="G2170" s="602"/>
      <c r="H2170" s="602"/>
      <c r="I2170" s="637"/>
      <c r="J2170" s="637"/>
      <c r="K2170" s="637"/>
      <c r="L2170" s="602"/>
      <c r="M2170" s="602"/>
      <c r="N2170" s="637"/>
      <c r="O2170" s="602"/>
      <c r="P2170" s="230" t="s">
        <v>739</v>
      </c>
      <c r="Q2170" s="637"/>
      <c r="R2170" s="1209"/>
      <c r="S2170" s="279"/>
      <c r="T2170" s="637"/>
      <c r="U2170" s="250"/>
      <c r="V2170" s="637"/>
      <c r="W2170" s="602"/>
      <c r="X2170" s="602"/>
      <c r="Y2170" s="637"/>
      <c r="Z2170" s="637"/>
      <c r="AA2170" s="637"/>
      <c r="AB2170" s="1295"/>
      <c r="AC2170" s="637"/>
      <c r="AD2170" s="659"/>
      <c r="AE2170" s="494"/>
      <c r="AF2170" s="494"/>
      <c r="AG2170" s="637"/>
      <c r="AH2170" s="637"/>
      <c r="AI2170" s="602"/>
      <c r="AJ2170" s="602"/>
      <c r="AK2170" s="602"/>
      <c r="AL2170" s="205"/>
      <c r="AM2170" s="205"/>
      <c r="AN2170" s="202"/>
      <c r="AO2170" s="196"/>
      <c r="AP2170" s="192"/>
      <c r="AQ2170" s="192"/>
      <c r="AR2170" s="192"/>
      <c r="AS2170" s="192"/>
      <c r="AT2170" s="192"/>
    </row>
    <row r="2171" spans="1:46" ht="39" customHeight="1" x14ac:dyDescent="0.3">
      <c r="A2171" s="1468">
        <v>2170</v>
      </c>
      <c r="B2171" s="161">
        <v>5</v>
      </c>
      <c r="C2171" s="934" t="s">
        <v>407</v>
      </c>
      <c r="D2171" s="864"/>
      <c r="E2171" s="864"/>
      <c r="F2171" s="864"/>
      <c r="G2171" s="846" t="s">
        <v>740</v>
      </c>
      <c r="H2171" s="846" t="s">
        <v>132</v>
      </c>
      <c r="I2171" s="642"/>
      <c r="J2171" s="256">
        <v>403</v>
      </c>
      <c r="K2171" s="642"/>
      <c r="L2171" s="625"/>
      <c r="M2171" s="625"/>
      <c r="N2171" s="642"/>
      <c r="O2171" s="277" t="s">
        <v>3434</v>
      </c>
      <c r="P2171" s="402" t="s">
        <v>1828</v>
      </c>
      <c r="Q2171" s="485" t="s">
        <v>293</v>
      </c>
      <c r="R2171" s="1503" t="s">
        <v>3433</v>
      </c>
      <c r="S2171" s="279">
        <v>28389</v>
      </c>
      <c r="T2171" s="642"/>
      <c r="U2171" s="251" t="s">
        <v>54</v>
      </c>
      <c r="V2171" s="197" t="s">
        <v>5512</v>
      </c>
      <c r="W2171" s="250" t="s">
        <v>70</v>
      </c>
      <c r="X2171" s="197" t="s">
        <v>71</v>
      </c>
      <c r="Y2171" s="197" t="s">
        <v>5726</v>
      </c>
      <c r="Z2171" s="246">
        <v>45272</v>
      </c>
      <c r="AA2171" s="642"/>
      <c r="AB2171" s="1293"/>
      <c r="AC2171" s="642"/>
      <c r="AD2171" s="661"/>
      <c r="AE2171" s="494"/>
      <c r="AF2171" s="494"/>
      <c r="AG2171" s="642"/>
      <c r="AH2171" s="642"/>
      <c r="AI2171" s="625"/>
      <c r="AJ2171" s="491" t="s">
        <v>560</v>
      </c>
      <c r="AK2171" s="846">
        <v>3</v>
      </c>
      <c r="AL2171" s="169" t="s">
        <v>759</v>
      </c>
      <c r="AM2171" s="169" t="s">
        <v>723</v>
      </c>
      <c r="AN2171" s="200"/>
      <c r="AO2171" s="193"/>
      <c r="AR2171" s="115"/>
    </row>
    <row r="2172" spans="1:46" ht="39" customHeight="1" x14ac:dyDescent="0.3">
      <c r="A2172" s="1468">
        <v>2171</v>
      </c>
      <c r="B2172" s="161">
        <v>3</v>
      </c>
      <c r="C2172" s="358" t="s">
        <v>741</v>
      </c>
      <c r="D2172" s="595"/>
      <c r="E2172" s="595"/>
      <c r="F2172" s="595"/>
      <c r="G2172" s="392" t="s">
        <v>742</v>
      </c>
      <c r="H2172" s="262" t="s">
        <v>85</v>
      </c>
      <c r="I2172" s="595"/>
      <c r="J2172" s="245" t="s">
        <v>556</v>
      </c>
      <c r="K2172" s="288" t="s">
        <v>2782</v>
      </c>
      <c r="L2172" s="216" t="s">
        <v>4641</v>
      </c>
      <c r="M2172" s="216" t="s">
        <v>4641</v>
      </c>
      <c r="N2172" s="595"/>
      <c r="O2172" s="1522" t="s">
        <v>4725</v>
      </c>
      <c r="P2172" s="595"/>
      <c r="Q2172" s="380" t="s">
        <v>87</v>
      </c>
      <c r="R2172" s="1494" t="s">
        <v>4675</v>
      </c>
      <c r="S2172" s="279">
        <v>38322</v>
      </c>
      <c r="T2172" s="595"/>
      <c r="U2172" s="250"/>
      <c r="V2172" s="216"/>
      <c r="W2172" s="1522"/>
      <c r="X2172" s="1522"/>
      <c r="Y2172" s="288"/>
      <c r="Z2172" s="612"/>
      <c r="AA2172" s="595"/>
      <c r="AB2172" s="288" t="s">
        <v>4726</v>
      </c>
      <c r="AC2172" s="1522" t="s">
        <v>116</v>
      </c>
      <c r="AD2172" s="281" t="s">
        <v>467</v>
      </c>
      <c r="AE2172" s="494">
        <v>45237</v>
      </c>
      <c r="AF2172" s="494">
        <v>45602</v>
      </c>
      <c r="AG2172" s="595"/>
      <c r="AH2172" s="595"/>
      <c r="AI2172" s="254" t="s">
        <v>4208</v>
      </c>
      <c r="AJ2172" s="303" t="s">
        <v>136</v>
      </c>
      <c r="AK2172" s="241">
        <v>4</v>
      </c>
      <c r="AL2172" s="121" t="s">
        <v>759</v>
      </c>
      <c r="AM2172" s="121" t="s">
        <v>723</v>
      </c>
      <c r="AN2172" s="199"/>
      <c r="AO2172" s="190"/>
      <c r="AR2172" s="115"/>
    </row>
    <row r="2173" spans="1:46" ht="39" customHeight="1" x14ac:dyDescent="0.3">
      <c r="A2173" s="1468">
        <v>2172</v>
      </c>
      <c r="B2173" s="161">
        <v>2</v>
      </c>
      <c r="C2173" s="358" t="s">
        <v>411</v>
      </c>
      <c r="D2173" s="595"/>
      <c r="E2173" s="595"/>
      <c r="F2173" s="595"/>
      <c r="G2173" s="1263" t="s">
        <v>743</v>
      </c>
      <c r="H2173" s="262" t="s">
        <v>87</v>
      </c>
      <c r="I2173" s="595"/>
      <c r="J2173" s="595"/>
      <c r="K2173" s="288" t="s">
        <v>313</v>
      </c>
      <c r="L2173" s="277" t="s">
        <v>4641</v>
      </c>
      <c r="M2173" s="277" t="s">
        <v>4641</v>
      </c>
      <c r="N2173" s="366"/>
      <c r="O2173" s="1263" t="s">
        <v>4702</v>
      </c>
      <c r="P2173" s="374"/>
      <c r="Q2173" s="380" t="s">
        <v>87</v>
      </c>
      <c r="R2173" s="1494" t="s">
        <v>5805</v>
      </c>
      <c r="S2173" s="279">
        <v>38156</v>
      </c>
      <c r="T2173" s="223"/>
      <c r="U2173" s="250"/>
      <c r="V2173" s="216"/>
      <c r="W2173" s="1260"/>
      <c r="X2173" s="1260"/>
      <c r="Y2173" s="288"/>
      <c r="Z2173" s="612"/>
      <c r="AA2173" s="374"/>
      <c r="AB2173" s="288" t="s">
        <v>4703</v>
      </c>
      <c r="AC2173" s="1263" t="s">
        <v>946</v>
      </c>
      <c r="AD2173" s="281" t="s">
        <v>467</v>
      </c>
      <c r="AE2173" s="494">
        <v>45238</v>
      </c>
      <c r="AF2173" s="494">
        <v>45603</v>
      </c>
      <c r="AG2173" s="385"/>
      <c r="AH2173" s="299"/>
      <c r="AI2173" s="254" t="s">
        <v>4208</v>
      </c>
      <c r="AJ2173" s="303" t="s">
        <v>136</v>
      </c>
      <c r="AK2173" s="241">
        <v>4</v>
      </c>
      <c r="AL2173" s="121" t="s">
        <v>759</v>
      </c>
      <c r="AM2173" s="121" t="s">
        <v>723</v>
      </c>
      <c r="AN2173" s="199"/>
      <c r="AO2173" s="190"/>
      <c r="AR2173" s="115"/>
    </row>
    <row r="2174" spans="1:46" ht="39" customHeight="1" x14ac:dyDescent="0.3">
      <c r="A2174" s="1468">
        <v>2173</v>
      </c>
      <c r="B2174" s="161">
        <v>2</v>
      </c>
      <c r="C2174" s="504" t="s">
        <v>413</v>
      </c>
      <c r="D2174" s="640"/>
      <c r="E2174" s="640"/>
      <c r="F2174" s="640"/>
      <c r="G2174" s="626" t="s">
        <v>414</v>
      </c>
      <c r="H2174" s="262" t="s">
        <v>87</v>
      </c>
      <c r="I2174" s="640"/>
      <c r="J2174" s="245" t="s">
        <v>561</v>
      </c>
      <c r="K2174" s="1288" t="s">
        <v>313</v>
      </c>
      <c r="L2174" s="277" t="s">
        <v>4853</v>
      </c>
      <c r="M2174" s="277" t="s">
        <v>4853</v>
      </c>
      <c r="N2174" s="640"/>
      <c r="O2174" s="1288" t="s">
        <v>4885</v>
      </c>
      <c r="P2174" s="640"/>
      <c r="Q2174" s="380" t="s">
        <v>87</v>
      </c>
      <c r="R2174" s="1494" t="s">
        <v>4856</v>
      </c>
      <c r="S2174" s="279">
        <v>35755</v>
      </c>
      <c r="T2174" s="640"/>
      <c r="U2174" s="197"/>
      <c r="V2174" s="1287"/>
      <c r="W2174" s="1287"/>
      <c r="X2174" s="1287"/>
      <c r="Y2174" s="981"/>
      <c r="Z2174" s="612"/>
      <c r="AA2174" s="1244"/>
      <c r="AB2174" s="288" t="s">
        <v>4886</v>
      </c>
      <c r="AC2174" s="1288" t="s">
        <v>482</v>
      </c>
      <c r="AD2174" s="288" t="s">
        <v>467</v>
      </c>
      <c r="AE2174" s="494">
        <v>45244</v>
      </c>
      <c r="AF2174" s="494">
        <v>45609</v>
      </c>
      <c r="AG2174" s="640"/>
      <c r="AH2174" s="640"/>
      <c r="AI2174" s="254" t="s">
        <v>4208</v>
      </c>
      <c r="AJ2174" s="303" t="s">
        <v>136</v>
      </c>
      <c r="AK2174" s="471">
        <v>4</v>
      </c>
      <c r="AL2174" s="166" t="s">
        <v>759</v>
      </c>
      <c r="AM2174" s="166" t="s">
        <v>723</v>
      </c>
      <c r="AN2174" s="147" t="s">
        <v>5765</v>
      </c>
      <c r="AO2174" s="194"/>
      <c r="AR2174" s="115"/>
      <c r="AS2174" s="115"/>
      <c r="AT2174" s="115"/>
    </row>
    <row r="2175" spans="1:46" s="827" customFormat="1" ht="39" customHeight="1" x14ac:dyDescent="0.3">
      <c r="A2175" s="1468">
        <v>2174</v>
      </c>
      <c r="B2175" s="161"/>
      <c r="C2175" s="659"/>
      <c r="D2175" s="637"/>
      <c r="E2175" s="637"/>
      <c r="F2175" s="637"/>
      <c r="G2175" s="602"/>
      <c r="H2175" s="602"/>
      <c r="I2175" s="637"/>
      <c r="J2175" s="637"/>
      <c r="K2175" s="637"/>
      <c r="L2175" s="602"/>
      <c r="M2175" s="602"/>
      <c r="N2175" s="637"/>
      <c r="O2175" s="602"/>
      <c r="P2175" s="230" t="s">
        <v>760</v>
      </c>
      <c r="Q2175" s="637"/>
      <c r="R2175" s="1209"/>
      <c r="S2175" s="279"/>
      <c r="T2175" s="637"/>
      <c r="U2175" s="250"/>
      <c r="V2175" s="637"/>
      <c r="W2175" s="602"/>
      <c r="X2175" s="602"/>
      <c r="Y2175" s="637"/>
      <c r="Z2175" s="637"/>
      <c r="AA2175" s="637"/>
      <c r="AB2175" s="1295"/>
      <c r="AC2175" s="637"/>
      <c r="AD2175" s="659"/>
      <c r="AE2175" s="494"/>
      <c r="AF2175" s="494"/>
      <c r="AG2175" s="637"/>
      <c r="AH2175" s="637"/>
      <c r="AI2175" s="602"/>
      <c r="AJ2175" s="602"/>
      <c r="AK2175" s="602"/>
      <c r="AL2175" s="205"/>
      <c r="AM2175" s="205"/>
      <c r="AN2175" s="202"/>
      <c r="AO2175" s="196"/>
      <c r="AP2175" s="192"/>
      <c r="AQ2175" s="192"/>
      <c r="AR2175" s="192"/>
      <c r="AS2175" s="192"/>
      <c r="AT2175" s="192"/>
    </row>
    <row r="2176" spans="1:46" ht="39" customHeight="1" x14ac:dyDescent="0.3">
      <c r="A2176" s="1468">
        <v>2175</v>
      </c>
      <c r="B2176" s="161">
        <v>4</v>
      </c>
      <c r="C2176" s="521" t="s">
        <v>407</v>
      </c>
      <c r="D2176" s="642"/>
      <c r="E2176" s="642"/>
      <c r="F2176" s="642"/>
      <c r="G2176" s="625" t="s">
        <v>408</v>
      </c>
      <c r="H2176" s="262" t="s">
        <v>85</v>
      </c>
      <c r="I2176" s="642"/>
      <c r="J2176" s="245" t="s">
        <v>556</v>
      </c>
      <c r="K2176" s="625"/>
      <c r="L2176" s="277" t="s">
        <v>6071</v>
      </c>
      <c r="M2176" s="277" t="s">
        <v>6071</v>
      </c>
      <c r="N2176" s="412"/>
      <c r="O2176" s="392" t="s">
        <v>6211</v>
      </c>
      <c r="P2176" s="413"/>
      <c r="Q2176" s="663" t="s">
        <v>87</v>
      </c>
      <c r="R2176" s="1494" t="s">
        <v>6083</v>
      </c>
      <c r="S2176" s="279">
        <v>38048</v>
      </c>
      <c r="T2176" s="399"/>
      <c r="U2176" s="251" t="s">
        <v>544</v>
      </c>
      <c r="V2176" s="486">
        <v>45322</v>
      </c>
      <c r="W2176" s="280"/>
      <c r="X2176" s="280"/>
      <c r="Y2176" s="280"/>
      <c r="Z2176" s="486"/>
      <c r="AA2176" s="399"/>
      <c r="AB2176" s="412"/>
      <c r="AC2176" s="488"/>
      <c r="AD2176" s="412"/>
      <c r="AE2176" s="494"/>
      <c r="AF2176" s="494"/>
      <c r="AG2176" s="412"/>
      <c r="AH2176" s="412"/>
      <c r="AI2176" s="712" t="s">
        <v>4208</v>
      </c>
      <c r="AJ2176" s="507" t="s">
        <v>136</v>
      </c>
      <c r="AK2176" s="846">
        <v>4</v>
      </c>
      <c r="AL2176" s="169" t="s">
        <v>759</v>
      </c>
      <c r="AM2176" s="169" t="s">
        <v>723</v>
      </c>
      <c r="AN2176" s="200"/>
      <c r="AO2176" s="193"/>
      <c r="AR2176" s="115"/>
    </row>
    <row r="2177" spans="1:46" ht="39" customHeight="1" x14ac:dyDescent="0.3">
      <c r="A2177" s="1468">
        <v>2176</v>
      </c>
      <c r="B2177" s="161">
        <v>3</v>
      </c>
      <c r="C2177" s="356" t="s">
        <v>409</v>
      </c>
      <c r="D2177" s="595"/>
      <c r="E2177" s="595"/>
      <c r="F2177" s="595"/>
      <c r="G2177" s="392" t="s">
        <v>410</v>
      </c>
      <c r="H2177" s="262" t="s">
        <v>87</v>
      </c>
      <c r="I2177" s="595"/>
      <c r="J2177" s="245" t="s">
        <v>561</v>
      </c>
      <c r="K2177" s="1288" t="s">
        <v>313</v>
      </c>
      <c r="L2177" s="277" t="s">
        <v>4853</v>
      </c>
      <c r="M2177" s="277" t="s">
        <v>4853</v>
      </c>
      <c r="N2177" s="640"/>
      <c r="O2177" s="1288" t="s">
        <v>4887</v>
      </c>
      <c r="P2177" s="640"/>
      <c r="Q2177" s="380" t="s">
        <v>87</v>
      </c>
      <c r="R2177" s="1494" t="s">
        <v>4857</v>
      </c>
      <c r="S2177" s="279">
        <v>38595</v>
      </c>
      <c r="T2177" s="289"/>
      <c r="U2177" s="250"/>
      <c r="V2177" s="1287"/>
      <c r="W2177" s="1287"/>
      <c r="X2177" s="1287"/>
      <c r="Y2177" s="288"/>
      <c r="Z2177" s="612"/>
      <c r="AA2177" s="289"/>
      <c r="AB2177" s="288" t="s">
        <v>4888</v>
      </c>
      <c r="AC2177" s="1288" t="s">
        <v>482</v>
      </c>
      <c r="AD2177" s="288" t="s">
        <v>467</v>
      </c>
      <c r="AE2177" s="494">
        <v>45244</v>
      </c>
      <c r="AF2177" s="494">
        <v>45609</v>
      </c>
      <c r="AG2177" s="299"/>
      <c r="AH2177" s="299"/>
      <c r="AI2177" s="254" t="s">
        <v>4208</v>
      </c>
      <c r="AJ2177" s="303" t="s">
        <v>136</v>
      </c>
      <c r="AK2177" s="241">
        <v>4</v>
      </c>
      <c r="AL2177" s="121" t="s">
        <v>759</v>
      </c>
      <c r="AM2177" s="121" t="s">
        <v>723</v>
      </c>
      <c r="AN2177" s="199"/>
      <c r="AO2177" s="190"/>
      <c r="AR2177" s="115"/>
    </row>
    <row r="2178" spans="1:46" ht="39" customHeight="1" x14ac:dyDescent="0.3">
      <c r="A2178" s="1468">
        <v>2177</v>
      </c>
      <c r="B2178" s="161">
        <v>2</v>
      </c>
      <c r="C2178" s="358" t="s">
        <v>411</v>
      </c>
      <c r="D2178" s="595"/>
      <c r="E2178" s="595"/>
      <c r="F2178" s="595"/>
      <c r="G2178" s="392" t="s">
        <v>412</v>
      </c>
      <c r="H2178" s="262" t="s">
        <v>87</v>
      </c>
      <c r="I2178" s="595"/>
      <c r="J2178" s="245" t="s">
        <v>561</v>
      </c>
      <c r="K2178" s="257"/>
      <c r="L2178" s="281" t="s">
        <v>1681</v>
      </c>
      <c r="M2178" s="281" t="s">
        <v>4607</v>
      </c>
      <c r="N2178" s="245"/>
      <c r="O2178" s="392" t="s">
        <v>3080</v>
      </c>
      <c r="P2178" s="372"/>
      <c r="Q2178" s="380" t="s">
        <v>87</v>
      </c>
      <c r="R2178" s="1494" t="s">
        <v>1451</v>
      </c>
      <c r="S2178" s="279"/>
      <c r="T2178" s="289"/>
      <c r="U2178" s="250"/>
      <c r="V2178" s="299"/>
      <c r="W2178" s="250"/>
      <c r="X2178" s="250"/>
      <c r="Y2178" s="299"/>
      <c r="Z2178" s="299"/>
      <c r="AA2178" s="289"/>
      <c r="AB2178" s="288" t="s">
        <v>4551</v>
      </c>
      <c r="AC2178" s="223" t="s">
        <v>946</v>
      </c>
      <c r="AD2178" s="299"/>
      <c r="AE2178" s="494">
        <v>45097</v>
      </c>
      <c r="AF2178" s="494">
        <v>45462</v>
      </c>
      <c r="AG2178" s="299"/>
      <c r="AH2178" s="299"/>
      <c r="AI2178" s="296" t="s">
        <v>1351</v>
      </c>
      <c r="AJ2178" s="303" t="s">
        <v>136</v>
      </c>
      <c r="AK2178" s="241">
        <v>4</v>
      </c>
      <c r="AL2178" s="121" t="s">
        <v>759</v>
      </c>
      <c r="AM2178" s="121" t="s">
        <v>723</v>
      </c>
      <c r="AN2178" s="199"/>
      <c r="AO2178" s="190"/>
      <c r="AR2178" s="115"/>
    </row>
    <row r="2179" spans="1:46" ht="39" customHeight="1" x14ac:dyDescent="0.3">
      <c r="A2179" s="1468">
        <v>2178</v>
      </c>
      <c r="B2179" s="161">
        <v>2</v>
      </c>
      <c r="C2179" s="504" t="s">
        <v>413</v>
      </c>
      <c r="D2179" s="640"/>
      <c r="E2179" s="640"/>
      <c r="F2179" s="640"/>
      <c r="G2179" s="626" t="s">
        <v>414</v>
      </c>
      <c r="H2179" s="262" t="s">
        <v>87</v>
      </c>
      <c r="I2179" s="640"/>
      <c r="J2179" s="245" t="s">
        <v>561</v>
      </c>
      <c r="K2179" s="288" t="s">
        <v>158</v>
      </c>
      <c r="L2179" s="216" t="s">
        <v>4641</v>
      </c>
      <c r="M2179" s="216" t="s">
        <v>4641</v>
      </c>
      <c r="N2179" s="595"/>
      <c r="O2179" s="1263" t="s">
        <v>4716</v>
      </c>
      <c r="P2179" s="595"/>
      <c r="Q2179" s="380" t="s">
        <v>87</v>
      </c>
      <c r="R2179" s="1494" t="s">
        <v>4655</v>
      </c>
      <c r="S2179" s="279">
        <v>38165</v>
      </c>
      <c r="T2179" s="595"/>
      <c r="U2179" s="250"/>
      <c r="V2179" s="216"/>
      <c r="W2179" s="1263"/>
      <c r="X2179" s="1263"/>
      <c r="Y2179" s="288"/>
      <c r="Z2179" s="612"/>
      <c r="AA2179" s="595"/>
      <c r="AB2179" s="288" t="s">
        <v>4717</v>
      </c>
      <c r="AC2179" s="1263" t="s">
        <v>946</v>
      </c>
      <c r="AD2179" s="281" t="s">
        <v>467</v>
      </c>
      <c r="AE2179" s="494">
        <v>45238</v>
      </c>
      <c r="AF2179" s="494">
        <v>45603</v>
      </c>
      <c r="AG2179" s="595"/>
      <c r="AH2179" s="595"/>
      <c r="AI2179" s="254" t="s">
        <v>4208</v>
      </c>
      <c r="AJ2179" s="303" t="s">
        <v>136</v>
      </c>
      <c r="AK2179" s="471">
        <v>4</v>
      </c>
      <c r="AL2179" s="166" t="s">
        <v>759</v>
      </c>
      <c r="AM2179" s="166" t="s">
        <v>723</v>
      </c>
      <c r="AN2179" s="147" t="s">
        <v>5765</v>
      </c>
      <c r="AO2179" s="194"/>
      <c r="AR2179" s="115"/>
      <c r="AS2179" s="115"/>
      <c r="AT2179" s="115"/>
    </row>
    <row r="2180" spans="1:46" s="827" customFormat="1" ht="39" customHeight="1" x14ac:dyDescent="0.3">
      <c r="A2180" s="1468">
        <v>2179</v>
      </c>
      <c r="B2180" s="161"/>
      <c r="C2180" s="659"/>
      <c r="D2180" s="637"/>
      <c r="E2180" s="637"/>
      <c r="F2180" s="637"/>
      <c r="G2180" s="602"/>
      <c r="H2180" s="602"/>
      <c r="I2180" s="637"/>
      <c r="J2180" s="637"/>
      <c r="K2180" s="637"/>
      <c r="L2180" s="602"/>
      <c r="M2180" s="602"/>
      <c r="N2180" s="637"/>
      <c r="O2180" s="602"/>
      <c r="P2180" s="230" t="s">
        <v>761</v>
      </c>
      <c r="Q2180" s="637"/>
      <c r="R2180" s="1209"/>
      <c r="S2180" s="279"/>
      <c r="T2180" s="637"/>
      <c r="U2180" s="250"/>
      <c r="V2180" s="637"/>
      <c r="W2180" s="602"/>
      <c r="X2180" s="602"/>
      <c r="Y2180" s="637"/>
      <c r="Z2180" s="637"/>
      <c r="AA2180" s="637"/>
      <c r="AB2180" s="1295"/>
      <c r="AC2180" s="637"/>
      <c r="AD2180" s="659"/>
      <c r="AE2180" s="494"/>
      <c r="AF2180" s="494"/>
      <c r="AG2180" s="637"/>
      <c r="AH2180" s="637"/>
      <c r="AI2180" s="602"/>
      <c r="AJ2180" s="602"/>
      <c r="AK2180" s="602"/>
      <c r="AL2180" s="748"/>
      <c r="AM2180" s="748"/>
      <c r="AN2180" s="202"/>
      <c r="AO2180" s="196"/>
      <c r="AP2180" s="192"/>
      <c r="AQ2180" s="192"/>
      <c r="AR2180" s="192"/>
      <c r="AS2180" s="192"/>
      <c r="AT2180" s="192"/>
    </row>
    <row r="2181" spans="1:46" ht="39" customHeight="1" x14ac:dyDescent="0.3">
      <c r="A2181" s="1468">
        <v>2180</v>
      </c>
      <c r="B2181" s="161">
        <v>5</v>
      </c>
      <c r="C2181" s="934" t="s">
        <v>762</v>
      </c>
      <c r="D2181" s="864"/>
      <c r="E2181" s="864"/>
      <c r="F2181" s="864"/>
      <c r="G2181" s="846" t="s">
        <v>763</v>
      </c>
      <c r="H2181" s="846" t="s">
        <v>132</v>
      </c>
      <c r="I2181" s="642"/>
      <c r="J2181" s="256">
        <v>403</v>
      </c>
      <c r="K2181" s="277"/>
      <c r="L2181" s="277"/>
      <c r="M2181" s="441"/>
      <c r="N2181" s="441"/>
      <c r="O2181" s="277"/>
      <c r="P2181" s="720"/>
      <c r="Q2181" s="1110"/>
      <c r="R2181" s="1494" t="s">
        <v>66</v>
      </c>
      <c r="S2181" s="279"/>
      <c r="T2181" s="280"/>
      <c r="U2181" s="250"/>
      <c r="V2181" s="280"/>
      <c r="W2181" s="280"/>
      <c r="X2181" s="280"/>
      <c r="Y2181" s="280"/>
      <c r="Z2181" s="486"/>
      <c r="AA2181" s="709"/>
      <c r="AB2181" s="441"/>
      <c r="AC2181" s="488"/>
      <c r="AD2181" s="441"/>
      <c r="AE2181" s="494"/>
      <c r="AF2181" s="494"/>
      <c r="AG2181" s="476"/>
      <c r="AH2181" s="441"/>
      <c r="AI2181" s="866"/>
      <c r="AJ2181" s="491"/>
      <c r="AK2181" s="476">
        <v>3</v>
      </c>
      <c r="AL2181" s="169" t="s">
        <v>759</v>
      </c>
      <c r="AM2181" s="169" t="s">
        <v>723</v>
      </c>
      <c r="AN2181" s="147"/>
      <c r="AO2181" s="193"/>
      <c r="AR2181" s="115"/>
    </row>
    <row r="2182" spans="1:46" ht="39" customHeight="1" x14ac:dyDescent="0.3">
      <c r="A2182" s="1468">
        <v>2181</v>
      </c>
      <c r="B2182" s="161">
        <v>2</v>
      </c>
      <c r="C2182" s="1106" t="s">
        <v>696</v>
      </c>
      <c r="D2182" s="595"/>
      <c r="E2182" s="595"/>
      <c r="F2182" s="595"/>
      <c r="G2182" s="1259" t="s">
        <v>738</v>
      </c>
      <c r="H2182" s="262" t="s">
        <v>87</v>
      </c>
      <c r="I2182" s="595"/>
      <c r="J2182" s="245" t="s">
        <v>561</v>
      </c>
      <c r="K2182" s="288"/>
      <c r="L2182" s="277" t="s">
        <v>6071</v>
      </c>
      <c r="M2182" s="277" t="s">
        <v>6071</v>
      </c>
      <c r="N2182" s="366"/>
      <c r="O2182" s="1431" t="s">
        <v>6205</v>
      </c>
      <c r="P2182" s="402"/>
      <c r="Q2182" s="380" t="s">
        <v>87</v>
      </c>
      <c r="R2182" s="1494" t="s">
        <v>6080</v>
      </c>
      <c r="S2182" s="279">
        <v>38197</v>
      </c>
      <c r="T2182" s="197"/>
      <c r="U2182" s="250"/>
      <c r="V2182" s="216"/>
      <c r="W2182" s="1431"/>
      <c r="X2182" s="1431"/>
      <c r="Y2182" s="288"/>
      <c r="Z2182" s="612"/>
      <c r="AA2182" s="246"/>
      <c r="AB2182" s="288"/>
      <c r="AC2182" s="1431"/>
      <c r="AD2182" s="281"/>
      <c r="AE2182" s="494"/>
      <c r="AF2182" s="494"/>
      <c r="AG2182" s="241"/>
      <c r="AH2182" s="283"/>
      <c r="AI2182" s="712" t="s">
        <v>4208</v>
      </c>
      <c r="AJ2182" s="507" t="s">
        <v>136</v>
      </c>
      <c r="AK2182" s="241">
        <v>4</v>
      </c>
      <c r="AL2182" s="121" t="s">
        <v>759</v>
      </c>
      <c r="AM2182" s="121" t="s">
        <v>723</v>
      </c>
      <c r="AN2182" s="199"/>
      <c r="AO2182" s="190"/>
      <c r="AR2182" s="115"/>
    </row>
    <row r="2183" spans="1:46" ht="39" customHeight="1" x14ac:dyDescent="0.3">
      <c r="A2183" s="1468">
        <v>2182</v>
      </c>
      <c r="B2183" s="161">
        <v>2</v>
      </c>
      <c r="C2183" s="358" t="s">
        <v>696</v>
      </c>
      <c r="D2183" s="595"/>
      <c r="E2183" s="595"/>
      <c r="F2183" s="595"/>
      <c r="G2183" s="1263" t="s">
        <v>738</v>
      </c>
      <c r="H2183" s="262" t="s">
        <v>87</v>
      </c>
      <c r="I2183" s="595"/>
      <c r="J2183" s="245" t="s">
        <v>561</v>
      </c>
      <c r="K2183" s="288" t="s">
        <v>158</v>
      </c>
      <c r="L2183" s="277" t="s">
        <v>4641</v>
      </c>
      <c r="M2183" s="277" t="s">
        <v>4641</v>
      </c>
      <c r="N2183" s="441"/>
      <c r="O2183" s="277" t="s">
        <v>4647</v>
      </c>
      <c r="P2183" s="720"/>
      <c r="Q2183" s="1110" t="s">
        <v>87</v>
      </c>
      <c r="R2183" s="1494" t="s">
        <v>4646</v>
      </c>
      <c r="S2183" s="279">
        <v>37894</v>
      </c>
      <c r="T2183" s="280"/>
      <c r="U2183" s="250"/>
      <c r="V2183" s="216"/>
      <c r="W2183" s="288"/>
      <c r="X2183" s="1260"/>
      <c r="Y2183" s="288"/>
      <c r="Z2183" s="612"/>
      <c r="AA2183" s="709"/>
      <c r="AB2183" s="441" t="s">
        <v>4679</v>
      </c>
      <c r="AC2183" s="223" t="s">
        <v>1475</v>
      </c>
      <c r="AD2183" s="281" t="s">
        <v>467</v>
      </c>
      <c r="AE2183" s="494">
        <v>45229</v>
      </c>
      <c r="AF2183" s="494">
        <v>45594</v>
      </c>
      <c r="AG2183" s="476"/>
      <c r="AH2183" s="441"/>
      <c r="AI2183" s="254" t="s">
        <v>4208</v>
      </c>
      <c r="AJ2183" s="303" t="s">
        <v>136</v>
      </c>
      <c r="AK2183" s="241">
        <v>4</v>
      </c>
      <c r="AL2183" s="121" t="s">
        <v>759</v>
      </c>
      <c r="AM2183" s="121" t="s">
        <v>723</v>
      </c>
      <c r="AN2183" s="199"/>
      <c r="AO2183" s="190"/>
      <c r="AR2183" s="115"/>
    </row>
    <row r="2184" spans="1:46" ht="39" customHeight="1" x14ac:dyDescent="0.3">
      <c r="A2184" s="1468">
        <v>2183</v>
      </c>
      <c r="B2184" s="161">
        <v>2</v>
      </c>
      <c r="C2184" s="520" t="s">
        <v>696</v>
      </c>
      <c r="D2184" s="640"/>
      <c r="E2184" s="640"/>
      <c r="F2184" s="640"/>
      <c r="G2184" s="626" t="s">
        <v>738</v>
      </c>
      <c r="H2184" s="262" t="s">
        <v>87</v>
      </c>
      <c r="I2184" s="640"/>
      <c r="J2184" s="245" t="s">
        <v>561</v>
      </c>
      <c r="K2184" s="288" t="s">
        <v>313</v>
      </c>
      <c r="L2184" s="277" t="s">
        <v>4641</v>
      </c>
      <c r="M2184" s="277" t="s">
        <v>4641</v>
      </c>
      <c r="N2184" s="441"/>
      <c r="O2184" s="277" t="s">
        <v>4649</v>
      </c>
      <c r="P2184" s="720"/>
      <c r="Q2184" s="1110" t="s">
        <v>87</v>
      </c>
      <c r="R2184" s="1494" t="s">
        <v>4648</v>
      </c>
      <c r="S2184" s="279">
        <v>35968</v>
      </c>
      <c r="T2184" s="280"/>
      <c r="U2184" s="250"/>
      <c r="V2184" s="216"/>
      <c r="W2184" s="1260"/>
      <c r="X2184" s="1260"/>
      <c r="Y2184" s="288"/>
      <c r="Z2184" s="612"/>
      <c r="AA2184" s="709"/>
      <c r="AB2184" s="441" t="s">
        <v>4680</v>
      </c>
      <c r="AC2184" s="1262" t="s">
        <v>946</v>
      </c>
      <c r="AD2184" s="281" t="s">
        <v>467</v>
      </c>
      <c r="AE2184" s="494">
        <v>45238</v>
      </c>
      <c r="AF2184" s="494">
        <v>45603</v>
      </c>
      <c r="AG2184" s="476"/>
      <c r="AH2184" s="441"/>
      <c r="AI2184" s="254" t="s">
        <v>4208</v>
      </c>
      <c r="AJ2184" s="303" t="s">
        <v>136</v>
      </c>
      <c r="AK2184" s="471">
        <v>4</v>
      </c>
      <c r="AL2184" s="166" t="s">
        <v>759</v>
      </c>
      <c r="AM2184" s="166" t="s">
        <v>723</v>
      </c>
      <c r="AN2184" s="201"/>
      <c r="AO2184" s="194"/>
      <c r="AR2184" s="115"/>
    </row>
    <row r="2185" spans="1:46" s="827" customFormat="1" ht="39" customHeight="1" x14ac:dyDescent="0.3">
      <c r="A2185" s="1468">
        <v>2184</v>
      </c>
      <c r="B2185" s="161"/>
      <c r="C2185" s="659"/>
      <c r="D2185" s="637"/>
      <c r="E2185" s="637"/>
      <c r="F2185" s="637"/>
      <c r="G2185" s="602"/>
      <c r="H2185" s="602"/>
      <c r="I2185" s="637"/>
      <c r="J2185" s="637"/>
      <c r="K2185" s="637"/>
      <c r="L2185" s="602"/>
      <c r="M2185" s="602"/>
      <c r="N2185" s="637"/>
      <c r="O2185" s="602"/>
      <c r="P2185" s="230" t="s">
        <v>764</v>
      </c>
      <c r="Q2185" s="637"/>
      <c r="R2185" s="1209"/>
      <c r="S2185" s="279"/>
      <c r="T2185" s="637"/>
      <c r="U2185" s="250"/>
      <c r="V2185" s="637"/>
      <c r="W2185" s="602"/>
      <c r="X2185" s="602"/>
      <c r="Y2185" s="637"/>
      <c r="Z2185" s="637"/>
      <c r="AA2185" s="637"/>
      <c r="AB2185" s="1295"/>
      <c r="AC2185" s="637"/>
      <c r="AD2185" s="659"/>
      <c r="AE2185" s="494"/>
      <c r="AF2185" s="494"/>
      <c r="AG2185" s="637"/>
      <c r="AH2185" s="637"/>
      <c r="AI2185" s="602"/>
      <c r="AJ2185" s="602"/>
      <c r="AK2185" s="602"/>
      <c r="AL2185" s="205"/>
      <c r="AM2185" s="205"/>
      <c r="AN2185" s="202"/>
      <c r="AO2185" s="196"/>
      <c r="AP2185" s="192"/>
      <c r="AQ2185" s="192"/>
      <c r="AR2185" s="192"/>
      <c r="AS2185" s="192"/>
      <c r="AT2185" s="192"/>
    </row>
    <row r="2186" spans="1:46" ht="39" customHeight="1" x14ac:dyDescent="0.3">
      <c r="A2186" s="1468">
        <v>2185</v>
      </c>
      <c r="B2186" s="161">
        <v>5</v>
      </c>
      <c r="C2186" s="934" t="s">
        <v>367</v>
      </c>
      <c r="D2186" s="864"/>
      <c r="E2186" s="864"/>
      <c r="F2186" s="864"/>
      <c r="G2186" s="846" t="s">
        <v>415</v>
      </c>
      <c r="H2186" s="846" t="s">
        <v>132</v>
      </c>
      <c r="I2186" s="642"/>
      <c r="J2186" s="256">
        <v>403</v>
      </c>
      <c r="K2186" s="571"/>
      <c r="L2186" s="301"/>
      <c r="M2186" s="301"/>
      <c r="N2186" s="571"/>
      <c r="O2186" s="1357"/>
      <c r="P2186" s="571"/>
      <c r="Q2186" s="373"/>
      <c r="R2186" s="1494" t="s">
        <v>66</v>
      </c>
      <c r="S2186" s="279"/>
      <c r="T2186" s="571"/>
      <c r="U2186" s="250"/>
      <c r="V2186" s="280"/>
      <c r="W2186" s="197"/>
      <c r="X2186" s="289"/>
      <c r="Y2186" s="280"/>
      <c r="Z2186" s="486"/>
      <c r="AA2186" s="571"/>
      <c r="AB2186" s="571"/>
      <c r="AC2186" s="571"/>
      <c r="AD2186" s="571"/>
      <c r="AE2186" s="494"/>
      <c r="AF2186" s="494"/>
      <c r="AG2186" s="571"/>
      <c r="AH2186" s="571"/>
      <c r="AI2186" s="254"/>
      <c r="AJ2186" s="348"/>
      <c r="AK2186" s="491">
        <v>3</v>
      </c>
      <c r="AL2186" s="169" t="s">
        <v>759</v>
      </c>
      <c r="AM2186" s="169" t="s">
        <v>723</v>
      </c>
      <c r="AN2186" s="200"/>
      <c r="AO2186" s="193"/>
      <c r="AR2186" s="115"/>
    </row>
    <row r="2187" spans="1:46" ht="39" customHeight="1" x14ac:dyDescent="0.3">
      <c r="A2187" s="1468">
        <v>2186</v>
      </c>
      <c r="B2187" s="161">
        <v>2</v>
      </c>
      <c r="C2187" s="358" t="s">
        <v>299</v>
      </c>
      <c r="D2187" s="595"/>
      <c r="E2187" s="595"/>
      <c r="F2187" s="595"/>
      <c r="G2187" s="392" t="s">
        <v>300</v>
      </c>
      <c r="H2187" s="262" t="s">
        <v>87</v>
      </c>
      <c r="I2187" s="595"/>
      <c r="J2187" s="245" t="s">
        <v>561</v>
      </c>
      <c r="K2187" s="288" t="s">
        <v>313</v>
      </c>
      <c r="L2187" s="277" t="s">
        <v>4641</v>
      </c>
      <c r="M2187" s="277" t="s">
        <v>4641</v>
      </c>
      <c r="N2187" s="366"/>
      <c r="O2187" s="1263" t="s">
        <v>4651</v>
      </c>
      <c r="P2187" s="374"/>
      <c r="Q2187" s="380" t="s">
        <v>87</v>
      </c>
      <c r="R2187" s="1494" t="s">
        <v>4650</v>
      </c>
      <c r="S2187" s="279">
        <v>35760</v>
      </c>
      <c r="T2187" s="257"/>
      <c r="U2187" s="250"/>
      <c r="V2187" s="216"/>
      <c r="W2187" s="1260"/>
      <c r="X2187" s="1260"/>
      <c r="Y2187" s="288"/>
      <c r="Z2187" s="612"/>
      <c r="AA2187" s="252"/>
      <c r="AB2187" s="257" t="s">
        <v>4357</v>
      </c>
      <c r="AC2187" s="223" t="s">
        <v>4227</v>
      </c>
      <c r="AD2187" s="281" t="s">
        <v>467</v>
      </c>
      <c r="AE2187" s="494">
        <v>45239</v>
      </c>
      <c r="AF2187" s="494">
        <v>45604</v>
      </c>
      <c r="AG2187" s="1263"/>
      <c r="AH2187" s="299"/>
      <c r="AI2187" s="254" t="s">
        <v>4208</v>
      </c>
      <c r="AJ2187" s="303" t="s">
        <v>136</v>
      </c>
      <c r="AK2187" s="241">
        <v>4</v>
      </c>
      <c r="AL2187" s="121" t="s">
        <v>759</v>
      </c>
      <c r="AM2187" s="121" t="s">
        <v>723</v>
      </c>
      <c r="AN2187" s="199"/>
      <c r="AO2187" s="190"/>
      <c r="AR2187" s="115"/>
    </row>
    <row r="2188" spans="1:46" ht="39" customHeight="1" x14ac:dyDescent="0.3">
      <c r="A2188" s="1468">
        <v>2187</v>
      </c>
      <c r="B2188" s="161">
        <v>2</v>
      </c>
      <c r="C2188" s="358" t="s">
        <v>299</v>
      </c>
      <c r="D2188" s="595"/>
      <c r="E2188" s="595"/>
      <c r="F2188" s="595"/>
      <c r="G2188" s="392" t="s">
        <v>300</v>
      </c>
      <c r="H2188" s="262" t="s">
        <v>87</v>
      </c>
      <c r="I2188" s="595"/>
      <c r="J2188" s="245" t="s">
        <v>561</v>
      </c>
      <c r="K2188" s="257"/>
      <c r="L2188" s="281" t="s">
        <v>1527</v>
      </c>
      <c r="M2188" s="281" t="s">
        <v>4607</v>
      </c>
      <c r="N2188" s="366"/>
      <c r="O2188" s="392" t="s">
        <v>3070</v>
      </c>
      <c r="P2188" s="402"/>
      <c r="Q2188" s="380" t="s">
        <v>87</v>
      </c>
      <c r="R2188" s="1494" t="s">
        <v>1745</v>
      </c>
      <c r="S2188" s="279"/>
      <c r="T2188" s="197"/>
      <c r="U2188" s="250"/>
      <c r="V2188" s="197"/>
      <c r="W2188" s="250"/>
      <c r="X2188" s="197"/>
      <c r="Y2188" s="245"/>
      <c r="Z2188" s="246"/>
      <c r="AA2188" s="246"/>
      <c r="AB2188" s="361"/>
      <c r="AC2188" s="223" t="s">
        <v>946</v>
      </c>
      <c r="AD2188" s="376"/>
      <c r="AE2188" s="494"/>
      <c r="AF2188" s="494"/>
      <c r="AG2188" s="241"/>
      <c r="AH2188" s="283"/>
      <c r="AI2188" s="254" t="s">
        <v>1351</v>
      </c>
      <c r="AJ2188" s="303" t="s">
        <v>136</v>
      </c>
      <c r="AK2188" s="241">
        <v>4</v>
      </c>
      <c r="AL2188" s="121" t="s">
        <v>759</v>
      </c>
      <c r="AM2188" s="121" t="s">
        <v>723</v>
      </c>
      <c r="AN2188" s="199"/>
      <c r="AO2188" s="190"/>
      <c r="AR2188" s="115"/>
    </row>
    <row r="2189" spans="1:46" ht="39" customHeight="1" x14ac:dyDescent="0.3">
      <c r="A2189" s="1468">
        <v>2188</v>
      </c>
      <c r="B2189" s="161">
        <v>2</v>
      </c>
      <c r="C2189" s="358" t="s">
        <v>299</v>
      </c>
      <c r="D2189" s="595"/>
      <c r="E2189" s="595"/>
      <c r="F2189" s="595"/>
      <c r="G2189" s="392" t="s">
        <v>300</v>
      </c>
      <c r="H2189" s="262" t="s">
        <v>87</v>
      </c>
      <c r="I2189" s="595"/>
      <c r="J2189" s="245" t="s">
        <v>561</v>
      </c>
      <c r="K2189" s="257"/>
      <c r="L2189" s="301" t="s">
        <v>1113</v>
      </c>
      <c r="M2189" s="281" t="s">
        <v>4607</v>
      </c>
      <c r="N2189" s="299"/>
      <c r="O2189" s="392" t="s">
        <v>2898</v>
      </c>
      <c r="P2189" s="300"/>
      <c r="Q2189" s="380" t="s">
        <v>87</v>
      </c>
      <c r="R2189" s="1494" t="s">
        <v>1371</v>
      </c>
      <c r="S2189" s="279"/>
      <c r="T2189" s="289"/>
      <c r="U2189" s="250"/>
      <c r="V2189" s="299"/>
      <c r="W2189" s="250"/>
      <c r="X2189" s="250"/>
      <c r="Y2189" s="299"/>
      <c r="Z2189" s="289"/>
      <c r="AA2189" s="289"/>
      <c r="AB2189" s="299"/>
      <c r="AC2189" s="223" t="s">
        <v>946</v>
      </c>
      <c r="AD2189" s="299"/>
      <c r="AE2189" s="494">
        <v>45076</v>
      </c>
      <c r="AF2189" s="494">
        <v>45441</v>
      </c>
      <c r="AG2189" s="299"/>
      <c r="AH2189" s="299"/>
      <c r="AI2189" s="254" t="s">
        <v>1351</v>
      </c>
      <c r="AJ2189" s="303" t="s">
        <v>136</v>
      </c>
      <c r="AK2189" s="241">
        <v>4</v>
      </c>
      <c r="AL2189" s="121" t="s">
        <v>759</v>
      </c>
      <c r="AM2189" s="121" t="s">
        <v>723</v>
      </c>
      <c r="AN2189" s="199"/>
      <c r="AO2189" s="190"/>
      <c r="AR2189" s="115"/>
    </row>
    <row r="2190" spans="1:46" ht="39" customHeight="1" x14ac:dyDescent="0.3">
      <c r="A2190" s="1468">
        <v>2189</v>
      </c>
      <c r="B2190" s="161">
        <v>2</v>
      </c>
      <c r="C2190" s="358" t="s">
        <v>299</v>
      </c>
      <c r="D2190" s="595"/>
      <c r="E2190" s="595"/>
      <c r="F2190" s="595"/>
      <c r="G2190" s="1263" t="s">
        <v>300</v>
      </c>
      <c r="H2190" s="262" t="s">
        <v>87</v>
      </c>
      <c r="I2190" s="595"/>
      <c r="J2190" s="245" t="s">
        <v>561</v>
      </c>
      <c r="K2190" s="288" t="s">
        <v>4732</v>
      </c>
      <c r="L2190" s="277" t="s">
        <v>4641</v>
      </c>
      <c r="M2190" s="277" t="s">
        <v>4641</v>
      </c>
      <c r="N2190" s="366"/>
      <c r="O2190" s="216" t="s">
        <v>4653</v>
      </c>
      <c r="P2190" s="374"/>
      <c r="Q2190" s="380" t="s">
        <v>87</v>
      </c>
      <c r="R2190" s="1494" t="s">
        <v>4652</v>
      </c>
      <c r="S2190" s="279">
        <v>38506</v>
      </c>
      <c r="T2190" s="257"/>
      <c r="U2190" s="250"/>
      <c r="V2190" s="216"/>
      <c r="W2190" s="1260"/>
      <c r="X2190" s="1260"/>
      <c r="Y2190" s="288"/>
      <c r="Z2190" s="612"/>
      <c r="AA2190" s="246"/>
      <c r="AB2190" s="257" t="s">
        <v>4681</v>
      </c>
      <c r="AC2190" s="1263" t="s">
        <v>946</v>
      </c>
      <c r="AD2190" s="281" t="s">
        <v>467</v>
      </c>
      <c r="AE2190" s="494">
        <v>45237</v>
      </c>
      <c r="AF2190" s="494">
        <v>45602</v>
      </c>
      <c r="AG2190" s="1263"/>
      <c r="AH2190" s="299"/>
      <c r="AI2190" s="254" t="s">
        <v>4208</v>
      </c>
      <c r="AJ2190" s="303" t="s">
        <v>136</v>
      </c>
      <c r="AK2190" s="241">
        <v>4</v>
      </c>
      <c r="AL2190" s="121" t="s">
        <v>759</v>
      </c>
      <c r="AM2190" s="121" t="s">
        <v>723</v>
      </c>
      <c r="AN2190" s="199"/>
      <c r="AO2190" s="190"/>
      <c r="AR2190" s="115"/>
    </row>
    <row r="2191" spans="1:46" ht="39" customHeight="1" x14ac:dyDescent="0.3">
      <c r="A2191" s="1468">
        <v>2190</v>
      </c>
      <c r="B2191" s="161">
        <v>2</v>
      </c>
      <c r="C2191" s="1046" t="s">
        <v>446</v>
      </c>
      <c r="D2191" s="595"/>
      <c r="E2191" s="595"/>
      <c r="F2191" s="595"/>
      <c r="G2191" s="1259" t="s">
        <v>354</v>
      </c>
      <c r="H2191" s="262" t="s">
        <v>87</v>
      </c>
      <c r="I2191" s="595"/>
      <c r="J2191" s="245" t="s">
        <v>561</v>
      </c>
      <c r="K2191" s="288" t="s">
        <v>4732</v>
      </c>
      <c r="L2191" s="216" t="s">
        <v>4641</v>
      </c>
      <c r="M2191" s="216" t="s">
        <v>4641</v>
      </c>
      <c r="N2191" s="595"/>
      <c r="O2191" s="1263" t="s">
        <v>4722</v>
      </c>
      <c r="P2191" s="595"/>
      <c r="Q2191" s="380" t="s">
        <v>87</v>
      </c>
      <c r="R2191" s="1494" t="s">
        <v>4654</v>
      </c>
      <c r="S2191" s="279">
        <v>38506</v>
      </c>
      <c r="T2191" s="595"/>
      <c r="U2191" s="250"/>
      <c r="V2191" s="216"/>
      <c r="W2191" s="1260"/>
      <c r="X2191" s="1260"/>
      <c r="Y2191" s="288"/>
      <c r="Z2191" s="612"/>
      <c r="AA2191" s="595"/>
      <c r="AB2191" s="257" t="s">
        <v>4681</v>
      </c>
      <c r="AC2191" s="1263" t="s">
        <v>946</v>
      </c>
      <c r="AD2191" s="281" t="s">
        <v>467</v>
      </c>
      <c r="AE2191" s="494">
        <v>45237</v>
      </c>
      <c r="AF2191" s="494">
        <v>45602</v>
      </c>
      <c r="AG2191" s="595"/>
      <c r="AH2191" s="595"/>
      <c r="AI2191" s="254" t="s">
        <v>4208</v>
      </c>
      <c r="AJ2191" s="303" t="s">
        <v>136</v>
      </c>
      <c r="AK2191" s="241">
        <v>4</v>
      </c>
      <c r="AL2191" s="121" t="s">
        <v>759</v>
      </c>
      <c r="AM2191" s="121" t="s">
        <v>723</v>
      </c>
      <c r="AN2191" s="147" t="s">
        <v>4193</v>
      </c>
      <c r="AO2191" s="194"/>
      <c r="AR2191" s="115"/>
      <c r="AS2191" s="115"/>
      <c r="AT2191" s="115"/>
    </row>
    <row r="2192" spans="1:46" s="827" customFormat="1" ht="39" customHeight="1" x14ac:dyDescent="0.3">
      <c r="A2192" s="1468">
        <v>2191</v>
      </c>
      <c r="B2192" s="161"/>
      <c r="C2192" s="1013"/>
      <c r="D2192" s="637"/>
      <c r="E2192" s="637"/>
      <c r="F2192" s="637"/>
      <c r="G2192" s="602"/>
      <c r="H2192" s="602"/>
      <c r="I2192" s="637"/>
      <c r="J2192" s="637"/>
      <c r="K2192" s="637"/>
      <c r="L2192" s="602"/>
      <c r="M2192" s="602"/>
      <c r="N2192" s="637"/>
      <c r="O2192" s="602"/>
      <c r="P2192" s="230" t="s">
        <v>765</v>
      </c>
      <c r="Q2192" s="637"/>
      <c r="R2192" s="1209"/>
      <c r="S2192" s="279"/>
      <c r="T2192" s="637"/>
      <c r="U2192" s="250"/>
      <c r="V2192" s="637"/>
      <c r="W2192" s="602"/>
      <c r="X2192" s="602"/>
      <c r="Y2192" s="637"/>
      <c r="Z2192" s="637"/>
      <c r="AA2192" s="637"/>
      <c r="AB2192" s="1295"/>
      <c r="AC2192" s="637"/>
      <c r="AD2192" s="659"/>
      <c r="AE2192" s="494"/>
      <c r="AF2192" s="494"/>
      <c r="AG2192" s="637"/>
      <c r="AH2192" s="637"/>
      <c r="AI2192" s="602"/>
      <c r="AJ2192" s="602"/>
      <c r="AK2192" s="602"/>
      <c r="AL2192" s="205"/>
      <c r="AM2192" s="205"/>
      <c r="AN2192" s="202"/>
      <c r="AO2192" s="196"/>
      <c r="AP2192" s="192"/>
      <c r="AQ2192" s="192"/>
      <c r="AR2192" s="192"/>
      <c r="AS2192" s="192"/>
      <c r="AT2192" s="192"/>
    </row>
    <row r="2193" spans="1:46" ht="39" customHeight="1" x14ac:dyDescent="0.3">
      <c r="A2193" s="1468">
        <v>2192</v>
      </c>
      <c r="B2193" s="161">
        <v>6</v>
      </c>
      <c r="C2193" s="1109" t="s">
        <v>766</v>
      </c>
      <c r="D2193" s="642"/>
      <c r="E2193" s="642"/>
      <c r="F2193" s="642"/>
      <c r="G2193" s="625" t="s">
        <v>767</v>
      </c>
      <c r="H2193" s="262" t="s">
        <v>85</v>
      </c>
      <c r="I2193" s="642"/>
      <c r="J2193" s="245" t="s">
        <v>556</v>
      </c>
      <c r="K2193" s="265" t="s">
        <v>158</v>
      </c>
      <c r="L2193" s="438" t="s">
        <v>952</v>
      </c>
      <c r="M2193" s="438" t="s">
        <v>952</v>
      </c>
      <c r="N2193" s="264"/>
      <c r="O2193" s="265" t="s">
        <v>953</v>
      </c>
      <c r="P2193" s="1124"/>
      <c r="Q2193" s="373" t="s">
        <v>519</v>
      </c>
      <c r="R2193" s="1503" t="s">
        <v>954</v>
      </c>
      <c r="S2193" s="279">
        <v>34648</v>
      </c>
      <c r="T2193" s="414"/>
      <c r="U2193" s="250"/>
      <c r="V2193" s="197"/>
      <c r="W2193" s="268" t="s">
        <v>2779</v>
      </c>
      <c r="X2193" s="268"/>
      <c r="Y2193" s="268"/>
      <c r="Z2193" s="246"/>
      <c r="AA2193" s="405"/>
      <c r="AB2193" s="438"/>
      <c r="AC2193" s="474" t="s">
        <v>946</v>
      </c>
      <c r="AD2193" s="438"/>
      <c r="AE2193" s="494"/>
      <c r="AF2193" s="494">
        <v>44888</v>
      </c>
      <c r="AG2193" s="471" t="s">
        <v>61</v>
      </c>
      <c r="AH2193" s="585"/>
      <c r="AI2193" s="1101"/>
      <c r="AJ2193" s="348" t="s">
        <v>560</v>
      </c>
      <c r="AK2193" s="476">
        <v>4</v>
      </c>
      <c r="AL2193" s="169" t="s">
        <v>759</v>
      </c>
      <c r="AM2193" s="169" t="s">
        <v>723</v>
      </c>
      <c r="AN2193" s="200"/>
      <c r="AO2193" s="193"/>
      <c r="AR2193" s="115"/>
    </row>
    <row r="2194" spans="1:46" ht="39" customHeight="1" x14ac:dyDescent="0.3">
      <c r="A2194" s="1468">
        <v>2193</v>
      </c>
      <c r="B2194" s="161">
        <v>2</v>
      </c>
      <c r="C2194" s="504" t="s">
        <v>768</v>
      </c>
      <c r="D2194" s="640"/>
      <c r="E2194" s="640"/>
      <c r="F2194" s="640"/>
      <c r="G2194" s="626" t="s">
        <v>354</v>
      </c>
      <c r="H2194" s="262" t="s">
        <v>87</v>
      </c>
      <c r="I2194" s="640"/>
      <c r="J2194" s="245" t="s">
        <v>561</v>
      </c>
      <c r="K2194" s="571"/>
      <c r="L2194" s="277" t="s">
        <v>6071</v>
      </c>
      <c r="M2194" s="277" t="s">
        <v>6071</v>
      </c>
      <c r="N2194" s="571"/>
      <c r="O2194" s="1357" t="s">
        <v>6207</v>
      </c>
      <c r="P2194" s="571"/>
      <c r="Q2194" s="380" t="s">
        <v>87</v>
      </c>
      <c r="R2194" s="1494" t="s">
        <v>6081</v>
      </c>
      <c r="S2194" s="279">
        <v>38556</v>
      </c>
      <c r="T2194" s="571"/>
      <c r="U2194" s="250"/>
      <c r="V2194" s="280"/>
      <c r="W2194" s="197"/>
      <c r="X2194" s="289"/>
      <c r="Y2194" s="197"/>
      <c r="Z2194" s="486"/>
      <c r="AA2194" s="571"/>
      <c r="AB2194" s="571"/>
      <c r="AC2194" s="571"/>
      <c r="AD2194" s="571"/>
      <c r="AE2194" s="494"/>
      <c r="AF2194" s="494"/>
      <c r="AG2194" s="571"/>
      <c r="AH2194" s="571"/>
      <c r="AI2194" s="712" t="s">
        <v>4208</v>
      </c>
      <c r="AJ2194" s="507" t="s">
        <v>136</v>
      </c>
      <c r="AK2194" s="471">
        <v>4</v>
      </c>
      <c r="AL2194" s="166" t="s">
        <v>759</v>
      </c>
      <c r="AM2194" s="166" t="s">
        <v>723</v>
      </c>
      <c r="AN2194" s="147" t="s">
        <v>5783</v>
      </c>
      <c r="AO2194" s="194"/>
      <c r="AR2194" s="115"/>
      <c r="AS2194" s="115"/>
      <c r="AT2194" s="115"/>
    </row>
    <row r="2195" spans="1:46" s="827" customFormat="1" ht="39" customHeight="1" x14ac:dyDescent="0.3">
      <c r="A2195" s="1468">
        <v>2194</v>
      </c>
      <c r="B2195" s="161"/>
      <c r="C2195" s="945"/>
      <c r="D2195" s="637"/>
      <c r="E2195" s="637"/>
      <c r="F2195" s="637"/>
      <c r="G2195" s="602"/>
      <c r="H2195" s="602"/>
      <c r="I2195" s="637"/>
      <c r="J2195" s="637"/>
      <c r="K2195" s="637"/>
      <c r="L2195" s="602"/>
      <c r="M2195" s="602"/>
      <c r="N2195" s="637"/>
      <c r="O2195" s="602"/>
      <c r="P2195" s="230" t="s">
        <v>769</v>
      </c>
      <c r="Q2195" s="637"/>
      <c r="R2195" s="1209"/>
      <c r="S2195" s="279"/>
      <c r="T2195" s="637"/>
      <c r="U2195" s="250"/>
      <c r="V2195" s="637"/>
      <c r="W2195" s="602"/>
      <c r="X2195" s="602"/>
      <c r="Y2195" s="637"/>
      <c r="Z2195" s="637"/>
      <c r="AA2195" s="637"/>
      <c r="AB2195" s="1295"/>
      <c r="AC2195" s="637"/>
      <c r="AD2195" s="659"/>
      <c r="AE2195" s="494"/>
      <c r="AF2195" s="494"/>
      <c r="AG2195" s="637"/>
      <c r="AH2195" s="637"/>
      <c r="AI2195" s="602"/>
      <c r="AJ2195" s="602"/>
      <c r="AK2195" s="602"/>
      <c r="AL2195" s="205"/>
      <c r="AM2195" s="205"/>
      <c r="AN2195" s="202"/>
      <c r="AO2195" s="196"/>
      <c r="AP2195" s="192"/>
      <c r="AQ2195" s="192"/>
      <c r="AR2195" s="192"/>
      <c r="AS2195" s="192"/>
      <c r="AT2195" s="192"/>
    </row>
    <row r="2196" spans="1:46" ht="39" customHeight="1" x14ac:dyDescent="0.3">
      <c r="A2196" s="1468">
        <v>2195</v>
      </c>
      <c r="B2196" s="161">
        <v>10</v>
      </c>
      <c r="C2196" s="930" t="s">
        <v>305</v>
      </c>
      <c r="D2196" s="643"/>
      <c r="E2196" s="643"/>
      <c r="F2196" s="643"/>
      <c r="G2196" s="644" t="s">
        <v>770</v>
      </c>
      <c r="H2196" s="644" t="s">
        <v>283</v>
      </c>
      <c r="I2196" s="643"/>
      <c r="J2196" s="281">
        <v>410</v>
      </c>
      <c r="K2196" s="216" t="s">
        <v>158</v>
      </c>
      <c r="L2196" s="216" t="s">
        <v>1243</v>
      </c>
      <c r="M2196" s="216" t="s">
        <v>1243</v>
      </c>
      <c r="N2196" s="245"/>
      <c r="O2196" s="216" t="s">
        <v>1314</v>
      </c>
      <c r="P2196" s="1102"/>
      <c r="Q2196" s="352" t="s">
        <v>153</v>
      </c>
      <c r="R2196" s="1502" t="s">
        <v>1315</v>
      </c>
      <c r="S2196" s="279">
        <v>28002</v>
      </c>
      <c r="T2196" s="197"/>
      <c r="U2196" s="251" t="s">
        <v>54</v>
      </c>
      <c r="V2196" s="250" t="s">
        <v>1891</v>
      </c>
      <c r="W2196" s="197" t="s">
        <v>56</v>
      </c>
      <c r="X2196" s="250" t="s">
        <v>57</v>
      </c>
      <c r="Y2196" s="819" t="s">
        <v>1316</v>
      </c>
      <c r="Z2196" s="252">
        <v>44721</v>
      </c>
      <c r="AA2196" s="246"/>
      <c r="AB2196" s="361"/>
      <c r="AC2196" s="223" t="s">
        <v>946</v>
      </c>
      <c r="AD2196" s="361"/>
      <c r="AE2196" s="494">
        <v>44146</v>
      </c>
      <c r="AF2196" s="494">
        <v>45240</v>
      </c>
      <c r="AG2196" s="241" t="s">
        <v>61</v>
      </c>
      <c r="AH2196" s="283"/>
      <c r="AI2196" s="284"/>
      <c r="AJ2196" s="317" t="s">
        <v>47</v>
      </c>
      <c r="AK2196" s="242">
        <v>2</v>
      </c>
      <c r="AL2196" s="882" t="s">
        <v>771</v>
      </c>
      <c r="AM2196" s="882" t="s">
        <v>723</v>
      </c>
      <c r="AN2196" s="903"/>
      <c r="AO2196" s="904"/>
      <c r="AR2196" s="115"/>
    </row>
    <row r="2197" spans="1:46" s="827" customFormat="1" ht="39" customHeight="1" x14ac:dyDescent="0.3">
      <c r="A2197" s="1468">
        <v>2196</v>
      </c>
      <c r="B2197" s="161"/>
      <c r="C2197" s="723"/>
      <c r="D2197" s="637"/>
      <c r="E2197" s="637"/>
      <c r="F2197" s="637"/>
      <c r="G2197" s="602"/>
      <c r="H2197" s="602"/>
      <c r="I2197" s="637"/>
      <c r="J2197" s="637"/>
      <c r="K2197" s="637"/>
      <c r="L2197" s="602"/>
      <c r="M2197" s="602"/>
      <c r="N2197" s="637"/>
      <c r="O2197" s="602"/>
      <c r="P2197" s="230" t="s">
        <v>772</v>
      </c>
      <c r="Q2197" s="637"/>
      <c r="R2197" s="1209"/>
      <c r="S2197" s="279"/>
      <c r="T2197" s="637"/>
      <c r="U2197" s="250"/>
      <c r="V2197" s="637"/>
      <c r="W2197" s="602"/>
      <c r="X2197" s="602"/>
      <c r="Y2197" s="637"/>
      <c r="Z2197" s="637"/>
      <c r="AA2197" s="637"/>
      <c r="AB2197" s="1295"/>
      <c r="AC2197" s="637"/>
      <c r="AD2197" s="659"/>
      <c r="AE2197" s="494"/>
      <c r="AF2197" s="494"/>
      <c r="AG2197" s="637"/>
      <c r="AH2197" s="637"/>
      <c r="AI2197" s="602"/>
      <c r="AJ2197" s="602"/>
      <c r="AK2197" s="602"/>
      <c r="AL2197" s="205"/>
      <c r="AM2197" s="205"/>
      <c r="AN2197" s="202"/>
      <c r="AO2197" s="196"/>
      <c r="AP2197" s="192"/>
      <c r="AQ2197" s="192"/>
      <c r="AR2197" s="192"/>
      <c r="AS2197" s="192"/>
      <c r="AT2197" s="192"/>
    </row>
    <row r="2198" spans="1:46" ht="39" customHeight="1" x14ac:dyDescent="0.3">
      <c r="A2198" s="1468">
        <v>2197</v>
      </c>
      <c r="B2198" s="161">
        <v>7</v>
      </c>
      <c r="C2198" s="710" t="s">
        <v>374</v>
      </c>
      <c r="D2198" s="642"/>
      <c r="E2198" s="642"/>
      <c r="F2198" s="642"/>
      <c r="G2198" s="846" t="s">
        <v>773</v>
      </c>
      <c r="H2198" s="625" t="s">
        <v>132</v>
      </c>
      <c r="I2198" s="642"/>
      <c r="J2198" s="256">
        <v>403</v>
      </c>
      <c r="K2198" s="216"/>
      <c r="L2198" s="299"/>
      <c r="M2198" s="245"/>
      <c r="N2198" s="245"/>
      <c r="O2198" s="216" t="s">
        <v>3306</v>
      </c>
      <c r="P2198" s="372"/>
      <c r="Q2198" s="373" t="s">
        <v>132</v>
      </c>
      <c r="R2198" s="1503" t="s">
        <v>1112</v>
      </c>
      <c r="S2198" s="279">
        <v>30354</v>
      </c>
      <c r="T2198" s="289"/>
      <c r="U2198" s="251" t="s">
        <v>391</v>
      </c>
      <c r="V2198" s="306" t="s">
        <v>6054</v>
      </c>
      <c r="W2198" s="981" t="s">
        <v>5831</v>
      </c>
      <c r="X2198" s="250" t="s">
        <v>2002</v>
      </c>
      <c r="Y2198" s="949" t="s">
        <v>6057</v>
      </c>
      <c r="Z2198" s="246">
        <v>45315</v>
      </c>
      <c r="AA2198" s="252"/>
      <c r="AB2198" s="241"/>
      <c r="AC2198" s="223"/>
      <c r="AD2198" s="299"/>
      <c r="AE2198" s="494"/>
      <c r="AF2198" s="494"/>
      <c r="AG2198" s="241" t="s">
        <v>61</v>
      </c>
      <c r="AH2198" s="253"/>
      <c r="AI2198" s="296"/>
      <c r="AJ2198" s="348" t="s">
        <v>560</v>
      </c>
      <c r="AK2198" s="476">
        <v>3</v>
      </c>
      <c r="AL2198" s="169" t="s">
        <v>771</v>
      </c>
      <c r="AM2198" s="169" t="s">
        <v>723</v>
      </c>
      <c r="AN2198" s="200"/>
      <c r="AO2198" s="193"/>
      <c r="AR2198" s="115"/>
    </row>
    <row r="2199" spans="1:46" ht="39" customHeight="1" x14ac:dyDescent="0.3">
      <c r="A2199" s="1468">
        <v>2198</v>
      </c>
      <c r="B2199" s="161">
        <v>2</v>
      </c>
      <c r="C2199" s="568" t="s">
        <v>777</v>
      </c>
      <c r="D2199" s="595"/>
      <c r="E2199" s="595"/>
      <c r="F2199" s="595"/>
      <c r="G2199" s="392" t="s">
        <v>774</v>
      </c>
      <c r="H2199" s="262" t="s">
        <v>87</v>
      </c>
      <c r="I2199" s="595"/>
      <c r="J2199" s="245" t="s">
        <v>561</v>
      </c>
      <c r="K2199" s="288"/>
      <c r="L2199" s="197" t="s">
        <v>5748</v>
      </c>
      <c r="M2199" s="197" t="s">
        <v>5748</v>
      </c>
      <c r="N2199" s="366"/>
      <c r="O2199" s="1263" t="s">
        <v>5751</v>
      </c>
      <c r="P2199" s="402"/>
      <c r="Q2199" s="373" t="s">
        <v>87</v>
      </c>
      <c r="R2199" s="1503" t="s">
        <v>5750</v>
      </c>
      <c r="S2199" s="279">
        <v>26507</v>
      </c>
      <c r="T2199" s="197"/>
      <c r="U2199" s="251" t="s">
        <v>391</v>
      </c>
      <c r="V2199" s="197" t="s">
        <v>6136</v>
      </c>
      <c r="W2199" s="288" t="s">
        <v>6139</v>
      </c>
      <c r="X2199" s="250" t="s">
        <v>2002</v>
      </c>
      <c r="Y2199" s="1127" t="s">
        <v>6140</v>
      </c>
      <c r="Z2199" s="612">
        <v>45321</v>
      </c>
      <c r="AA2199" s="246"/>
      <c r="AB2199" s="288"/>
      <c r="AC2199" s="1263"/>
      <c r="AD2199" s="281"/>
      <c r="AE2199" s="494"/>
      <c r="AF2199" s="494"/>
      <c r="AG2199" s="241"/>
      <c r="AH2199" s="283"/>
      <c r="AI2199" s="254"/>
      <c r="AJ2199" s="348" t="s">
        <v>560</v>
      </c>
      <c r="AK2199" s="241">
        <v>4</v>
      </c>
      <c r="AL2199" s="121" t="s">
        <v>771</v>
      </c>
      <c r="AM2199" s="121" t="s">
        <v>723</v>
      </c>
      <c r="AN2199" s="199"/>
      <c r="AO2199" s="190"/>
      <c r="AR2199" s="115"/>
    </row>
    <row r="2200" spans="1:46" ht="39" customHeight="1" x14ac:dyDescent="0.3">
      <c r="A2200" s="1468">
        <v>2199</v>
      </c>
      <c r="B2200" s="161">
        <v>2</v>
      </c>
      <c r="C2200" s="568" t="s">
        <v>775</v>
      </c>
      <c r="D2200" s="595"/>
      <c r="E2200" s="595"/>
      <c r="F2200" s="595"/>
      <c r="G2200" s="392" t="s">
        <v>776</v>
      </c>
      <c r="H2200" s="262" t="s">
        <v>87</v>
      </c>
      <c r="I2200" s="595"/>
      <c r="J2200" s="245" t="s">
        <v>561</v>
      </c>
      <c r="K2200" s="216"/>
      <c r="L2200" s="197" t="s">
        <v>5748</v>
      </c>
      <c r="M2200" s="197" t="s">
        <v>5748</v>
      </c>
      <c r="N2200" s="366"/>
      <c r="O2200" s="216" t="s">
        <v>5749</v>
      </c>
      <c r="P2200" s="402"/>
      <c r="Q2200" s="373" t="s">
        <v>87</v>
      </c>
      <c r="R2200" s="1503" t="s">
        <v>5884</v>
      </c>
      <c r="S2200" s="279">
        <v>36112</v>
      </c>
      <c r="T2200" s="197"/>
      <c r="U2200" s="251" t="s">
        <v>54</v>
      </c>
      <c r="V2200" s="197" t="s">
        <v>5857</v>
      </c>
      <c r="W2200" s="197" t="s">
        <v>56</v>
      </c>
      <c r="X2200" s="250" t="s">
        <v>57</v>
      </c>
      <c r="Y2200" s="981" t="s">
        <v>5859</v>
      </c>
      <c r="Z2200" s="246">
        <v>45300</v>
      </c>
      <c r="AA2200" s="246"/>
      <c r="AB2200" s="288"/>
      <c r="AC2200" s="223"/>
      <c r="AD2200" s="299"/>
      <c r="AE2200" s="494"/>
      <c r="AF2200" s="494"/>
      <c r="AG2200" s="241"/>
      <c r="AH2200" s="283"/>
      <c r="AI2200" s="254"/>
      <c r="AJ2200" s="348" t="s">
        <v>560</v>
      </c>
      <c r="AK2200" s="241">
        <v>4</v>
      </c>
      <c r="AL2200" s="121" t="s">
        <v>771</v>
      </c>
      <c r="AM2200" s="121" t="s">
        <v>723</v>
      </c>
      <c r="AN2200" s="199"/>
      <c r="AO2200" s="190"/>
      <c r="AR2200" s="115"/>
    </row>
    <row r="2201" spans="1:46" ht="39" customHeight="1" x14ac:dyDescent="0.3">
      <c r="A2201" s="1468">
        <v>2200</v>
      </c>
      <c r="B2201" s="161">
        <v>2</v>
      </c>
      <c r="C2201" s="568" t="s">
        <v>778</v>
      </c>
      <c r="D2201" s="595"/>
      <c r="E2201" s="595"/>
      <c r="F2201" s="595"/>
      <c r="G2201" s="392" t="s">
        <v>776</v>
      </c>
      <c r="H2201" s="262" t="s">
        <v>87</v>
      </c>
      <c r="I2201" s="595"/>
      <c r="J2201" s="245" t="s">
        <v>561</v>
      </c>
      <c r="K2201" s="595"/>
      <c r="L2201" s="281" t="s">
        <v>1685</v>
      </c>
      <c r="M2201" s="281" t="s">
        <v>1527</v>
      </c>
      <c r="N2201" s="366"/>
      <c r="O2201" s="392" t="s">
        <v>3102</v>
      </c>
      <c r="P2201" s="402"/>
      <c r="Q2201" s="380" t="s">
        <v>87</v>
      </c>
      <c r="R2201" s="1494" t="s">
        <v>1704</v>
      </c>
      <c r="S2201" s="279"/>
      <c r="T2201" s="197"/>
      <c r="U2201" s="250"/>
      <c r="V2201" s="197"/>
      <c r="W2201" s="197"/>
      <c r="X2201" s="197"/>
      <c r="Y2201" s="197"/>
      <c r="Z2201" s="246"/>
      <c r="AA2201" s="246"/>
      <c r="AB2201" s="288" t="s">
        <v>4390</v>
      </c>
      <c r="AC2201" s="223" t="s">
        <v>946</v>
      </c>
      <c r="AD2201" s="376"/>
      <c r="AE2201" s="494">
        <v>45111</v>
      </c>
      <c r="AF2201" s="494">
        <v>45476</v>
      </c>
      <c r="AG2201" s="241"/>
      <c r="AH2201" s="283"/>
      <c r="AI2201" s="254" t="s">
        <v>1351</v>
      </c>
      <c r="AJ2201" s="303" t="s">
        <v>136</v>
      </c>
      <c r="AK2201" s="241">
        <v>4</v>
      </c>
      <c r="AL2201" s="121" t="s">
        <v>771</v>
      </c>
      <c r="AM2201" s="121" t="s">
        <v>723</v>
      </c>
      <c r="AN2201" s="199"/>
      <c r="AO2201" s="190"/>
      <c r="AR2201" s="115"/>
    </row>
    <row r="2202" spans="1:46" ht="39" customHeight="1" x14ac:dyDescent="0.3">
      <c r="A2202" s="1468">
        <v>2201</v>
      </c>
      <c r="B2202" s="161">
        <v>2</v>
      </c>
      <c r="C2202" s="504" t="s">
        <v>779</v>
      </c>
      <c r="D2202" s="640"/>
      <c r="E2202" s="640"/>
      <c r="F2202" s="640"/>
      <c r="G2202" s="626" t="s">
        <v>414</v>
      </c>
      <c r="H2202" s="262" t="s">
        <v>87</v>
      </c>
      <c r="I2202" s="640"/>
      <c r="J2202" s="245" t="s">
        <v>561</v>
      </c>
      <c r="K2202" s="1288" t="s">
        <v>313</v>
      </c>
      <c r="L2202" s="277" t="s">
        <v>4853</v>
      </c>
      <c r="M2202" s="277" t="s">
        <v>4853</v>
      </c>
      <c r="N2202" s="640"/>
      <c r="O2202" s="288" t="s">
        <v>4889</v>
      </c>
      <c r="P2202" s="640"/>
      <c r="Q2202" s="380" t="s">
        <v>87</v>
      </c>
      <c r="R2202" s="1494" t="s">
        <v>4880</v>
      </c>
      <c r="S2202" s="279">
        <v>38642</v>
      </c>
      <c r="T2202" s="268"/>
      <c r="U2202" s="250"/>
      <c r="V2202" s="1287"/>
      <c r="W2202" s="1287"/>
      <c r="X2202" s="1287"/>
      <c r="Y2202" s="288"/>
      <c r="Z2202" s="612"/>
      <c r="AA2202" s="405"/>
      <c r="AB2202" s="288" t="s">
        <v>4890</v>
      </c>
      <c r="AC2202" s="1288" t="s">
        <v>482</v>
      </c>
      <c r="AD2202" s="288" t="s">
        <v>467</v>
      </c>
      <c r="AE2202" s="494">
        <v>45244</v>
      </c>
      <c r="AF2202" s="494">
        <v>45609</v>
      </c>
      <c r="AG2202" s="471"/>
      <c r="AH2202" s="585"/>
      <c r="AI2202" s="254" t="s">
        <v>4208</v>
      </c>
      <c r="AJ2202" s="303" t="s">
        <v>136</v>
      </c>
      <c r="AK2202" s="471">
        <v>4</v>
      </c>
      <c r="AL2202" s="166" t="s">
        <v>771</v>
      </c>
      <c r="AM2202" s="166" t="s">
        <v>723</v>
      </c>
      <c r="AN2202" s="147" t="s">
        <v>5765</v>
      </c>
      <c r="AO2202" s="194"/>
      <c r="AR2202" s="115"/>
      <c r="AS2202" s="115"/>
      <c r="AT2202" s="115"/>
    </row>
    <row r="2203" spans="1:46" s="827" customFormat="1" ht="39" customHeight="1" x14ac:dyDescent="0.3">
      <c r="A2203" s="1468">
        <v>2202</v>
      </c>
      <c r="B2203" s="161"/>
      <c r="C2203" s="723"/>
      <c r="D2203" s="637"/>
      <c r="E2203" s="637"/>
      <c r="F2203" s="637"/>
      <c r="G2203" s="602"/>
      <c r="H2203" s="602"/>
      <c r="I2203" s="637"/>
      <c r="J2203" s="637"/>
      <c r="K2203" s="309"/>
      <c r="L2203" s="318"/>
      <c r="M2203" s="318"/>
      <c r="N2203" s="578"/>
      <c r="O2203" s="309"/>
      <c r="P2203" s="230" t="s">
        <v>865</v>
      </c>
      <c r="Q2203" s="541"/>
      <c r="R2203" s="1209"/>
      <c r="S2203" s="279"/>
      <c r="T2203" s="318"/>
      <c r="U2203" s="250"/>
      <c r="V2203" s="232"/>
      <c r="W2203" s="232"/>
      <c r="X2203" s="232"/>
      <c r="Y2203" s="232"/>
      <c r="Z2203" s="233"/>
      <c r="AA2203" s="318"/>
      <c r="AB2203" s="735"/>
      <c r="AC2203" s="236"/>
      <c r="AD2203" s="926"/>
      <c r="AE2203" s="494"/>
      <c r="AF2203" s="494"/>
      <c r="AG2203" s="927"/>
      <c r="AH2203" s="928"/>
      <c r="AI2203" s="239"/>
      <c r="AJ2203" s="576"/>
      <c r="AK2203" s="664"/>
      <c r="AL2203" s="748"/>
      <c r="AM2203" s="748"/>
      <c r="AN2203" s="202"/>
      <c r="AO2203" s="196"/>
      <c r="AP2203" s="192"/>
      <c r="AQ2203" s="192"/>
      <c r="AR2203" s="192"/>
      <c r="AS2203" s="192"/>
      <c r="AT2203" s="192"/>
    </row>
    <row r="2204" spans="1:46" ht="39" customHeight="1" x14ac:dyDescent="0.3">
      <c r="A2204" s="1468">
        <v>2203</v>
      </c>
      <c r="B2204" s="161">
        <v>5</v>
      </c>
      <c r="C2204" s="710" t="s">
        <v>367</v>
      </c>
      <c r="D2204" s="642"/>
      <c r="E2204" s="642"/>
      <c r="F2204" s="642"/>
      <c r="G2204" s="846" t="s">
        <v>774</v>
      </c>
      <c r="H2204" s="625" t="s">
        <v>132</v>
      </c>
      <c r="I2204" s="642"/>
      <c r="J2204" s="256">
        <v>403</v>
      </c>
      <c r="K2204" s="277"/>
      <c r="L2204" s="443"/>
      <c r="M2204" s="443"/>
      <c r="N2204" s="451"/>
      <c r="O2204" s="277"/>
      <c r="P2204" s="454"/>
      <c r="Q2204" s="1305"/>
      <c r="R2204" s="1494" t="s">
        <v>66</v>
      </c>
      <c r="S2204" s="279"/>
      <c r="T2204" s="443"/>
      <c r="U2204" s="250"/>
      <c r="V2204" s="280"/>
      <c r="W2204" s="280"/>
      <c r="X2204" s="280"/>
      <c r="Y2204" s="280"/>
      <c r="Z2204" s="486"/>
      <c r="AA2204" s="443"/>
      <c r="AB2204" s="412"/>
      <c r="AC2204" s="488"/>
      <c r="AD2204" s="436"/>
      <c r="AE2204" s="494"/>
      <c r="AF2204" s="494"/>
      <c r="AG2204" s="906"/>
      <c r="AH2204" s="907"/>
      <c r="AI2204" s="712"/>
      <c r="AJ2204" s="507"/>
      <c r="AK2204" s="476">
        <v>3</v>
      </c>
      <c r="AL2204" s="169" t="s">
        <v>771</v>
      </c>
      <c r="AM2204" s="169" t="s">
        <v>723</v>
      </c>
      <c r="AN2204" s="200"/>
      <c r="AO2204" s="193"/>
      <c r="AR2204" s="115"/>
    </row>
    <row r="2205" spans="1:46" ht="39" customHeight="1" x14ac:dyDescent="0.3">
      <c r="A2205" s="1468">
        <v>2204</v>
      </c>
      <c r="B2205" s="161">
        <v>2</v>
      </c>
      <c r="C2205" s="568" t="s">
        <v>777</v>
      </c>
      <c r="D2205" s="595"/>
      <c r="E2205" s="595"/>
      <c r="F2205" s="595"/>
      <c r="G2205" s="1261" t="s">
        <v>776</v>
      </c>
      <c r="H2205" s="262" t="s">
        <v>87</v>
      </c>
      <c r="I2205" s="595"/>
      <c r="J2205" s="245" t="s">
        <v>561</v>
      </c>
      <c r="K2205" s="288"/>
      <c r="L2205" s="277" t="s">
        <v>3959</v>
      </c>
      <c r="M2205" s="277" t="s">
        <v>3959</v>
      </c>
      <c r="N2205" s="366"/>
      <c r="O2205" s="216" t="s">
        <v>5142</v>
      </c>
      <c r="P2205" s="402"/>
      <c r="Q2205" s="380" t="s">
        <v>87</v>
      </c>
      <c r="R2205" s="1494" t="s">
        <v>5136</v>
      </c>
      <c r="S2205" s="279">
        <v>37812</v>
      </c>
      <c r="T2205" s="197"/>
      <c r="U2205" s="250"/>
      <c r="V2205" s="216"/>
      <c r="W2205" s="1260"/>
      <c r="X2205" s="1260"/>
      <c r="Y2205" s="288"/>
      <c r="Z2205" s="612"/>
      <c r="AA2205" s="246"/>
      <c r="AB2205" s="361"/>
      <c r="AC2205" s="1263"/>
      <c r="AD2205" s="281"/>
      <c r="AE2205" s="494"/>
      <c r="AF2205" s="494"/>
      <c r="AG2205" s="241"/>
      <c r="AH2205" s="283"/>
      <c r="AI2205" s="254" t="s">
        <v>1351</v>
      </c>
      <c r="AJ2205" s="303" t="s">
        <v>136</v>
      </c>
      <c r="AK2205" s="241">
        <v>4</v>
      </c>
      <c r="AL2205" s="121" t="s">
        <v>771</v>
      </c>
      <c r="AM2205" s="121" t="s">
        <v>723</v>
      </c>
      <c r="AN2205" s="199"/>
      <c r="AO2205" s="190"/>
      <c r="AR2205" s="115"/>
    </row>
    <row r="2206" spans="1:46" ht="39" customHeight="1" x14ac:dyDescent="0.3">
      <c r="A2206" s="1468">
        <v>2205</v>
      </c>
      <c r="B2206" s="161">
        <v>2</v>
      </c>
      <c r="C2206" s="568" t="s">
        <v>775</v>
      </c>
      <c r="D2206" s="595"/>
      <c r="E2206" s="595"/>
      <c r="F2206" s="595"/>
      <c r="G2206" s="392" t="s">
        <v>776</v>
      </c>
      <c r="H2206" s="262" t="s">
        <v>87</v>
      </c>
      <c r="I2206" s="595"/>
      <c r="J2206" s="245" t="s">
        <v>561</v>
      </c>
      <c r="K2206" s="288"/>
      <c r="L2206" s="277" t="s">
        <v>3959</v>
      </c>
      <c r="M2206" s="277" t="s">
        <v>3959</v>
      </c>
      <c r="N2206" s="366"/>
      <c r="O2206" s="216" t="s">
        <v>5140</v>
      </c>
      <c r="P2206" s="320"/>
      <c r="Q2206" s="380" t="s">
        <v>87</v>
      </c>
      <c r="R2206" s="1494" t="s">
        <v>5137</v>
      </c>
      <c r="S2206" s="279">
        <v>37694</v>
      </c>
      <c r="T2206" s="197"/>
      <c r="U2206" s="250"/>
      <c r="V2206" s="216"/>
      <c r="W2206" s="1260"/>
      <c r="X2206" s="1260"/>
      <c r="Y2206" s="288"/>
      <c r="Z2206" s="612"/>
      <c r="AA2206" s="252"/>
      <c r="AB2206" s="288"/>
      <c r="AC2206" s="1263"/>
      <c r="AD2206" s="281"/>
      <c r="AE2206" s="494"/>
      <c r="AF2206" s="494"/>
      <c r="AG2206" s="282"/>
      <c r="AH2206" s="283"/>
      <c r="AI2206" s="254" t="s">
        <v>1351</v>
      </c>
      <c r="AJ2206" s="303" t="s">
        <v>136</v>
      </c>
      <c r="AK2206" s="241">
        <v>4</v>
      </c>
      <c r="AL2206" s="121" t="s">
        <v>771</v>
      </c>
      <c r="AM2206" s="121" t="s">
        <v>723</v>
      </c>
      <c r="AN2206" s="199"/>
      <c r="AO2206" s="190"/>
      <c r="AR2206" s="115"/>
    </row>
    <row r="2207" spans="1:46" ht="39" customHeight="1" x14ac:dyDescent="0.3">
      <c r="A2207" s="1468">
        <v>2206</v>
      </c>
      <c r="B2207" s="161">
        <v>2</v>
      </c>
      <c r="C2207" s="568" t="s">
        <v>778</v>
      </c>
      <c r="D2207" s="595"/>
      <c r="E2207" s="595"/>
      <c r="F2207" s="595"/>
      <c r="G2207" s="392" t="s">
        <v>776</v>
      </c>
      <c r="H2207" s="262" t="s">
        <v>87</v>
      </c>
      <c r="I2207" s="595"/>
      <c r="J2207" s="245" t="s">
        <v>561</v>
      </c>
      <c r="K2207" s="288"/>
      <c r="L2207" s="277" t="s">
        <v>3959</v>
      </c>
      <c r="M2207" s="277" t="s">
        <v>3959</v>
      </c>
      <c r="N2207" s="366"/>
      <c r="O2207" s="288" t="s">
        <v>5141</v>
      </c>
      <c r="P2207" s="402"/>
      <c r="Q2207" s="380" t="s">
        <v>87</v>
      </c>
      <c r="R2207" s="1494" t="s">
        <v>5138</v>
      </c>
      <c r="S2207" s="279">
        <v>37569</v>
      </c>
      <c r="T2207" s="197"/>
      <c r="U2207" s="250"/>
      <c r="V2207" s="197"/>
      <c r="W2207" s="197"/>
      <c r="X2207" s="197"/>
      <c r="Y2207" s="197"/>
      <c r="Z2207" s="246"/>
      <c r="AA2207" s="246"/>
      <c r="AB2207" s="288"/>
      <c r="AC2207" s="223"/>
      <c r="AD2207" s="299"/>
      <c r="AE2207" s="494"/>
      <c r="AF2207" s="494"/>
      <c r="AG2207" s="241"/>
      <c r="AH2207" s="283"/>
      <c r="AI2207" s="254" t="s">
        <v>1351</v>
      </c>
      <c r="AJ2207" s="303" t="s">
        <v>136</v>
      </c>
      <c r="AK2207" s="241">
        <v>4</v>
      </c>
      <c r="AL2207" s="121" t="s">
        <v>771</v>
      </c>
      <c r="AM2207" s="121" t="s">
        <v>723</v>
      </c>
      <c r="AN2207" s="199"/>
      <c r="AO2207" s="190"/>
      <c r="AR2207" s="115"/>
    </row>
    <row r="2208" spans="1:46" ht="39" customHeight="1" x14ac:dyDescent="0.3">
      <c r="A2208" s="1468">
        <v>2207</v>
      </c>
      <c r="B2208" s="161">
        <v>2</v>
      </c>
      <c r="C2208" s="504" t="s">
        <v>779</v>
      </c>
      <c r="D2208" s="640"/>
      <c r="E2208" s="640"/>
      <c r="F2208" s="640"/>
      <c r="G2208" s="626" t="s">
        <v>354</v>
      </c>
      <c r="H2208" s="262" t="s">
        <v>87</v>
      </c>
      <c r="I2208" s="640"/>
      <c r="J2208" s="245" t="s">
        <v>561</v>
      </c>
      <c r="K2208" s="288"/>
      <c r="L2208" s="277" t="s">
        <v>3959</v>
      </c>
      <c r="M2208" s="277" t="s">
        <v>3959</v>
      </c>
      <c r="N2208" s="640"/>
      <c r="O2208" s="1263" t="s">
        <v>5143</v>
      </c>
      <c r="P2208" s="640"/>
      <c r="Q2208" s="380" t="s">
        <v>87</v>
      </c>
      <c r="R2208" s="1494" t="s">
        <v>5139</v>
      </c>
      <c r="S2208" s="279">
        <v>37643</v>
      </c>
      <c r="T2208" s="640"/>
      <c r="U2208" s="250"/>
      <c r="V2208" s="216"/>
      <c r="W2208" s="1260"/>
      <c r="X2208" s="1260"/>
      <c r="Y2208" s="288"/>
      <c r="Z2208" s="612"/>
      <c r="AA2208" s="640"/>
      <c r="AB2208" s="288"/>
      <c r="AC2208" s="1263"/>
      <c r="AD2208" s="281"/>
      <c r="AE2208" s="494"/>
      <c r="AF2208" s="494"/>
      <c r="AG2208" s="640"/>
      <c r="AH2208" s="640"/>
      <c r="AI2208" s="254" t="s">
        <v>1351</v>
      </c>
      <c r="AJ2208" s="303" t="s">
        <v>136</v>
      </c>
      <c r="AK2208" s="471">
        <v>4</v>
      </c>
      <c r="AL2208" s="166" t="s">
        <v>771</v>
      </c>
      <c r="AM2208" s="166" t="s">
        <v>723</v>
      </c>
      <c r="AN2208" s="147" t="s">
        <v>5765</v>
      </c>
      <c r="AO2208" s="194"/>
      <c r="AR2208" s="115"/>
      <c r="AS2208" s="115"/>
      <c r="AT2208" s="115"/>
    </row>
    <row r="2209" spans="1:46" s="827" customFormat="1" ht="39" customHeight="1" x14ac:dyDescent="0.3">
      <c r="A2209" s="1468">
        <v>2208</v>
      </c>
      <c r="B2209" s="161"/>
      <c r="C2209" s="723"/>
      <c r="D2209" s="637"/>
      <c r="E2209" s="637"/>
      <c r="F2209" s="637"/>
      <c r="G2209" s="602"/>
      <c r="H2209" s="602"/>
      <c r="I2209" s="637"/>
      <c r="J2209" s="637"/>
      <c r="K2209" s="637"/>
      <c r="L2209" s="602"/>
      <c r="M2209" s="602"/>
      <c r="N2209" s="637"/>
      <c r="O2209" s="602"/>
      <c r="P2209" s="230" t="s">
        <v>780</v>
      </c>
      <c r="Q2209" s="637"/>
      <c r="R2209" s="1209"/>
      <c r="S2209" s="279"/>
      <c r="T2209" s="637"/>
      <c r="U2209" s="250"/>
      <c r="V2209" s="637"/>
      <c r="W2209" s="602"/>
      <c r="X2209" s="602"/>
      <c r="Y2209" s="637"/>
      <c r="Z2209" s="637"/>
      <c r="AA2209" s="637"/>
      <c r="AB2209" s="1295"/>
      <c r="AC2209" s="637"/>
      <c r="AD2209" s="659"/>
      <c r="AE2209" s="494"/>
      <c r="AF2209" s="494"/>
      <c r="AG2209" s="637"/>
      <c r="AH2209" s="637"/>
      <c r="AI2209" s="602"/>
      <c r="AJ2209" s="602"/>
      <c r="AK2209" s="602"/>
      <c r="AL2209" s="205"/>
      <c r="AM2209" s="205"/>
      <c r="AN2209" s="202"/>
      <c r="AO2209" s="196"/>
      <c r="AP2209" s="192"/>
      <c r="AQ2209" s="192"/>
      <c r="AR2209" s="192"/>
      <c r="AS2209" s="192"/>
      <c r="AT2209" s="192"/>
    </row>
    <row r="2210" spans="1:46" ht="39" customHeight="1" x14ac:dyDescent="0.3">
      <c r="A2210" s="1468">
        <v>2209</v>
      </c>
      <c r="B2210" s="161">
        <v>5</v>
      </c>
      <c r="C2210" s="740" t="s">
        <v>367</v>
      </c>
      <c r="D2210" s="642"/>
      <c r="E2210" s="642"/>
      <c r="F2210" s="642"/>
      <c r="G2210" s="625" t="s">
        <v>445</v>
      </c>
      <c r="H2210" s="625" t="s">
        <v>781</v>
      </c>
      <c r="I2210" s="642"/>
      <c r="J2210" s="256">
        <v>403</v>
      </c>
      <c r="K2210" s="277" t="s">
        <v>158</v>
      </c>
      <c r="L2210" s="441" t="s">
        <v>1317</v>
      </c>
      <c r="M2210" s="441" t="s">
        <v>1318</v>
      </c>
      <c r="N2210" s="280"/>
      <c r="O2210" s="277" t="s">
        <v>1319</v>
      </c>
      <c r="P2210" s="908"/>
      <c r="Q2210" s="485" t="s">
        <v>132</v>
      </c>
      <c r="R2210" s="1503" t="s">
        <v>1320</v>
      </c>
      <c r="S2210" s="279">
        <v>37243</v>
      </c>
      <c r="T2210" s="280"/>
      <c r="U2210" s="251" t="s">
        <v>54</v>
      </c>
      <c r="V2210" s="276" t="s">
        <v>968</v>
      </c>
      <c r="W2210" s="443" t="s">
        <v>56</v>
      </c>
      <c r="X2210" s="280" t="s">
        <v>57</v>
      </c>
      <c r="Y2210" s="280" t="s">
        <v>1297</v>
      </c>
      <c r="Z2210" s="486">
        <v>44960</v>
      </c>
      <c r="AA2210" s="398"/>
      <c r="AB2210" s="867" t="s">
        <v>115</v>
      </c>
      <c r="AC2210" s="488" t="s">
        <v>946</v>
      </c>
      <c r="AD2210" s="436" t="s">
        <v>1321</v>
      </c>
      <c r="AE2210" s="494">
        <v>44538</v>
      </c>
      <c r="AF2210" s="494">
        <v>45268</v>
      </c>
      <c r="AG2210" s="476" t="s">
        <v>61</v>
      </c>
      <c r="AH2210" s="850"/>
      <c r="AI2210" s="909"/>
      <c r="AJ2210" s="491" t="s">
        <v>560</v>
      </c>
      <c r="AK2210" s="491">
        <v>3</v>
      </c>
      <c r="AL2210" s="169" t="s">
        <v>771</v>
      </c>
      <c r="AM2210" s="169" t="s">
        <v>723</v>
      </c>
      <c r="AN2210" s="200"/>
      <c r="AO2210" s="193"/>
      <c r="AR2210" s="115"/>
      <c r="AS2210" s="115"/>
      <c r="AT2210" s="115"/>
    </row>
    <row r="2211" spans="1:46" ht="39" customHeight="1" x14ac:dyDescent="0.3">
      <c r="A2211" s="1468">
        <v>2210</v>
      </c>
      <c r="B2211" s="161">
        <v>2</v>
      </c>
      <c r="C2211" s="504" t="s">
        <v>353</v>
      </c>
      <c r="D2211" s="595"/>
      <c r="E2211" s="595"/>
      <c r="F2211" s="595"/>
      <c r="G2211" s="392" t="s">
        <v>354</v>
      </c>
      <c r="H2211" s="262" t="s">
        <v>87</v>
      </c>
      <c r="I2211" s="595"/>
      <c r="J2211" s="245" t="s">
        <v>561</v>
      </c>
      <c r="K2211" s="288" t="s">
        <v>313</v>
      </c>
      <c r="L2211" s="277" t="s">
        <v>4813</v>
      </c>
      <c r="M2211" s="277" t="s">
        <v>4813</v>
      </c>
      <c r="N2211" s="595"/>
      <c r="O2211" s="1281" t="s">
        <v>4821</v>
      </c>
      <c r="P2211" s="595"/>
      <c r="Q2211" s="380" t="s">
        <v>87</v>
      </c>
      <c r="R2211" s="1494" t="s">
        <v>4820</v>
      </c>
      <c r="S2211" s="279">
        <v>38646</v>
      </c>
      <c r="T2211" s="595"/>
      <c r="U2211" s="250"/>
      <c r="V2211" s="197"/>
      <c r="W2211" s="197"/>
      <c r="X2211" s="197"/>
      <c r="Y2211" s="197"/>
      <c r="Z2211" s="246"/>
      <c r="AA2211" s="595"/>
      <c r="AB2211" s="288" t="s">
        <v>4837</v>
      </c>
      <c r="AC2211" s="223" t="s">
        <v>209</v>
      </c>
      <c r="AD2211" s="299" t="s">
        <v>467</v>
      </c>
      <c r="AE2211" s="494"/>
      <c r="AF2211" s="494"/>
      <c r="AG2211" s="595"/>
      <c r="AH2211" s="595"/>
      <c r="AI2211" s="254" t="s">
        <v>4208</v>
      </c>
      <c r="AJ2211" s="303" t="s">
        <v>136</v>
      </c>
      <c r="AK2211" s="241">
        <v>4</v>
      </c>
      <c r="AL2211" s="121" t="s">
        <v>771</v>
      </c>
      <c r="AM2211" s="121" t="s">
        <v>723</v>
      </c>
      <c r="AN2211" s="147" t="s">
        <v>5764</v>
      </c>
      <c r="AO2211" s="190"/>
      <c r="AR2211" s="115"/>
      <c r="AS2211" s="115"/>
      <c r="AT2211" s="115"/>
    </row>
    <row r="2212" spans="1:46" ht="39" customHeight="1" x14ac:dyDescent="0.3">
      <c r="A2212" s="1468">
        <v>2211</v>
      </c>
      <c r="B2212" s="161">
        <v>2</v>
      </c>
      <c r="C2212" s="504" t="s">
        <v>353</v>
      </c>
      <c r="D2212" s="595"/>
      <c r="E2212" s="595"/>
      <c r="F2212" s="595"/>
      <c r="G2212" s="392" t="s">
        <v>354</v>
      </c>
      <c r="H2212" s="262" t="s">
        <v>87</v>
      </c>
      <c r="I2212" s="595"/>
      <c r="J2212" s="245" t="s">
        <v>561</v>
      </c>
      <c r="K2212" s="626" t="s">
        <v>158</v>
      </c>
      <c r="L2212" s="277" t="s">
        <v>4853</v>
      </c>
      <c r="M2212" s="277" t="s">
        <v>4853</v>
      </c>
      <c r="N2212" s="640"/>
      <c r="O2212" s="1288" t="s">
        <v>4891</v>
      </c>
      <c r="P2212" s="640"/>
      <c r="Q2212" s="380" t="s">
        <v>87</v>
      </c>
      <c r="R2212" s="1494" t="s">
        <v>4858</v>
      </c>
      <c r="S2212" s="279">
        <v>38397</v>
      </c>
      <c r="T2212" s="595"/>
      <c r="U2212" s="250"/>
      <c r="V2212" s="1287"/>
      <c r="W2212" s="1287"/>
      <c r="X2212" s="1287"/>
      <c r="Y2212" s="288"/>
      <c r="Z2212" s="612"/>
      <c r="AA2212" s="595"/>
      <c r="AB2212" s="288" t="s">
        <v>4892</v>
      </c>
      <c r="AC2212" s="1288" t="s">
        <v>482</v>
      </c>
      <c r="AD2212" s="288" t="s">
        <v>467</v>
      </c>
      <c r="AE2212" s="494">
        <v>45244</v>
      </c>
      <c r="AF2212" s="494">
        <v>45609</v>
      </c>
      <c r="AG2212" s="595"/>
      <c r="AH2212" s="595"/>
      <c r="AI2212" s="254" t="s">
        <v>4208</v>
      </c>
      <c r="AJ2212" s="303" t="s">
        <v>136</v>
      </c>
      <c r="AK2212" s="241">
        <v>4</v>
      </c>
      <c r="AL2212" s="121" t="s">
        <v>771</v>
      </c>
      <c r="AM2212" s="121" t="s">
        <v>723</v>
      </c>
      <c r="AN2212" s="147" t="s">
        <v>5784</v>
      </c>
      <c r="AO2212" s="190"/>
      <c r="AR2212" s="115"/>
      <c r="AS2212" s="115"/>
      <c r="AT2212" s="115"/>
    </row>
    <row r="2213" spans="1:46" ht="39" customHeight="1" x14ac:dyDescent="0.3">
      <c r="A2213" s="1468">
        <v>2212</v>
      </c>
      <c r="B2213" s="161">
        <v>2</v>
      </c>
      <c r="C2213" s="504" t="s">
        <v>353</v>
      </c>
      <c r="D2213" s="595"/>
      <c r="E2213" s="595"/>
      <c r="F2213" s="595"/>
      <c r="G2213" s="392" t="s">
        <v>354</v>
      </c>
      <c r="H2213" s="262" t="s">
        <v>87</v>
      </c>
      <c r="I2213" s="595"/>
      <c r="J2213" s="245" t="s">
        <v>561</v>
      </c>
      <c r="K2213" s="1288" t="s">
        <v>313</v>
      </c>
      <c r="L2213" s="277" t="s">
        <v>4853</v>
      </c>
      <c r="M2213" s="277" t="s">
        <v>4853</v>
      </c>
      <c r="N2213" s="640"/>
      <c r="O2213" s="1288" t="s">
        <v>4893</v>
      </c>
      <c r="P2213" s="640"/>
      <c r="Q2213" s="380" t="s">
        <v>87</v>
      </c>
      <c r="R2213" s="1494" t="s">
        <v>4859</v>
      </c>
      <c r="S2213" s="279">
        <v>37457</v>
      </c>
      <c r="T2213" s="595"/>
      <c r="U2213" s="250"/>
      <c r="V2213" s="1287"/>
      <c r="W2213" s="1287"/>
      <c r="X2213" s="1287"/>
      <c r="Y2213" s="288"/>
      <c r="Z2213" s="612"/>
      <c r="AA2213" s="595"/>
      <c r="AB2213" s="288" t="s">
        <v>4894</v>
      </c>
      <c r="AC2213" s="1288" t="s">
        <v>482</v>
      </c>
      <c r="AD2213" s="288" t="s">
        <v>467</v>
      </c>
      <c r="AE2213" s="494">
        <v>45244</v>
      </c>
      <c r="AF2213" s="494">
        <v>45609</v>
      </c>
      <c r="AG2213" s="595"/>
      <c r="AH2213" s="595"/>
      <c r="AI2213" s="254" t="s">
        <v>4208</v>
      </c>
      <c r="AJ2213" s="303" t="s">
        <v>136</v>
      </c>
      <c r="AK2213" s="241">
        <v>4</v>
      </c>
      <c r="AL2213" s="121" t="s">
        <v>771</v>
      </c>
      <c r="AM2213" s="121" t="s">
        <v>723</v>
      </c>
      <c r="AN2213" s="147" t="s">
        <v>5784</v>
      </c>
      <c r="AO2213" s="190"/>
      <c r="AR2213" s="115"/>
      <c r="AS2213" s="115"/>
      <c r="AT2213" s="115"/>
    </row>
    <row r="2214" spans="1:46" ht="39" customHeight="1" x14ac:dyDescent="0.3">
      <c r="A2214" s="1468">
        <v>2213</v>
      </c>
      <c r="B2214" s="161">
        <v>2</v>
      </c>
      <c r="C2214" s="504" t="s">
        <v>782</v>
      </c>
      <c r="D2214" s="595"/>
      <c r="E2214" s="595"/>
      <c r="F2214" s="595"/>
      <c r="G2214" s="1261" t="s">
        <v>354</v>
      </c>
      <c r="H2214" s="262" t="s">
        <v>87</v>
      </c>
      <c r="I2214" s="595"/>
      <c r="J2214" s="245" t="s">
        <v>561</v>
      </c>
      <c r="K2214" s="288" t="s">
        <v>4733</v>
      </c>
      <c r="L2214" s="277" t="s">
        <v>4641</v>
      </c>
      <c r="M2214" s="277" t="s">
        <v>4641</v>
      </c>
      <c r="N2214" s="595"/>
      <c r="O2214" s="1263" t="s">
        <v>4723</v>
      </c>
      <c r="P2214" s="595"/>
      <c r="Q2214" s="380" t="s">
        <v>87</v>
      </c>
      <c r="R2214" s="1494" t="s">
        <v>4674</v>
      </c>
      <c r="S2214" s="279">
        <v>36809</v>
      </c>
      <c r="T2214" s="595"/>
      <c r="U2214" s="197"/>
      <c r="V2214" s="216"/>
      <c r="W2214" s="1260"/>
      <c r="X2214" s="1260"/>
      <c r="Y2214" s="288"/>
      <c r="Z2214" s="612"/>
      <c r="AA2214" s="595"/>
      <c r="AB2214" s="288" t="s">
        <v>4724</v>
      </c>
      <c r="AC2214" s="1263" t="s">
        <v>946</v>
      </c>
      <c r="AD2214" s="281" t="s">
        <v>467</v>
      </c>
      <c r="AE2214" s="494">
        <v>45237</v>
      </c>
      <c r="AF2214" s="494">
        <v>45602</v>
      </c>
      <c r="AG2214" s="595"/>
      <c r="AH2214" s="595"/>
      <c r="AI2214" s="254" t="s">
        <v>4208</v>
      </c>
      <c r="AJ2214" s="303" t="s">
        <v>136</v>
      </c>
      <c r="AK2214" s="241">
        <v>4</v>
      </c>
      <c r="AL2214" s="121" t="s">
        <v>771</v>
      </c>
      <c r="AM2214" s="121" t="s">
        <v>723</v>
      </c>
      <c r="AN2214" s="147" t="s">
        <v>5764</v>
      </c>
      <c r="AO2214" s="190"/>
      <c r="AR2214" s="115"/>
      <c r="AS2214" s="115"/>
      <c r="AT2214" s="115"/>
    </row>
    <row r="2215" spans="1:46" ht="39" customHeight="1" x14ac:dyDescent="0.3">
      <c r="A2215" s="1468">
        <v>2214</v>
      </c>
      <c r="B2215" s="161">
        <v>2</v>
      </c>
      <c r="C2215" s="1046" t="s">
        <v>413</v>
      </c>
      <c r="D2215" s="595"/>
      <c r="E2215" s="595"/>
      <c r="F2215" s="595"/>
      <c r="G2215" s="1259" t="s">
        <v>354</v>
      </c>
      <c r="H2215" s="262" t="s">
        <v>87</v>
      </c>
      <c r="I2215" s="595"/>
      <c r="J2215" s="245" t="s">
        <v>561</v>
      </c>
      <c r="K2215" s="288"/>
      <c r="L2215" s="216"/>
      <c r="M2215" s="216"/>
      <c r="N2215" s="595"/>
      <c r="O2215" s="1263"/>
      <c r="P2215" s="595"/>
      <c r="Q2215" s="380"/>
      <c r="R2215" s="1494"/>
      <c r="S2215" s="279"/>
      <c r="T2215" s="595"/>
      <c r="U2215" s="250"/>
      <c r="V2215" s="216"/>
      <c r="W2215" s="1260"/>
      <c r="X2215" s="1260"/>
      <c r="Y2215" s="288"/>
      <c r="Z2215" s="612"/>
      <c r="AA2215" s="595"/>
      <c r="AB2215" s="288"/>
      <c r="AC2215" s="1263"/>
      <c r="AD2215" s="281"/>
      <c r="AE2215" s="494"/>
      <c r="AF2215" s="494"/>
      <c r="AG2215" s="595"/>
      <c r="AH2215" s="595"/>
      <c r="AI2215" s="254"/>
      <c r="AJ2215" s="303"/>
      <c r="AK2215" s="241">
        <v>4</v>
      </c>
      <c r="AL2215" s="121" t="s">
        <v>771</v>
      </c>
      <c r="AM2215" s="121" t="s">
        <v>723</v>
      </c>
      <c r="AN2215" s="147" t="s">
        <v>5785</v>
      </c>
      <c r="AO2215" s="190"/>
      <c r="AR2215" s="115"/>
      <c r="AS2215" s="115"/>
      <c r="AT2215" s="115"/>
    </row>
    <row r="2216" spans="1:46" s="827" customFormat="1" ht="39" customHeight="1" x14ac:dyDescent="0.3">
      <c r="A2216" s="1468">
        <v>2215</v>
      </c>
      <c r="B2216" s="161"/>
      <c r="C2216" s="659"/>
      <c r="D2216" s="637"/>
      <c r="E2216" s="637"/>
      <c r="F2216" s="637"/>
      <c r="G2216" s="602"/>
      <c r="H2216" s="602"/>
      <c r="I2216" s="637"/>
      <c r="J2216" s="637"/>
      <c r="K2216" s="637"/>
      <c r="L2216" s="602"/>
      <c r="M2216" s="602"/>
      <c r="N2216" s="637"/>
      <c r="O2216" s="602"/>
      <c r="P2216" s="230" t="s">
        <v>783</v>
      </c>
      <c r="Q2216" s="637"/>
      <c r="R2216" s="1209"/>
      <c r="S2216" s="279"/>
      <c r="T2216" s="637"/>
      <c r="U2216" s="250"/>
      <c r="V2216" s="637"/>
      <c r="W2216" s="602"/>
      <c r="X2216" s="602"/>
      <c r="Y2216" s="637"/>
      <c r="Z2216" s="637"/>
      <c r="AA2216" s="637"/>
      <c r="AB2216" s="1295"/>
      <c r="AC2216" s="637"/>
      <c r="AD2216" s="659"/>
      <c r="AE2216" s="494"/>
      <c r="AF2216" s="494"/>
      <c r="AG2216" s="637"/>
      <c r="AH2216" s="637"/>
      <c r="AI2216" s="602"/>
      <c r="AJ2216" s="602"/>
      <c r="AK2216" s="602"/>
      <c r="AL2216" s="205"/>
      <c r="AM2216" s="205"/>
      <c r="AN2216" s="202"/>
      <c r="AO2216" s="196"/>
      <c r="AP2216" s="192"/>
      <c r="AQ2216" s="192"/>
      <c r="AR2216" s="192"/>
      <c r="AS2216" s="192"/>
      <c r="AT2216" s="192"/>
    </row>
    <row r="2217" spans="1:46" ht="39" customHeight="1" x14ac:dyDescent="0.3">
      <c r="A2217" s="1468">
        <v>2216</v>
      </c>
      <c r="B2217" s="161">
        <v>10</v>
      </c>
      <c r="C2217" s="930" t="s">
        <v>305</v>
      </c>
      <c r="D2217" s="551"/>
      <c r="E2217" s="744"/>
      <c r="F2217" s="551"/>
      <c r="G2217" s="838">
        <v>304003</v>
      </c>
      <c r="H2217" s="244" t="s">
        <v>83</v>
      </c>
      <c r="I2217" s="643"/>
      <c r="J2217" s="245">
        <v>302</v>
      </c>
      <c r="K2217" s="816"/>
      <c r="L2217" s="554" t="s">
        <v>3472</v>
      </c>
      <c r="M2217" s="554" t="s">
        <v>3472</v>
      </c>
      <c r="N2217" s="809"/>
      <c r="O2217" s="216" t="s">
        <v>3346</v>
      </c>
      <c r="P2217" s="372"/>
      <c r="Q2217" s="326" t="s">
        <v>2053</v>
      </c>
      <c r="R2217" s="1501" t="s">
        <v>3345</v>
      </c>
      <c r="S2217" s="279">
        <v>35172</v>
      </c>
      <c r="T2217" s="344"/>
      <c r="U2217" s="197"/>
      <c r="V2217" s="1476"/>
      <c r="W2217" s="250"/>
      <c r="X2217" s="197"/>
      <c r="Y2217" s="981"/>
      <c r="Z2217" s="1135"/>
      <c r="AA2217" s="1135"/>
      <c r="AB2217" s="282"/>
      <c r="AC2217" s="223"/>
      <c r="AD2217" s="282"/>
      <c r="AE2217" s="494"/>
      <c r="AF2217" s="494"/>
      <c r="AG2217" s="241"/>
      <c r="AH2217" s="465"/>
      <c r="AI2217" s="466"/>
      <c r="AJ2217" s="755" t="s">
        <v>62</v>
      </c>
      <c r="AK2217" s="806">
        <v>1</v>
      </c>
      <c r="AL2217" s="882" t="s">
        <v>784</v>
      </c>
      <c r="AM2217" s="882" t="s">
        <v>784</v>
      </c>
      <c r="AN2217" s="903"/>
      <c r="AO2217" s="904"/>
      <c r="AR2217" s="115"/>
    </row>
    <row r="2218" spans="1:46" s="827" customFormat="1" ht="39" customHeight="1" x14ac:dyDescent="0.3">
      <c r="A2218" s="1468">
        <v>2217</v>
      </c>
      <c r="B2218" s="161"/>
      <c r="C2218" s="659"/>
      <c r="D2218" s="637"/>
      <c r="E2218" s="637"/>
      <c r="F2218" s="637"/>
      <c r="G2218" s="602"/>
      <c r="H2218" s="602"/>
      <c r="I2218" s="637"/>
      <c r="J2218" s="637"/>
      <c r="K2218" s="637"/>
      <c r="L2218" s="602"/>
      <c r="M2218" s="602"/>
      <c r="N2218" s="637"/>
      <c r="O2218" s="602"/>
      <c r="P2218" s="230" t="s">
        <v>366</v>
      </c>
      <c r="Q2218" s="637"/>
      <c r="R2218" s="1209"/>
      <c r="S2218" s="279"/>
      <c r="T2218" s="637"/>
      <c r="U2218" s="250"/>
      <c r="V2218" s="637"/>
      <c r="W2218" s="602"/>
      <c r="X2218" s="602"/>
      <c r="Y2218" s="637"/>
      <c r="Z2218" s="637"/>
      <c r="AA2218" s="637"/>
      <c r="AB2218" s="1295"/>
      <c r="AC2218" s="637"/>
      <c r="AD2218" s="659"/>
      <c r="AE2218" s="494"/>
      <c r="AF2218" s="494"/>
      <c r="AG2218" s="637"/>
      <c r="AH2218" s="637"/>
      <c r="AI2218" s="602"/>
      <c r="AJ2218" s="602"/>
      <c r="AK2218" s="602"/>
      <c r="AL2218" s="205"/>
      <c r="AM2218" s="205"/>
      <c r="AN2218" s="202"/>
      <c r="AO2218" s="196"/>
      <c r="AP2218" s="192"/>
      <c r="AQ2218" s="192"/>
      <c r="AR2218" s="192"/>
      <c r="AS2218" s="192"/>
      <c r="AT2218" s="192"/>
    </row>
    <row r="2219" spans="1:46" ht="39" customHeight="1" x14ac:dyDescent="0.3">
      <c r="A2219" s="1468">
        <v>2218</v>
      </c>
      <c r="B2219" s="161">
        <v>5</v>
      </c>
      <c r="C2219" s="934" t="s">
        <v>785</v>
      </c>
      <c r="D2219" s="864"/>
      <c r="E2219" s="864"/>
      <c r="F2219" s="864"/>
      <c r="G2219" s="846" t="s">
        <v>368</v>
      </c>
      <c r="H2219" s="846" t="s">
        <v>132</v>
      </c>
      <c r="I2219" s="642"/>
      <c r="J2219" s="256">
        <v>403</v>
      </c>
      <c r="K2219" s="642"/>
      <c r="L2219" s="625"/>
      <c r="M2219" s="625"/>
      <c r="N2219" s="642"/>
      <c r="O2219" s="277" t="s">
        <v>2258</v>
      </c>
      <c r="P2219" s="908"/>
      <c r="Q2219" s="485" t="s">
        <v>132</v>
      </c>
      <c r="R2219" s="1503" t="s">
        <v>2257</v>
      </c>
      <c r="S2219" s="279">
        <v>35053</v>
      </c>
      <c r="T2219" s="642"/>
      <c r="U2219" s="251" t="s">
        <v>54</v>
      </c>
      <c r="V2219" s="197" t="s">
        <v>3678</v>
      </c>
      <c r="W2219" s="197" t="s">
        <v>70</v>
      </c>
      <c r="X2219" s="197" t="s">
        <v>71</v>
      </c>
      <c r="Y2219" s="1126" t="s">
        <v>3677</v>
      </c>
      <c r="Z2219" s="486">
        <v>45225</v>
      </c>
      <c r="AA2219" s="642"/>
      <c r="AB2219" s="1293"/>
      <c r="AC2219" s="642"/>
      <c r="AD2219" s="661"/>
      <c r="AE2219" s="494"/>
      <c r="AF2219" s="494"/>
      <c r="AG2219" s="642"/>
      <c r="AH2219" s="642"/>
      <c r="AI2219" s="625"/>
      <c r="AJ2219" s="491" t="s">
        <v>560</v>
      </c>
      <c r="AK2219" s="491">
        <v>3</v>
      </c>
      <c r="AL2219" s="169" t="s">
        <v>784</v>
      </c>
      <c r="AM2219" s="121" t="s">
        <v>784</v>
      </c>
      <c r="AN2219" s="200"/>
      <c r="AO2219" s="193"/>
      <c r="AR2219" s="115"/>
    </row>
    <row r="2220" spans="1:46" ht="39" customHeight="1" x14ac:dyDescent="0.3">
      <c r="A2220" s="1468">
        <v>2219</v>
      </c>
      <c r="B2220" s="161">
        <v>3</v>
      </c>
      <c r="C2220" s="356" t="s">
        <v>290</v>
      </c>
      <c r="D2220" s="595"/>
      <c r="E2220" s="595"/>
      <c r="F2220" s="595"/>
      <c r="G2220" s="392" t="s">
        <v>291</v>
      </c>
      <c r="H2220" s="262" t="s">
        <v>87</v>
      </c>
      <c r="I2220" s="595"/>
      <c r="J2220" s="245" t="s">
        <v>561</v>
      </c>
      <c r="K2220" s="595"/>
      <c r="L2220" s="392"/>
      <c r="M2220" s="392"/>
      <c r="N2220" s="595"/>
      <c r="O2220" s="392"/>
      <c r="P2220" s="595"/>
      <c r="Q2220" s="1497"/>
      <c r="R2220" s="1494" t="s">
        <v>66</v>
      </c>
      <c r="S2220" s="279"/>
      <c r="T2220" s="595"/>
      <c r="U2220" s="250"/>
      <c r="V2220" s="595"/>
      <c r="W2220" s="392"/>
      <c r="X2220" s="392"/>
      <c r="Y2220" s="595"/>
      <c r="Z2220" s="595"/>
      <c r="AA2220" s="595"/>
      <c r="AB2220" s="1289"/>
      <c r="AC2220" s="595"/>
      <c r="AD2220" s="658"/>
      <c r="AE2220" s="494"/>
      <c r="AF2220" s="494"/>
      <c r="AG2220" s="595"/>
      <c r="AH2220" s="595"/>
      <c r="AI2220" s="392"/>
      <c r="AJ2220" s="392"/>
      <c r="AK2220" s="241">
        <v>4</v>
      </c>
      <c r="AL2220" s="121" t="s">
        <v>784</v>
      </c>
      <c r="AM2220" s="121" t="s">
        <v>784</v>
      </c>
      <c r="AN2220" s="147" t="s">
        <v>4182</v>
      </c>
      <c r="AO2220" s="190"/>
      <c r="AR2220" s="115"/>
      <c r="AS2220" s="115"/>
      <c r="AT2220" s="115"/>
    </row>
    <row r="2221" spans="1:46" ht="39" customHeight="1" x14ac:dyDescent="0.3">
      <c r="A2221" s="1468">
        <v>2220</v>
      </c>
      <c r="B2221" s="161">
        <v>2</v>
      </c>
      <c r="C2221" s="358" t="s">
        <v>786</v>
      </c>
      <c r="D2221" s="595"/>
      <c r="E2221" s="595"/>
      <c r="F2221" s="595"/>
      <c r="G2221" s="392" t="s">
        <v>303</v>
      </c>
      <c r="H2221" s="262" t="s">
        <v>87</v>
      </c>
      <c r="I2221" s="595"/>
      <c r="J2221" s="245" t="s">
        <v>561</v>
      </c>
      <c r="K2221" s="684"/>
      <c r="L2221" s="685"/>
      <c r="M2221" s="685"/>
      <c r="N2221" s="684"/>
      <c r="O2221" s="685"/>
      <c r="P2221" s="684"/>
      <c r="Q2221" s="1114"/>
      <c r="R2221" s="1494" t="s">
        <v>66</v>
      </c>
      <c r="S2221" s="279"/>
      <c r="T2221" s="684"/>
      <c r="U2221" s="250"/>
      <c r="V2221" s="983"/>
      <c r="W2221" s="197"/>
      <c r="X2221" s="197"/>
      <c r="Y2221" s="197"/>
      <c r="Z2221" s="252"/>
      <c r="AA2221" s="252"/>
      <c r="AB2221" s="1290"/>
      <c r="AC2221" s="684"/>
      <c r="AD2221" s="686"/>
      <c r="AE2221" s="494"/>
      <c r="AF2221" s="494"/>
      <c r="AG2221" s="684"/>
      <c r="AH2221" s="684"/>
      <c r="AI2221" s="685"/>
      <c r="AJ2221" s="685"/>
      <c r="AK2221" s="241">
        <v>4</v>
      </c>
      <c r="AL2221" s="121" t="s">
        <v>784</v>
      </c>
      <c r="AM2221" s="121" t="s">
        <v>784</v>
      </c>
      <c r="AN2221" s="199"/>
      <c r="AO2221" s="190"/>
      <c r="AR2221" s="115"/>
    </row>
    <row r="2222" spans="1:46" ht="39" customHeight="1" x14ac:dyDescent="0.3">
      <c r="A2222" s="1468">
        <v>2221</v>
      </c>
      <c r="B2222" s="161">
        <v>2</v>
      </c>
      <c r="C2222" s="520" t="s">
        <v>622</v>
      </c>
      <c r="D2222" s="640"/>
      <c r="E2222" s="640"/>
      <c r="F2222" s="640"/>
      <c r="G2222" s="626" t="s">
        <v>623</v>
      </c>
      <c r="H2222" s="262" t="s">
        <v>87</v>
      </c>
      <c r="I2222" s="640"/>
      <c r="J2222" s="245" t="s">
        <v>561</v>
      </c>
      <c r="K2222" s="268"/>
      <c r="L2222" s="438" t="s">
        <v>1685</v>
      </c>
      <c r="M2222" s="281" t="s">
        <v>5058</v>
      </c>
      <c r="N2222" s="404"/>
      <c r="O2222" s="1362" t="s">
        <v>2916</v>
      </c>
      <c r="P2222" s="431"/>
      <c r="Q2222" s="453" t="s">
        <v>87</v>
      </c>
      <c r="R2222" s="1494" t="s">
        <v>1689</v>
      </c>
      <c r="S2222" s="279"/>
      <c r="T2222" s="268"/>
      <c r="U2222" s="197"/>
      <c r="V2222" s="414"/>
      <c r="W2222" s="414"/>
      <c r="X2222" s="414"/>
      <c r="Y2222" s="264"/>
      <c r="Z2222" s="405"/>
      <c r="AA2222" s="405"/>
      <c r="AB2222" s="288" t="s">
        <v>4542</v>
      </c>
      <c r="AC2222" s="223" t="s">
        <v>946</v>
      </c>
      <c r="AD2222" s="718"/>
      <c r="AE2222" s="494">
        <v>45110</v>
      </c>
      <c r="AF2222" s="494">
        <v>45475</v>
      </c>
      <c r="AG2222" s="471"/>
      <c r="AH2222" s="585"/>
      <c r="AI2222" s="719" t="s">
        <v>1351</v>
      </c>
      <c r="AJ2222" s="470" t="s">
        <v>136</v>
      </c>
      <c r="AK2222" s="471">
        <v>4</v>
      </c>
      <c r="AL2222" s="166" t="s">
        <v>784</v>
      </c>
      <c r="AM2222" s="121" t="s">
        <v>784</v>
      </c>
      <c r="AN2222" s="201"/>
      <c r="AO2222" s="194"/>
      <c r="AR2222" s="115"/>
    </row>
    <row r="2223" spans="1:46" s="827" customFormat="1" ht="39" customHeight="1" x14ac:dyDescent="0.3">
      <c r="A2223" s="1468">
        <v>2222</v>
      </c>
      <c r="B2223" s="161"/>
      <c r="C2223" s="659"/>
      <c r="D2223" s="637"/>
      <c r="E2223" s="637"/>
      <c r="F2223" s="637"/>
      <c r="G2223" s="602"/>
      <c r="H2223" s="602"/>
      <c r="I2223" s="637"/>
      <c r="J2223" s="637"/>
      <c r="K2223" s="637"/>
      <c r="L2223" s="602"/>
      <c r="M2223" s="602"/>
      <c r="N2223" s="637"/>
      <c r="O2223" s="602"/>
      <c r="P2223" s="230" t="s">
        <v>373</v>
      </c>
      <c r="Q2223" s="637"/>
      <c r="R2223" s="1209"/>
      <c r="S2223" s="279"/>
      <c r="T2223" s="637"/>
      <c r="U2223" s="250"/>
      <c r="V2223" s="637"/>
      <c r="W2223" s="602"/>
      <c r="X2223" s="602"/>
      <c r="Y2223" s="637"/>
      <c r="Z2223" s="637"/>
      <c r="AA2223" s="637"/>
      <c r="AB2223" s="1295"/>
      <c r="AC2223" s="637"/>
      <c r="AD2223" s="659"/>
      <c r="AE2223" s="494"/>
      <c r="AF2223" s="494"/>
      <c r="AG2223" s="637"/>
      <c r="AH2223" s="637"/>
      <c r="AI2223" s="602"/>
      <c r="AJ2223" s="602"/>
      <c r="AK2223" s="602"/>
      <c r="AL2223" s="205"/>
      <c r="AM2223" s="205"/>
      <c r="AN2223" s="202"/>
      <c r="AO2223" s="196"/>
      <c r="AP2223" s="192"/>
      <c r="AQ2223" s="192"/>
      <c r="AR2223" s="192"/>
      <c r="AS2223" s="192"/>
      <c r="AT2223" s="192"/>
    </row>
    <row r="2224" spans="1:46" ht="39" customHeight="1" x14ac:dyDescent="0.3">
      <c r="A2224" s="1468">
        <v>2223</v>
      </c>
      <c r="B2224" s="161">
        <v>5</v>
      </c>
      <c r="C2224" s="934" t="s">
        <v>367</v>
      </c>
      <c r="D2224" s="864"/>
      <c r="E2224" s="864"/>
      <c r="F2224" s="864"/>
      <c r="G2224" s="846" t="s">
        <v>415</v>
      </c>
      <c r="H2224" s="846" t="s">
        <v>132</v>
      </c>
      <c r="I2224" s="642"/>
      <c r="J2224" s="256">
        <v>403</v>
      </c>
      <c r="K2224" s="642"/>
      <c r="L2224" s="625"/>
      <c r="M2224" s="625"/>
      <c r="N2224" s="642"/>
      <c r="O2224" s="625"/>
      <c r="P2224" s="642"/>
      <c r="Q2224" s="1496"/>
      <c r="R2224" s="1494" t="s">
        <v>66</v>
      </c>
      <c r="S2224" s="279"/>
      <c r="T2224" s="642"/>
      <c r="U2224" s="250"/>
      <c r="V2224" s="642"/>
      <c r="W2224" s="625"/>
      <c r="X2224" s="625"/>
      <c r="Y2224" s="642"/>
      <c r="Z2224" s="642"/>
      <c r="AA2224" s="642"/>
      <c r="AB2224" s="1293"/>
      <c r="AC2224" s="642"/>
      <c r="AD2224" s="661"/>
      <c r="AE2224" s="494"/>
      <c r="AF2224" s="494"/>
      <c r="AG2224" s="642"/>
      <c r="AH2224" s="642"/>
      <c r="AI2224" s="625"/>
      <c r="AJ2224" s="625"/>
      <c r="AK2224" s="491">
        <v>3</v>
      </c>
      <c r="AL2224" s="169" t="s">
        <v>784</v>
      </c>
      <c r="AM2224" s="121" t="s">
        <v>784</v>
      </c>
      <c r="AN2224" s="200"/>
      <c r="AO2224" s="193"/>
      <c r="AR2224" s="115"/>
    </row>
    <row r="2225" spans="1:46" ht="39" customHeight="1" x14ac:dyDescent="0.3">
      <c r="A2225" s="1468">
        <v>2224</v>
      </c>
      <c r="B2225" s="161">
        <v>2</v>
      </c>
      <c r="C2225" s="501" t="s">
        <v>446</v>
      </c>
      <c r="D2225" s="595"/>
      <c r="E2225" s="595"/>
      <c r="F2225" s="595"/>
      <c r="G2225" s="392" t="s">
        <v>354</v>
      </c>
      <c r="H2225" s="262" t="s">
        <v>87</v>
      </c>
      <c r="I2225" s="595"/>
      <c r="J2225" s="245" t="s">
        <v>561</v>
      </c>
      <c r="K2225" s="640"/>
      <c r="L2225" s="626"/>
      <c r="M2225" s="626"/>
      <c r="N2225" s="640"/>
      <c r="O2225" s="626"/>
      <c r="P2225" s="640"/>
      <c r="Q2225" s="1498"/>
      <c r="R2225" s="1494" t="s">
        <v>66</v>
      </c>
      <c r="S2225" s="279"/>
      <c r="T2225" s="640"/>
      <c r="U2225" s="250"/>
      <c r="V2225" s="640"/>
      <c r="W2225" s="626"/>
      <c r="X2225" s="626"/>
      <c r="Y2225" s="640"/>
      <c r="Z2225" s="640"/>
      <c r="AA2225" s="640"/>
      <c r="AB2225" s="1291"/>
      <c r="AC2225" s="640"/>
      <c r="AD2225" s="660"/>
      <c r="AE2225" s="494"/>
      <c r="AF2225" s="494"/>
      <c r="AG2225" s="640"/>
      <c r="AH2225" s="640"/>
      <c r="AI2225" s="626"/>
      <c r="AJ2225" s="626"/>
      <c r="AK2225" s="241">
        <v>4</v>
      </c>
      <c r="AL2225" s="121" t="s">
        <v>784</v>
      </c>
      <c r="AM2225" s="121" t="s">
        <v>784</v>
      </c>
      <c r="AN2225" s="147" t="s">
        <v>4193</v>
      </c>
      <c r="AO2225" s="190"/>
      <c r="AR2225" s="115"/>
      <c r="AS2225" s="115"/>
      <c r="AT2225" s="115"/>
    </row>
    <row r="2226" spans="1:46" ht="39" customHeight="1" x14ac:dyDescent="0.3">
      <c r="A2226" s="1468">
        <v>2225</v>
      </c>
      <c r="B2226" s="161">
        <v>2</v>
      </c>
      <c r="C2226" s="520" t="s">
        <v>787</v>
      </c>
      <c r="D2226" s="640"/>
      <c r="E2226" s="640"/>
      <c r="F2226" s="640"/>
      <c r="G2226" s="626" t="s">
        <v>300</v>
      </c>
      <c r="H2226" s="262" t="s">
        <v>87</v>
      </c>
      <c r="I2226" s="640"/>
      <c r="J2226" s="245" t="s">
        <v>561</v>
      </c>
      <c r="K2226" s="216" t="s">
        <v>313</v>
      </c>
      <c r="L2226" s="299" t="s">
        <v>5058</v>
      </c>
      <c r="M2226" s="299" t="s">
        <v>5058</v>
      </c>
      <c r="N2226" s="366"/>
      <c r="O2226" s="1469" t="s">
        <v>5105</v>
      </c>
      <c r="P2226" s="367"/>
      <c r="Q2226" s="1492" t="s">
        <v>87</v>
      </c>
      <c r="R2226" s="1494" t="s">
        <v>5104</v>
      </c>
      <c r="S2226" s="279">
        <v>38479</v>
      </c>
      <c r="T2226" s="197"/>
      <c r="U2226" s="250"/>
      <c r="V2226" s="299"/>
      <c r="W2226" s="250"/>
      <c r="X2226" s="197"/>
      <c r="Y2226" s="245"/>
      <c r="Z2226" s="246">
        <v>45253</v>
      </c>
      <c r="AA2226" s="246"/>
      <c r="AB2226" s="288" t="s">
        <v>5086</v>
      </c>
      <c r="AC2226" s="223" t="s">
        <v>946</v>
      </c>
      <c r="AD2226" s="245" t="s">
        <v>467</v>
      </c>
      <c r="AE2226" s="494">
        <v>45252</v>
      </c>
      <c r="AF2226" s="494">
        <v>45617</v>
      </c>
      <c r="AG2226" s="241"/>
      <c r="AH2226" s="283"/>
      <c r="AI2226" s="254" t="s">
        <v>4208</v>
      </c>
      <c r="AJ2226" s="303" t="s">
        <v>136</v>
      </c>
      <c r="AK2226" s="241">
        <v>4</v>
      </c>
      <c r="AL2226" s="166" t="s">
        <v>784</v>
      </c>
      <c r="AM2226" s="121" t="s">
        <v>784</v>
      </c>
      <c r="AN2226" s="201"/>
      <c r="AO2226" s="194"/>
      <c r="AR2226" s="115"/>
    </row>
    <row r="2227" spans="1:46" s="827" customFormat="1" ht="39" customHeight="1" x14ac:dyDescent="0.3">
      <c r="A2227" s="1468">
        <v>2226</v>
      </c>
      <c r="B2227" s="161"/>
      <c r="C2227" s="659"/>
      <c r="D2227" s="637"/>
      <c r="E2227" s="637"/>
      <c r="F2227" s="637"/>
      <c r="G2227" s="602"/>
      <c r="H2227" s="602"/>
      <c r="I2227" s="637"/>
      <c r="J2227" s="637"/>
      <c r="K2227" s="972"/>
      <c r="L2227" s="973"/>
      <c r="M2227" s="973"/>
      <c r="N2227" s="972"/>
      <c r="O2227" s="973"/>
      <c r="P2227" s="974" t="s">
        <v>788</v>
      </c>
      <c r="Q2227" s="972"/>
      <c r="R2227" s="1209"/>
      <c r="S2227" s="279"/>
      <c r="T2227" s="972"/>
      <c r="U2227" s="250"/>
      <c r="V2227" s="972"/>
      <c r="W2227" s="973"/>
      <c r="X2227" s="973"/>
      <c r="Y2227" s="972"/>
      <c r="Z2227" s="972"/>
      <c r="AA2227" s="972"/>
      <c r="AB2227" s="1298"/>
      <c r="AC2227" s="972"/>
      <c r="AD2227" s="975"/>
      <c r="AE2227" s="494"/>
      <c r="AF2227" s="494"/>
      <c r="AG2227" s="972"/>
      <c r="AH2227" s="972"/>
      <c r="AI2227" s="973"/>
      <c r="AJ2227" s="973"/>
      <c r="AK2227" s="602"/>
      <c r="AL2227" s="205"/>
      <c r="AM2227" s="205"/>
      <c r="AN2227" s="202"/>
      <c r="AO2227" s="196"/>
      <c r="AP2227" s="192"/>
      <c r="AQ2227" s="192"/>
      <c r="AR2227" s="192"/>
      <c r="AS2227" s="192"/>
      <c r="AT2227" s="192"/>
    </row>
    <row r="2228" spans="1:46" ht="39" customHeight="1" x14ac:dyDescent="0.3">
      <c r="A2228" s="1468">
        <v>2227</v>
      </c>
      <c r="B2228" s="161">
        <v>14</v>
      </c>
      <c r="C2228" s="784" t="s">
        <v>277</v>
      </c>
      <c r="D2228" s="487"/>
      <c r="E2228" s="728"/>
      <c r="F2228" s="487"/>
      <c r="G2228" s="730">
        <v>2402003</v>
      </c>
      <c r="H2228" s="733" t="s">
        <v>78</v>
      </c>
      <c r="I2228" s="642"/>
      <c r="J2228" s="245">
        <v>300</v>
      </c>
      <c r="K2228" s="197" t="s">
        <v>50</v>
      </c>
      <c r="L2228" s="281" t="s">
        <v>4620</v>
      </c>
      <c r="M2228" s="281" t="s">
        <v>4620</v>
      </c>
      <c r="N2228" s="595"/>
      <c r="O2228" s="1476" t="s">
        <v>4622</v>
      </c>
      <c r="P2228" s="1476" t="s">
        <v>1411</v>
      </c>
      <c r="Q2228" s="326" t="s">
        <v>119</v>
      </c>
      <c r="R2228" s="1501" t="s">
        <v>4621</v>
      </c>
      <c r="S2228" s="279">
        <v>28970</v>
      </c>
      <c r="T2228" s="595"/>
      <c r="U2228" s="251" t="s">
        <v>54</v>
      </c>
      <c r="V2228" s="197" t="s">
        <v>4730</v>
      </c>
      <c r="W2228" s="443" t="s">
        <v>56</v>
      </c>
      <c r="X2228" s="280" t="s">
        <v>57</v>
      </c>
      <c r="Y2228" s="979" t="s">
        <v>4631</v>
      </c>
      <c r="Z2228" s="612">
        <v>45243</v>
      </c>
      <c r="AA2228" s="595"/>
      <c r="AB2228" s="1289"/>
      <c r="AC2228" s="595"/>
      <c r="AD2228" s="658"/>
      <c r="AE2228" s="494"/>
      <c r="AF2228" s="494"/>
      <c r="AG2228" s="595"/>
      <c r="AH2228" s="595"/>
      <c r="AI2228" s="1476"/>
      <c r="AJ2228" s="1014" t="s">
        <v>62</v>
      </c>
      <c r="AK2228" s="442">
        <v>1</v>
      </c>
      <c r="AL2228" s="169" t="s">
        <v>4205</v>
      </c>
      <c r="AM2228" s="169" t="s">
        <v>3483</v>
      </c>
      <c r="AN2228" s="200"/>
      <c r="AO2228" s="193"/>
      <c r="AR2228" s="115"/>
    </row>
    <row r="2229" spans="1:46" ht="39" customHeight="1" x14ac:dyDescent="0.3">
      <c r="A2229" s="1468">
        <v>2228</v>
      </c>
      <c r="B2229" s="161">
        <v>12</v>
      </c>
      <c r="C2229" s="341" t="s">
        <v>790</v>
      </c>
      <c r="D2229" s="282"/>
      <c r="E2229" s="338"/>
      <c r="F2229" s="282"/>
      <c r="G2229" s="339">
        <v>5602003</v>
      </c>
      <c r="H2229" s="244" t="s">
        <v>83</v>
      </c>
      <c r="I2229" s="595"/>
      <c r="J2229" s="245">
        <v>302</v>
      </c>
      <c r="K2229" s="197" t="s">
        <v>50</v>
      </c>
      <c r="L2229" s="1476"/>
      <c r="M2229" s="1476"/>
      <c r="N2229" s="595"/>
      <c r="O2229" s="1476" t="s">
        <v>3348</v>
      </c>
      <c r="P2229" s="595"/>
      <c r="Q2229" s="326" t="s">
        <v>83</v>
      </c>
      <c r="R2229" s="1501" t="s">
        <v>3347</v>
      </c>
      <c r="S2229" s="279">
        <v>24770</v>
      </c>
      <c r="T2229" s="595"/>
      <c r="U2229" s="251" t="s">
        <v>54</v>
      </c>
      <c r="V2229" s="197" t="s">
        <v>5955</v>
      </c>
      <c r="W2229" s="197" t="s">
        <v>70</v>
      </c>
      <c r="X2229" s="197" t="s">
        <v>71</v>
      </c>
      <c r="Y2229" s="949" t="s">
        <v>5964</v>
      </c>
      <c r="Z2229" s="612">
        <v>45312</v>
      </c>
      <c r="AA2229" s="595"/>
      <c r="AB2229" s="1289"/>
      <c r="AC2229" s="595"/>
      <c r="AD2229" s="658"/>
      <c r="AE2229" s="494"/>
      <c r="AF2229" s="494"/>
      <c r="AG2229" s="595"/>
      <c r="AH2229" s="595"/>
      <c r="AI2229" s="1476"/>
      <c r="AJ2229" s="1014" t="s">
        <v>62</v>
      </c>
      <c r="AK2229" s="242">
        <v>1</v>
      </c>
      <c r="AL2229" s="169" t="s">
        <v>4205</v>
      </c>
      <c r="AM2229" s="121" t="s">
        <v>3483</v>
      </c>
      <c r="AN2229" s="199"/>
      <c r="AO2229" s="190"/>
      <c r="AR2229" s="115"/>
    </row>
    <row r="2230" spans="1:46" ht="39" customHeight="1" x14ac:dyDescent="0.3">
      <c r="A2230" s="1468">
        <v>2229</v>
      </c>
      <c r="B2230" s="161">
        <v>9</v>
      </c>
      <c r="C2230" s="532" t="s">
        <v>284</v>
      </c>
      <c r="D2230" s="282"/>
      <c r="E2230" s="353"/>
      <c r="F2230" s="282"/>
      <c r="G2230" s="445" t="s">
        <v>285</v>
      </c>
      <c r="H2230" s="350" t="s">
        <v>283</v>
      </c>
      <c r="I2230" s="595"/>
      <c r="J2230" s="281">
        <v>410</v>
      </c>
      <c r="K2230" s="216" t="s">
        <v>313</v>
      </c>
      <c r="L2230" s="216" t="s">
        <v>1234</v>
      </c>
      <c r="M2230" s="216" t="s">
        <v>1234</v>
      </c>
      <c r="N2230" s="216"/>
      <c r="O2230" s="216" t="s">
        <v>1295</v>
      </c>
      <c r="P2230" s="635"/>
      <c r="Q2230" s="352" t="s">
        <v>153</v>
      </c>
      <c r="R2230" s="1502" t="s">
        <v>1296</v>
      </c>
      <c r="S2230" s="279">
        <v>33047</v>
      </c>
      <c r="T2230" s="250"/>
      <c r="U2230" s="250"/>
      <c r="V2230" s="306"/>
      <c r="W2230" s="250"/>
      <c r="X2230" s="250"/>
      <c r="Y2230" s="197"/>
      <c r="Z2230" s="246"/>
      <c r="AA2230" s="246"/>
      <c r="AB2230" s="281"/>
      <c r="AC2230" s="223" t="s">
        <v>946</v>
      </c>
      <c r="AD2230" s="376"/>
      <c r="AE2230" s="494">
        <v>44365</v>
      </c>
      <c r="AF2230" s="494">
        <v>44729</v>
      </c>
      <c r="AG2230" s="241" t="s">
        <v>61</v>
      </c>
      <c r="AH2230" s="283"/>
      <c r="AI2230" s="547"/>
      <c r="AJ2230" s="317" t="s">
        <v>47</v>
      </c>
      <c r="AK2230" s="1513">
        <v>2</v>
      </c>
      <c r="AL2230" s="169" t="s">
        <v>4205</v>
      </c>
      <c r="AM2230" s="169" t="s">
        <v>3483</v>
      </c>
      <c r="AN2230" s="199"/>
      <c r="AO2230" s="190"/>
      <c r="AR2230" s="115"/>
    </row>
    <row r="2231" spans="1:46" ht="39" customHeight="1" x14ac:dyDescent="0.3">
      <c r="A2231" s="1468">
        <v>2230</v>
      </c>
      <c r="B2231" s="161">
        <v>2</v>
      </c>
      <c r="C2231" s="504" t="s">
        <v>446</v>
      </c>
      <c r="D2231" s="640"/>
      <c r="E2231" s="640"/>
      <c r="F2231" s="640"/>
      <c r="G2231" s="626" t="s">
        <v>354</v>
      </c>
      <c r="H2231" s="262" t="s">
        <v>87</v>
      </c>
      <c r="I2231" s="640"/>
      <c r="J2231" s="245" t="s">
        <v>561</v>
      </c>
      <c r="K2231" s="626" t="s">
        <v>158</v>
      </c>
      <c r="L2231" s="277" t="s">
        <v>4853</v>
      </c>
      <c r="M2231" s="277" t="s">
        <v>4853</v>
      </c>
      <c r="N2231" s="299"/>
      <c r="O2231" s="216" t="s">
        <v>4895</v>
      </c>
      <c r="P2231" s="300"/>
      <c r="Q2231" s="380" t="s">
        <v>87</v>
      </c>
      <c r="R2231" s="1494" t="s">
        <v>4874</v>
      </c>
      <c r="S2231" s="279">
        <v>37767</v>
      </c>
      <c r="T2231" s="640"/>
      <c r="U2231" s="250"/>
      <c r="V2231" s="1287"/>
      <c r="W2231" s="1287"/>
      <c r="X2231" s="1287"/>
      <c r="Y2231" s="288"/>
      <c r="Z2231" s="612"/>
      <c r="AA2231" s="640"/>
      <c r="AB2231" s="836" t="s">
        <v>4896</v>
      </c>
      <c r="AC2231" s="626" t="s">
        <v>946</v>
      </c>
      <c r="AD2231" s="288" t="s">
        <v>467</v>
      </c>
      <c r="AE2231" s="494">
        <v>45246</v>
      </c>
      <c r="AF2231" s="494">
        <v>45611</v>
      </c>
      <c r="AG2231" s="640"/>
      <c r="AH2231" s="640"/>
      <c r="AI2231" s="254" t="s">
        <v>4208</v>
      </c>
      <c r="AJ2231" s="303" t="s">
        <v>136</v>
      </c>
      <c r="AK2231" s="471">
        <v>4</v>
      </c>
      <c r="AL2231" s="169" t="s">
        <v>4205</v>
      </c>
      <c r="AM2231" s="169" t="s">
        <v>3483</v>
      </c>
      <c r="AN2231" s="147" t="s">
        <v>5764</v>
      </c>
      <c r="AO2231" s="194"/>
      <c r="AR2231" s="115"/>
      <c r="AS2231" s="115"/>
      <c r="AT2231" s="115"/>
    </row>
    <row r="2232" spans="1:46" s="827" customFormat="1" ht="39" customHeight="1" x14ac:dyDescent="0.3">
      <c r="A2232" s="1468">
        <v>2231</v>
      </c>
      <c r="B2232" s="161"/>
      <c r="C2232" s="723"/>
      <c r="D2232" s="637"/>
      <c r="E2232" s="637"/>
      <c r="F2232" s="637"/>
      <c r="G2232" s="602"/>
      <c r="H2232" s="602"/>
      <c r="I2232" s="637"/>
      <c r="J2232" s="637"/>
      <c r="K2232" s="637"/>
      <c r="L2232" s="602"/>
      <c r="M2232" s="602"/>
      <c r="N2232" s="637"/>
      <c r="O2232" s="602"/>
      <c r="P2232" s="230" t="s">
        <v>791</v>
      </c>
      <c r="Q2232" s="637"/>
      <c r="R2232" s="1209"/>
      <c r="S2232" s="279"/>
      <c r="T2232" s="637"/>
      <c r="U2232" s="250"/>
      <c r="V2232" s="637"/>
      <c r="W2232" s="602"/>
      <c r="X2232" s="602"/>
      <c r="Y2232" s="637"/>
      <c r="Z2232" s="637"/>
      <c r="AA2232" s="637"/>
      <c r="AB2232" s="1295"/>
      <c r="AC2232" s="637"/>
      <c r="AD2232" s="659"/>
      <c r="AE2232" s="494"/>
      <c r="AF2232" s="494"/>
      <c r="AG2232" s="637"/>
      <c r="AH2232" s="637"/>
      <c r="AI2232" s="602"/>
      <c r="AJ2232" s="602"/>
      <c r="AK2232" s="602"/>
      <c r="AL2232" s="205"/>
      <c r="AM2232" s="205"/>
      <c r="AN2232" s="202"/>
      <c r="AO2232" s="196"/>
      <c r="AP2232" s="192"/>
      <c r="AQ2232" s="192"/>
      <c r="AR2232" s="192"/>
      <c r="AS2232" s="192"/>
      <c r="AT2232" s="192"/>
    </row>
    <row r="2233" spans="1:46" ht="39" customHeight="1" x14ac:dyDescent="0.3">
      <c r="A2233" s="1468">
        <v>2232</v>
      </c>
      <c r="B2233" s="161">
        <v>9</v>
      </c>
      <c r="C2233" s="946" t="s">
        <v>305</v>
      </c>
      <c r="D2233" s="643"/>
      <c r="E2233" s="643"/>
      <c r="F2233" s="643"/>
      <c r="G2233" s="644" t="s">
        <v>792</v>
      </c>
      <c r="H2233" s="644" t="s">
        <v>663</v>
      </c>
      <c r="I2233" s="643"/>
      <c r="J2233" s="643"/>
      <c r="K2233" s="216" t="s">
        <v>158</v>
      </c>
      <c r="L2233" s="281" t="s">
        <v>1064</v>
      </c>
      <c r="M2233" s="289" t="s">
        <v>3906</v>
      </c>
      <c r="N2233" s="197"/>
      <c r="O2233" s="216" t="s">
        <v>1065</v>
      </c>
      <c r="P2233" s="351"/>
      <c r="Q2233" s="352" t="s">
        <v>283</v>
      </c>
      <c r="R2233" s="1502" t="s">
        <v>1066</v>
      </c>
      <c r="S2233" s="279">
        <v>32319</v>
      </c>
      <c r="T2233" s="250"/>
      <c r="U2233" s="251" t="s">
        <v>54</v>
      </c>
      <c r="V2233" s="197" t="s">
        <v>5857</v>
      </c>
      <c r="W2233" s="250" t="s">
        <v>5728</v>
      </c>
      <c r="X2233" s="280" t="s">
        <v>57</v>
      </c>
      <c r="Y2233" s="1515" t="s">
        <v>4631</v>
      </c>
      <c r="Z2233" s="486">
        <v>45301</v>
      </c>
      <c r="AA2233" s="252"/>
      <c r="AB2233" s="281"/>
      <c r="AC2233" s="223" t="s">
        <v>946</v>
      </c>
      <c r="AD2233" s="281" t="s">
        <v>1067</v>
      </c>
      <c r="AE2233" s="494"/>
      <c r="AF2233" s="494">
        <v>45387</v>
      </c>
      <c r="AG2233" s="241" t="s">
        <v>61</v>
      </c>
      <c r="AH2233" s="283"/>
      <c r="AI2233" s="296"/>
      <c r="AJ2233" s="317" t="s">
        <v>47</v>
      </c>
      <c r="AK2233" s="644">
        <v>2</v>
      </c>
      <c r="AL2233" s="882" t="s">
        <v>793</v>
      </c>
      <c r="AM2233" s="169" t="s">
        <v>3483</v>
      </c>
      <c r="AN2233" s="903"/>
      <c r="AO2233" s="904"/>
      <c r="AR2233" s="115"/>
    </row>
    <row r="2234" spans="1:46" s="827" customFormat="1" ht="39" customHeight="1" x14ac:dyDescent="0.3">
      <c r="A2234" s="1468">
        <v>2233</v>
      </c>
      <c r="B2234" s="161"/>
      <c r="C2234" s="659"/>
      <c r="D2234" s="637"/>
      <c r="E2234" s="637"/>
      <c r="F2234" s="637"/>
      <c r="G2234" s="602"/>
      <c r="H2234" s="602"/>
      <c r="I2234" s="637"/>
      <c r="J2234" s="637"/>
      <c r="K2234" s="637"/>
      <c r="L2234" s="602"/>
      <c r="M2234" s="602"/>
      <c r="N2234" s="637"/>
      <c r="O2234" s="602"/>
      <c r="P2234" s="230" t="s">
        <v>434</v>
      </c>
      <c r="Q2234" s="637"/>
      <c r="R2234" s="1209"/>
      <c r="S2234" s="279"/>
      <c r="T2234" s="637"/>
      <c r="U2234" s="250"/>
      <c r="V2234" s="637"/>
      <c r="W2234" s="602"/>
      <c r="X2234" s="602"/>
      <c r="Y2234" s="637"/>
      <c r="Z2234" s="637"/>
      <c r="AA2234" s="637"/>
      <c r="AB2234" s="1295"/>
      <c r="AC2234" s="637"/>
      <c r="AD2234" s="659"/>
      <c r="AE2234" s="494"/>
      <c r="AF2234" s="494"/>
      <c r="AG2234" s="637"/>
      <c r="AH2234" s="637"/>
      <c r="AI2234" s="602"/>
      <c r="AJ2234" s="602"/>
      <c r="AK2234" s="602"/>
      <c r="AL2234" s="205"/>
      <c r="AM2234" s="205"/>
      <c r="AN2234" s="202"/>
      <c r="AO2234" s="196"/>
      <c r="AP2234" s="192"/>
      <c r="AQ2234" s="192"/>
      <c r="AR2234" s="192"/>
      <c r="AS2234" s="192"/>
      <c r="AT2234" s="192"/>
    </row>
    <row r="2235" spans="1:46" ht="39" customHeight="1" x14ac:dyDescent="0.3">
      <c r="A2235" s="1468">
        <v>2234</v>
      </c>
      <c r="B2235" s="161">
        <v>7</v>
      </c>
      <c r="C2235" s="934" t="s">
        <v>374</v>
      </c>
      <c r="D2235" s="864"/>
      <c r="E2235" s="864"/>
      <c r="F2235" s="864"/>
      <c r="G2235" s="846" t="s">
        <v>794</v>
      </c>
      <c r="H2235" s="846" t="s">
        <v>132</v>
      </c>
      <c r="I2235" s="642"/>
      <c r="J2235" s="256">
        <v>403</v>
      </c>
      <c r="K2235" s="216" t="s">
        <v>158</v>
      </c>
      <c r="L2235" s="216" t="s">
        <v>1008</v>
      </c>
      <c r="M2235" s="216" t="s">
        <v>1008</v>
      </c>
      <c r="N2235" s="245"/>
      <c r="O2235" s="216" t="s">
        <v>1009</v>
      </c>
      <c r="P2235" s="287"/>
      <c r="Q2235" s="373" t="s">
        <v>519</v>
      </c>
      <c r="R2235" s="1503" t="s">
        <v>1010</v>
      </c>
      <c r="S2235" s="279">
        <v>30707</v>
      </c>
      <c r="T2235" s="197"/>
      <c r="U2235" s="250"/>
      <c r="V2235" s="250"/>
      <c r="W2235" s="197" t="s">
        <v>5795</v>
      </c>
      <c r="X2235" s="197"/>
      <c r="Y2235" s="252"/>
      <c r="Z2235" s="252"/>
      <c r="AA2235" s="252"/>
      <c r="AB2235" s="282"/>
      <c r="AC2235" s="223" t="s">
        <v>946</v>
      </c>
      <c r="AD2235" s="281"/>
      <c r="AE2235" s="494">
        <v>43265</v>
      </c>
      <c r="AF2235" s="494">
        <v>45090</v>
      </c>
      <c r="AG2235" s="241" t="s">
        <v>61</v>
      </c>
      <c r="AH2235" s="283"/>
      <c r="AI2235" s="254"/>
      <c r="AJ2235" s="348" t="s">
        <v>560</v>
      </c>
      <c r="AK2235" s="1514">
        <v>3</v>
      </c>
      <c r="AL2235" s="169" t="s">
        <v>793</v>
      </c>
      <c r="AM2235" s="169" t="s">
        <v>3483</v>
      </c>
      <c r="AN2235" s="200"/>
      <c r="AO2235" s="193"/>
      <c r="AR2235" s="115"/>
    </row>
    <row r="2236" spans="1:46" ht="39" customHeight="1" x14ac:dyDescent="0.3">
      <c r="A2236" s="1468">
        <v>2235</v>
      </c>
      <c r="B2236" s="161">
        <v>3</v>
      </c>
      <c r="C2236" s="521" t="s">
        <v>436</v>
      </c>
      <c r="D2236" s="642"/>
      <c r="E2236" s="642"/>
      <c r="F2236" s="642"/>
      <c r="G2236" s="625" t="s">
        <v>437</v>
      </c>
      <c r="H2236" s="262" t="s">
        <v>85</v>
      </c>
      <c r="I2236" s="642"/>
      <c r="J2236" s="245" t="s">
        <v>556</v>
      </c>
      <c r="K2236" s="216"/>
      <c r="L2236" s="281" t="s">
        <v>1685</v>
      </c>
      <c r="M2236" s="281" t="s">
        <v>2060</v>
      </c>
      <c r="N2236" s="366"/>
      <c r="O2236" s="392" t="s">
        <v>2886</v>
      </c>
      <c r="P2236" s="402"/>
      <c r="Q2236" s="380" t="s">
        <v>87</v>
      </c>
      <c r="R2236" s="1494" t="s">
        <v>1895</v>
      </c>
      <c r="S2236" s="279"/>
      <c r="T2236" s="197"/>
      <c r="U2236" s="250"/>
      <c r="V2236" s="595"/>
      <c r="W2236" s="1389"/>
      <c r="X2236" s="1389"/>
      <c r="Y2236" s="245"/>
      <c r="Z2236" s="246"/>
      <c r="AA2236" s="246"/>
      <c r="AB2236" s="288" t="s">
        <v>4552</v>
      </c>
      <c r="AC2236" s="223" t="s">
        <v>946</v>
      </c>
      <c r="AD2236" s="376"/>
      <c r="AE2236" s="494">
        <v>45111</v>
      </c>
      <c r="AF2236" s="494">
        <v>45476</v>
      </c>
      <c r="AG2236" s="241"/>
      <c r="AH2236" s="283"/>
      <c r="AI2236" s="254" t="s">
        <v>1351</v>
      </c>
      <c r="AJ2236" s="303" t="s">
        <v>136</v>
      </c>
      <c r="AK2236" s="476">
        <v>4</v>
      </c>
      <c r="AL2236" s="169" t="s">
        <v>793</v>
      </c>
      <c r="AM2236" s="169" t="s">
        <v>3483</v>
      </c>
      <c r="AN2236" s="200"/>
      <c r="AO2236" s="193"/>
      <c r="AR2236" s="115"/>
    </row>
    <row r="2237" spans="1:46" ht="39" customHeight="1" x14ac:dyDescent="0.3">
      <c r="A2237" s="1468">
        <v>2236</v>
      </c>
      <c r="B2237" s="161">
        <v>3</v>
      </c>
      <c r="C2237" s="358" t="s">
        <v>436</v>
      </c>
      <c r="D2237" s="595"/>
      <c r="E2237" s="595"/>
      <c r="F2237" s="595"/>
      <c r="G2237" s="392" t="s">
        <v>437</v>
      </c>
      <c r="H2237" s="262" t="s">
        <v>85</v>
      </c>
      <c r="I2237" s="595"/>
      <c r="J2237" s="245" t="s">
        <v>556</v>
      </c>
      <c r="K2237" s="197"/>
      <c r="L2237" s="281" t="s">
        <v>1685</v>
      </c>
      <c r="M2237" s="281" t="s">
        <v>4022</v>
      </c>
      <c r="N2237" s="366"/>
      <c r="O2237" s="392" t="s">
        <v>2956</v>
      </c>
      <c r="P2237" s="402"/>
      <c r="Q2237" s="380" t="s">
        <v>85</v>
      </c>
      <c r="R2237" s="1494" t="s">
        <v>1694</v>
      </c>
      <c r="S2237" s="279"/>
      <c r="T2237" s="197"/>
      <c r="U2237" s="250"/>
      <c r="V2237" s="197"/>
      <c r="W2237" s="197"/>
      <c r="X2237" s="197"/>
      <c r="Y2237" s="245"/>
      <c r="Z2237" s="246"/>
      <c r="AA2237" s="246"/>
      <c r="AB2237" s="288" t="s">
        <v>4553</v>
      </c>
      <c r="AC2237" s="223" t="s">
        <v>946</v>
      </c>
      <c r="AD2237" s="376"/>
      <c r="AE2237" s="494">
        <v>45111</v>
      </c>
      <c r="AF2237" s="494">
        <v>45476</v>
      </c>
      <c r="AG2237" s="241"/>
      <c r="AH2237" s="283"/>
      <c r="AI2237" s="254" t="s">
        <v>1351</v>
      </c>
      <c r="AJ2237" s="303" t="s">
        <v>136</v>
      </c>
      <c r="AK2237" s="241">
        <v>4</v>
      </c>
      <c r="AL2237" s="121" t="s">
        <v>793</v>
      </c>
      <c r="AM2237" s="169" t="s">
        <v>3483</v>
      </c>
      <c r="AN2237" s="199"/>
      <c r="AO2237" s="190"/>
      <c r="AR2237" s="115"/>
    </row>
    <row r="2238" spans="1:46" ht="39" customHeight="1" x14ac:dyDescent="0.3">
      <c r="A2238" s="1468">
        <v>2237</v>
      </c>
      <c r="B2238" s="161">
        <v>3</v>
      </c>
      <c r="C2238" s="358" t="s">
        <v>436</v>
      </c>
      <c r="D2238" s="595"/>
      <c r="E2238" s="595"/>
      <c r="F2238" s="595"/>
      <c r="G2238" s="392" t="s">
        <v>437</v>
      </c>
      <c r="H2238" s="262" t="s">
        <v>85</v>
      </c>
      <c r="I2238" s="595"/>
      <c r="J2238" s="245" t="s">
        <v>556</v>
      </c>
      <c r="K2238" s="268"/>
      <c r="L2238" s="394" t="s">
        <v>1430</v>
      </c>
      <c r="M2238" s="438" t="s">
        <v>1684</v>
      </c>
      <c r="N2238" s="496"/>
      <c r="O2238" s="392" t="s">
        <v>3151</v>
      </c>
      <c r="P2238" s="505"/>
      <c r="Q2238" s="400" t="s">
        <v>85</v>
      </c>
      <c r="R2238" s="1494" t="s">
        <v>1457</v>
      </c>
      <c r="S2238" s="279"/>
      <c r="T2238" s="414"/>
      <c r="U2238" s="250"/>
      <c r="V2238" s="640"/>
      <c r="W2238" s="414" t="s">
        <v>3590</v>
      </c>
      <c r="X2238" s="626"/>
      <c r="Y2238" s="496"/>
      <c r="Z2238" s="496"/>
      <c r="AA2238" s="440"/>
      <c r="AB2238" s="288" t="s">
        <v>4554</v>
      </c>
      <c r="AC2238" s="223" t="s">
        <v>946</v>
      </c>
      <c r="AD2238" s="496"/>
      <c r="AE2238" s="494">
        <v>45098</v>
      </c>
      <c r="AF2238" s="494">
        <v>45463</v>
      </c>
      <c r="AG2238" s="496"/>
      <c r="AH2238" s="496"/>
      <c r="AI2238" s="586" t="s">
        <v>1351</v>
      </c>
      <c r="AJ2238" s="470" t="s">
        <v>136</v>
      </c>
      <c r="AK2238" s="241">
        <v>4</v>
      </c>
      <c r="AL2238" s="121" t="s">
        <v>793</v>
      </c>
      <c r="AM2238" s="169" t="s">
        <v>3483</v>
      </c>
      <c r="AN2238" s="199"/>
      <c r="AO2238" s="190"/>
      <c r="AR2238" s="115"/>
    </row>
    <row r="2239" spans="1:46" ht="39" customHeight="1" x14ac:dyDescent="0.3">
      <c r="A2239" s="1468">
        <v>2238</v>
      </c>
      <c r="B2239" s="161">
        <v>3</v>
      </c>
      <c r="C2239" s="356" t="s">
        <v>290</v>
      </c>
      <c r="D2239" s="595"/>
      <c r="E2239" s="595"/>
      <c r="F2239" s="595"/>
      <c r="G2239" s="392" t="s">
        <v>795</v>
      </c>
      <c r="H2239" s="262" t="s">
        <v>87</v>
      </c>
      <c r="I2239" s="595"/>
      <c r="J2239" s="245" t="s">
        <v>561</v>
      </c>
      <c r="K2239" s="595"/>
      <c r="L2239" s="392" t="s">
        <v>2800</v>
      </c>
      <c r="M2239" s="392" t="s">
        <v>2800</v>
      </c>
      <c r="N2239" s="595"/>
      <c r="O2239" s="392" t="s">
        <v>3248</v>
      </c>
      <c r="P2239" s="402" t="s">
        <v>1828</v>
      </c>
      <c r="Q2239" s="485" t="s">
        <v>87</v>
      </c>
      <c r="R2239" s="1503" t="s">
        <v>2799</v>
      </c>
      <c r="S2239" s="279">
        <v>24970</v>
      </c>
      <c r="T2239" s="595"/>
      <c r="U2239" s="251" t="s">
        <v>54</v>
      </c>
      <c r="V2239" s="1449" t="s">
        <v>5815</v>
      </c>
      <c r="W2239" s="250" t="s">
        <v>5728</v>
      </c>
      <c r="X2239" s="197" t="s">
        <v>57</v>
      </c>
      <c r="Y2239" s="949" t="s">
        <v>4631</v>
      </c>
      <c r="Z2239" s="246">
        <v>45288</v>
      </c>
      <c r="AA2239" s="595"/>
      <c r="AB2239" s="1289"/>
      <c r="AC2239" s="595"/>
      <c r="AD2239" s="658"/>
      <c r="AE2239" s="494"/>
      <c r="AF2239" s="494"/>
      <c r="AG2239" s="595"/>
      <c r="AH2239" s="595"/>
      <c r="AI2239" s="392"/>
      <c r="AJ2239" s="348" t="s">
        <v>560</v>
      </c>
      <c r="AK2239" s="241">
        <v>4</v>
      </c>
      <c r="AL2239" s="121" t="s">
        <v>793</v>
      </c>
      <c r="AM2239" s="169" t="s">
        <v>3483</v>
      </c>
      <c r="AN2239" s="147" t="s">
        <v>5786</v>
      </c>
      <c r="AO2239" s="190"/>
      <c r="AR2239" s="115"/>
      <c r="AS2239" s="115"/>
      <c r="AT2239" s="115"/>
    </row>
    <row r="2240" spans="1:46" ht="39" customHeight="1" x14ac:dyDescent="0.3">
      <c r="A2240" s="1468">
        <v>2239</v>
      </c>
      <c r="B2240" s="161">
        <v>3</v>
      </c>
      <c r="C2240" s="356" t="s">
        <v>796</v>
      </c>
      <c r="D2240" s="595"/>
      <c r="E2240" s="595"/>
      <c r="F2240" s="595"/>
      <c r="G2240" s="392" t="s">
        <v>291</v>
      </c>
      <c r="H2240" s="262" t="s">
        <v>87</v>
      </c>
      <c r="I2240" s="595"/>
      <c r="J2240" s="245" t="s">
        <v>561</v>
      </c>
      <c r="K2240" s="1288" t="s">
        <v>313</v>
      </c>
      <c r="L2240" s="277" t="s">
        <v>4853</v>
      </c>
      <c r="M2240" s="277" t="s">
        <v>4853</v>
      </c>
      <c r="N2240" s="299"/>
      <c r="O2240" s="1288" t="s">
        <v>4897</v>
      </c>
      <c r="P2240" s="300"/>
      <c r="Q2240" s="380" t="s">
        <v>87</v>
      </c>
      <c r="R2240" s="1494" t="s">
        <v>4875</v>
      </c>
      <c r="S2240" s="279">
        <v>37925</v>
      </c>
      <c r="T2240" s="595"/>
      <c r="U2240" s="250"/>
      <c r="V2240" s="1287"/>
      <c r="W2240" s="1287"/>
      <c r="X2240" s="1287"/>
      <c r="Y2240" s="288"/>
      <c r="Z2240" s="612"/>
      <c r="AA2240" s="595"/>
      <c r="AB2240" s="288" t="s">
        <v>4898</v>
      </c>
      <c r="AC2240" s="1288" t="s">
        <v>482</v>
      </c>
      <c r="AD2240" s="288" t="s">
        <v>467</v>
      </c>
      <c r="AE2240" s="494">
        <v>45244</v>
      </c>
      <c r="AF2240" s="494">
        <v>45609</v>
      </c>
      <c r="AG2240" s="595"/>
      <c r="AH2240" s="595"/>
      <c r="AI2240" s="254" t="s">
        <v>4208</v>
      </c>
      <c r="AJ2240" s="303" t="s">
        <v>136</v>
      </c>
      <c r="AK2240" s="241">
        <v>4</v>
      </c>
      <c r="AL2240" s="121" t="s">
        <v>793</v>
      </c>
      <c r="AM2240" s="169" t="s">
        <v>3483</v>
      </c>
      <c r="AN2240" s="147" t="s">
        <v>4131</v>
      </c>
      <c r="AO2240" s="190"/>
      <c r="AR2240" s="115"/>
      <c r="AS2240" s="115"/>
      <c r="AT2240" s="115"/>
    </row>
    <row r="2241" spans="1:46" ht="39" customHeight="1" x14ac:dyDescent="0.3">
      <c r="A2241" s="1468">
        <v>2240</v>
      </c>
      <c r="B2241" s="161">
        <v>3</v>
      </c>
      <c r="C2241" s="356" t="s">
        <v>796</v>
      </c>
      <c r="D2241" s="595"/>
      <c r="E2241" s="595"/>
      <c r="F2241" s="595"/>
      <c r="G2241" s="392" t="s">
        <v>291</v>
      </c>
      <c r="H2241" s="262" t="s">
        <v>87</v>
      </c>
      <c r="I2241" s="595"/>
      <c r="J2241" s="245" t="s">
        <v>561</v>
      </c>
      <c r="K2241" s="1288" t="s">
        <v>313</v>
      </c>
      <c r="L2241" s="277" t="s">
        <v>4853</v>
      </c>
      <c r="M2241" s="277" t="s">
        <v>4853</v>
      </c>
      <c r="N2241" s="299"/>
      <c r="O2241" s="1288" t="s">
        <v>5148</v>
      </c>
      <c r="P2241" s="300"/>
      <c r="Q2241" s="380" t="s">
        <v>87</v>
      </c>
      <c r="R2241" s="1494" t="s">
        <v>4876</v>
      </c>
      <c r="S2241" s="279">
        <v>38486</v>
      </c>
      <c r="T2241" s="595"/>
      <c r="U2241" s="250"/>
      <c r="V2241" s="1287"/>
      <c r="W2241" s="1287"/>
      <c r="X2241" s="1287"/>
      <c r="Y2241" s="288"/>
      <c r="Z2241" s="612"/>
      <c r="AA2241" s="595"/>
      <c r="AB2241" s="288" t="s">
        <v>4882</v>
      </c>
      <c r="AC2241" s="626" t="s">
        <v>946</v>
      </c>
      <c r="AD2241" s="288" t="s">
        <v>467</v>
      </c>
      <c r="AE2241" s="494">
        <v>45246</v>
      </c>
      <c r="AF2241" s="494">
        <v>45611</v>
      </c>
      <c r="AG2241" s="595"/>
      <c r="AH2241" s="595"/>
      <c r="AI2241" s="254" t="s">
        <v>4208</v>
      </c>
      <c r="AJ2241" s="303" t="s">
        <v>136</v>
      </c>
      <c r="AK2241" s="241">
        <v>4</v>
      </c>
      <c r="AL2241" s="121" t="s">
        <v>793</v>
      </c>
      <c r="AM2241" s="169" t="s">
        <v>3483</v>
      </c>
      <c r="AN2241" s="147" t="s">
        <v>4131</v>
      </c>
      <c r="AO2241" s="190"/>
      <c r="AR2241" s="115"/>
      <c r="AS2241" s="115"/>
      <c r="AT2241" s="115"/>
    </row>
    <row r="2242" spans="1:46" ht="39" customHeight="1" x14ac:dyDescent="0.3">
      <c r="A2242" s="1468">
        <v>2241</v>
      </c>
      <c r="B2242" s="161">
        <v>2</v>
      </c>
      <c r="C2242" s="358" t="s">
        <v>797</v>
      </c>
      <c r="D2242" s="595"/>
      <c r="E2242" s="595"/>
      <c r="F2242" s="595"/>
      <c r="G2242" s="392" t="s">
        <v>798</v>
      </c>
      <c r="H2242" s="262" t="s">
        <v>87</v>
      </c>
      <c r="I2242" s="595"/>
      <c r="J2242" s="245" t="s">
        <v>561</v>
      </c>
      <c r="K2242" s="216"/>
      <c r="L2242" s="301" t="s">
        <v>1430</v>
      </c>
      <c r="M2242" s="281" t="s">
        <v>1684</v>
      </c>
      <c r="N2242" s="366"/>
      <c r="O2242" s="392" t="s">
        <v>2901</v>
      </c>
      <c r="P2242" s="304"/>
      <c r="Q2242" s="400" t="s">
        <v>85</v>
      </c>
      <c r="R2242" s="1494" t="s">
        <v>1444</v>
      </c>
      <c r="S2242" s="279"/>
      <c r="T2242" s="306"/>
      <c r="U2242" s="250"/>
      <c r="V2242" s="595"/>
      <c r="W2242" s="392"/>
      <c r="X2242" s="392"/>
      <c r="Y2242" s="299"/>
      <c r="Z2242" s="299"/>
      <c r="AA2242" s="289"/>
      <c r="AB2242" s="288" t="s">
        <v>4507</v>
      </c>
      <c r="AC2242" s="223" t="s">
        <v>946</v>
      </c>
      <c r="AD2242" s="299"/>
      <c r="AE2242" s="494">
        <v>45091</v>
      </c>
      <c r="AF2242" s="494">
        <v>45456</v>
      </c>
      <c r="AG2242" s="299"/>
      <c r="AH2242" s="299"/>
      <c r="AI2242" s="296" t="s">
        <v>1351</v>
      </c>
      <c r="AJ2242" s="303" t="s">
        <v>136</v>
      </c>
      <c r="AK2242" s="241">
        <v>4</v>
      </c>
      <c r="AL2242" s="121" t="s">
        <v>793</v>
      </c>
      <c r="AM2242" s="169" t="s">
        <v>3483</v>
      </c>
      <c r="AN2242" s="199"/>
      <c r="AO2242" s="190"/>
      <c r="AR2242" s="115"/>
    </row>
    <row r="2243" spans="1:46" ht="39" customHeight="1" x14ac:dyDescent="0.3">
      <c r="A2243" s="1468">
        <v>2242</v>
      </c>
      <c r="B2243" s="161">
        <v>2</v>
      </c>
      <c r="C2243" s="358" t="s">
        <v>797</v>
      </c>
      <c r="D2243" s="595"/>
      <c r="E2243" s="595"/>
      <c r="F2243" s="595"/>
      <c r="G2243" s="392" t="s">
        <v>798</v>
      </c>
      <c r="H2243" s="262" t="s">
        <v>87</v>
      </c>
      <c r="I2243" s="595"/>
      <c r="J2243" s="245" t="s">
        <v>561</v>
      </c>
      <c r="K2243" s="216" t="s">
        <v>158</v>
      </c>
      <c r="L2243" s="288" t="s">
        <v>4813</v>
      </c>
      <c r="M2243" s="288" t="s">
        <v>4813</v>
      </c>
      <c r="N2243" s="366"/>
      <c r="O2243" s="1434" t="s">
        <v>4833</v>
      </c>
      <c r="P2243" s="305"/>
      <c r="Q2243" s="453" t="s">
        <v>87</v>
      </c>
      <c r="R2243" s="1494" t="s">
        <v>4832</v>
      </c>
      <c r="S2243" s="279">
        <v>37696</v>
      </c>
      <c r="T2243" s="306"/>
      <c r="U2243" s="250"/>
      <c r="V2243" s="197"/>
      <c r="W2243" s="197"/>
      <c r="X2243" s="197"/>
      <c r="Y2243" s="197"/>
      <c r="Z2243" s="246"/>
      <c r="AA2243" s="305"/>
      <c r="AB2243" s="288" t="s">
        <v>4841</v>
      </c>
      <c r="AC2243" s="223" t="s">
        <v>946</v>
      </c>
      <c r="AD2243" s="299" t="s">
        <v>467</v>
      </c>
      <c r="AE2243" s="494"/>
      <c r="AF2243" s="494"/>
      <c r="AG2243" s="282"/>
      <c r="AH2243" s="282"/>
      <c r="AI2243" s="254" t="s">
        <v>4208</v>
      </c>
      <c r="AJ2243" s="303" t="s">
        <v>136</v>
      </c>
      <c r="AK2243" s="241">
        <v>4</v>
      </c>
      <c r="AL2243" s="121" t="s">
        <v>793</v>
      </c>
      <c r="AM2243" s="169" t="s">
        <v>3483</v>
      </c>
      <c r="AN2243" s="199"/>
      <c r="AO2243" s="190"/>
      <c r="AR2243" s="115"/>
    </row>
    <row r="2244" spans="1:46" ht="39" customHeight="1" x14ac:dyDescent="0.3">
      <c r="A2244" s="1468">
        <v>2243</v>
      </c>
      <c r="B2244" s="161">
        <v>2</v>
      </c>
      <c r="C2244" s="520" t="s">
        <v>797</v>
      </c>
      <c r="D2244" s="640"/>
      <c r="E2244" s="640"/>
      <c r="F2244" s="640"/>
      <c r="G2244" s="626" t="s">
        <v>798</v>
      </c>
      <c r="H2244" s="262" t="s">
        <v>87</v>
      </c>
      <c r="I2244" s="640"/>
      <c r="J2244" s="245" t="s">
        <v>561</v>
      </c>
      <c r="K2244" s="288" t="s">
        <v>158</v>
      </c>
      <c r="L2244" s="277" t="s">
        <v>4641</v>
      </c>
      <c r="M2244" s="277" t="s">
        <v>4641</v>
      </c>
      <c r="N2244" s="684"/>
      <c r="O2244" s="1263" t="s">
        <v>4698</v>
      </c>
      <c r="P2244" s="684"/>
      <c r="Q2244" s="380" t="s">
        <v>87</v>
      </c>
      <c r="R2244" s="1494" t="s">
        <v>4659</v>
      </c>
      <c r="S2244" s="279">
        <v>37996</v>
      </c>
      <c r="T2244" s="684"/>
      <c r="U2244" s="250"/>
      <c r="V2244" s="216"/>
      <c r="W2244" s="1260"/>
      <c r="X2244" s="1260"/>
      <c r="Y2244" s="288"/>
      <c r="Z2244" s="612"/>
      <c r="AA2244" s="684"/>
      <c r="AB2244" s="288" t="s">
        <v>4699</v>
      </c>
      <c r="AC2244" s="223" t="s">
        <v>946</v>
      </c>
      <c r="AD2244" s="281" t="s">
        <v>467</v>
      </c>
      <c r="AE2244" s="494">
        <v>45239</v>
      </c>
      <c r="AF2244" s="494">
        <v>45604</v>
      </c>
      <c r="AG2244" s="684"/>
      <c r="AH2244" s="684"/>
      <c r="AI2244" s="254" t="s">
        <v>4208</v>
      </c>
      <c r="AJ2244" s="303" t="s">
        <v>136</v>
      </c>
      <c r="AK2244" s="471">
        <v>4</v>
      </c>
      <c r="AL2244" s="166" t="s">
        <v>793</v>
      </c>
      <c r="AM2244" s="169" t="s">
        <v>3483</v>
      </c>
      <c r="AN2244" s="201"/>
      <c r="AO2244" s="194"/>
      <c r="AR2244" s="115"/>
    </row>
    <row r="2245" spans="1:46" s="827" customFormat="1" ht="39" customHeight="1" x14ac:dyDescent="0.3">
      <c r="A2245" s="1468">
        <v>2244</v>
      </c>
      <c r="B2245" s="161"/>
      <c r="C2245" s="324"/>
      <c r="D2245" s="637"/>
      <c r="E2245" s="637"/>
      <c r="F2245" s="637"/>
      <c r="G2245" s="602"/>
      <c r="H2245" s="602"/>
      <c r="I2245" s="637"/>
      <c r="J2245" s="637"/>
      <c r="K2245" s="637"/>
      <c r="L2245" s="602"/>
      <c r="M2245" s="602"/>
      <c r="N2245" s="637"/>
      <c r="O2245" s="602"/>
      <c r="P2245" s="230" t="s">
        <v>799</v>
      </c>
      <c r="Q2245" s="637"/>
      <c r="R2245" s="1209"/>
      <c r="S2245" s="279"/>
      <c r="T2245" s="637"/>
      <c r="U2245" s="250"/>
      <c r="V2245" s="637"/>
      <c r="W2245" s="602"/>
      <c r="X2245" s="602"/>
      <c r="Y2245" s="637"/>
      <c r="Z2245" s="637"/>
      <c r="AA2245" s="637"/>
      <c r="AB2245" s="1295"/>
      <c r="AC2245" s="637"/>
      <c r="AD2245" s="659"/>
      <c r="AE2245" s="494"/>
      <c r="AF2245" s="494"/>
      <c r="AG2245" s="637"/>
      <c r="AH2245" s="637"/>
      <c r="AI2245" s="602"/>
      <c r="AJ2245" s="602"/>
      <c r="AK2245" s="602"/>
      <c r="AL2245" s="205"/>
      <c r="AM2245" s="205"/>
      <c r="AN2245" s="202"/>
      <c r="AO2245" s="196"/>
      <c r="AP2245" s="192"/>
      <c r="AQ2245" s="192"/>
      <c r="AR2245" s="192"/>
      <c r="AS2245" s="192"/>
      <c r="AT2245" s="192"/>
    </row>
    <row r="2246" spans="1:46" ht="39" customHeight="1" x14ac:dyDescent="0.3">
      <c r="A2246" s="1468">
        <v>2245</v>
      </c>
      <c r="B2246" s="161">
        <v>5</v>
      </c>
      <c r="C2246" s="934" t="s">
        <v>440</v>
      </c>
      <c r="D2246" s="864"/>
      <c r="E2246" s="864"/>
      <c r="F2246" s="864"/>
      <c r="G2246" s="846" t="s">
        <v>441</v>
      </c>
      <c r="H2246" s="846" t="s">
        <v>132</v>
      </c>
      <c r="I2246" s="642"/>
      <c r="J2246" s="256">
        <v>403</v>
      </c>
      <c r="K2246" s="642"/>
      <c r="L2246" s="1514"/>
      <c r="M2246" s="1514"/>
      <c r="N2246" s="642"/>
      <c r="O2246" s="1514"/>
      <c r="P2246" s="402"/>
      <c r="Q2246" s="485"/>
      <c r="R2246" s="1503" t="s">
        <v>66</v>
      </c>
      <c r="S2246" s="279"/>
      <c r="T2246" s="642"/>
      <c r="U2246" s="197"/>
      <c r="V2246" s="197"/>
      <c r="W2246" s="250"/>
      <c r="X2246" s="197"/>
      <c r="Y2246" s="197"/>
      <c r="Z2246" s="246"/>
      <c r="AA2246" s="642"/>
      <c r="AB2246" s="1293"/>
      <c r="AC2246" s="642"/>
      <c r="AD2246" s="661"/>
      <c r="AE2246" s="494"/>
      <c r="AF2246" s="494"/>
      <c r="AG2246" s="642"/>
      <c r="AH2246" s="642"/>
      <c r="AI2246" s="1514"/>
      <c r="AJ2246" s="348"/>
      <c r="AK2246" s="491">
        <v>3</v>
      </c>
      <c r="AL2246" s="169" t="s">
        <v>793</v>
      </c>
      <c r="AM2246" s="169" t="s">
        <v>3483</v>
      </c>
      <c r="AN2246" s="200"/>
      <c r="AO2246" s="193"/>
      <c r="AR2246" s="115"/>
    </row>
    <row r="2247" spans="1:46" ht="39" customHeight="1" x14ac:dyDescent="0.3">
      <c r="A2247" s="1468">
        <v>2246</v>
      </c>
      <c r="B2247" s="161">
        <v>3</v>
      </c>
      <c r="C2247" s="358" t="s">
        <v>436</v>
      </c>
      <c r="D2247" s="595"/>
      <c r="E2247" s="595"/>
      <c r="F2247" s="595"/>
      <c r="G2247" s="392" t="s">
        <v>437</v>
      </c>
      <c r="H2247" s="262" t="s">
        <v>85</v>
      </c>
      <c r="I2247" s="595"/>
      <c r="J2247" s="245" t="s">
        <v>556</v>
      </c>
      <c r="K2247" s="216"/>
      <c r="L2247" s="301" t="s">
        <v>991</v>
      </c>
      <c r="M2247" s="301" t="s">
        <v>1113</v>
      </c>
      <c r="N2247" s="216"/>
      <c r="O2247" s="1403" t="s">
        <v>3136</v>
      </c>
      <c r="P2247" s="417"/>
      <c r="Q2247" s="380" t="s">
        <v>85</v>
      </c>
      <c r="R2247" s="1494" t="s">
        <v>1370</v>
      </c>
      <c r="S2247" s="279"/>
      <c r="T2247" s="197"/>
      <c r="U2247" s="250"/>
      <c r="V2247" s="595"/>
      <c r="W2247" s="1403" t="s">
        <v>3591</v>
      </c>
      <c r="X2247" s="1403"/>
      <c r="Y2247" s="245"/>
      <c r="Z2247" s="246"/>
      <c r="AA2247" s="246"/>
      <c r="AB2247" s="288" t="s">
        <v>4560</v>
      </c>
      <c r="AC2247" s="223" t="s">
        <v>946</v>
      </c>
      <c r="AD2247" s="376"/>
      <c r="AE2247" s="494">
        <v>45067</v>
      </c>
      <c r="AF2247" s="494">
        <v>45432</v>
      </c>
      <c r="AG2247" s="241"/>
      <c r="AH2247" s="283"/>
      <c r="AI2247" s="254" t="s">
        <v>1351</v>
      </c>
      <c r="AJ2247" s="303" t="s">
        <v>136</v>
      </c>
      <c r="AK2247" s="241">
        <v>4</v>
      </c>
      <c r="AL2247" s="121" t="s">
        <v>793</v>
      </c>
      <c r="AM2247" s="169" t="s">
        <v>3483</v>
      </c>
      <c r="AN2247" s="199"/>
      <c r="AO2247" s="190"/>
      <c r="AR2247" s="115"/>
    </row>
    <row r="2248" spans="1:46" ht="39" customHeight="1" x14ac:dyDescent="0.3">
      <c r="A2248" s="1468">
        <v>2247</v>
      </c>
      <c r="B2248" s="161">
        <v>2</v>
      </c>
      <c r="C2248" s="358" t="s">
        <v>933</v>
      </c>
      <c r="D2248" s="595"/>
      <c r="E2248" s="595"/>
      <c r="F2248" s="595"/>
      <c r="G2248" s="392" t="s">
        <v>800</v>
      </c>
      <c r="H2248" s="262" t="s">
        <v>87</v>
      </c>
      <c r="I2248" s="595"/>
      <c r="J2248" s="245" t="s">
        <v>561</v>
      </c>
      <c r="K2248" s="1288" t="s">
        <v>313</v>
      </c>
      <c r="L2248" s="277" t="s">
        <v>4853</v>
      </c>
      <c r="M2248" s="277" t="s">
        <v>4853</v>
      </c>
      <c r="N2248" s="299"/>
      <c r="O2248" s="1288" t="s">
        <v>4900</v>
      </c>
      <c r="P2248" s="300"/>
      <c r="Q2248" s="380" t="s">
        <v>87</v>
      </c>
      <c r="R2248" s="1494" t="s">
        <v>4861</v>
      </c>
      <c r="S2248" s="279">
        <v>36252</v>
      </c>
      <c r="T2248" s="223"/>
      <c r="U2248" s="250"/>
      <c r="V2248" s="1287"/>
      <c r="W2248" s="1287"/>
      <c r="X2248" s="1287"/>
      <c r="Y2248" s="288"/>
      <c r="Z2248" s="612"/>
      <c r="AA2248" s="252"/>
      <c r="AB2248" s="288" t="s">
        <v>4901</v>
      </c>
      <c r="AC2248" s="1288" t="s">
        <v>482</v>
      </c>
      <c r="AD2248" s="288" t="s">
        <v>467</v>
      </c>
      <c r="AE2248" s="494">
        <v>45244</v>
      </c>
      <c r="AF2248" s="494">
        <v>45609</v>
      </c>
      <c r="AG2248" s="241"/>
      <c r="AH2248" s="299"/>
      <c r="AI2248" s="254" t="s">
        <v>4208</v>
      </c>
      <c r="AJ2248" s="303" t="s">
        <v>136</v>
      </c>
      <c r="AK2248" s="241">
        <v>4</v>
      </c>
      <c r="AL2248" s="121" t="s">
        <v>793</v>
      </c>
      <c r="AM2248" s="169" t="s">
        <v>3483</v>
      </c>
      <c r="AN2248" s="199"/>
      <c r="AO2248" s="190"/>
      <c r="AR2248" s="115"/>
    </row>
    <row r="2249" spans="1:46" ht="39" customHeight="1" x14ac:dyDescent="0.3">
      <c r="A2249" s="1468">
        <v>2248</v>
      </c>
      <c r="B2249" s="161">
        <v>2</v>
      </c>
      <c r="C2249" s="504" t="s">
        <v>413</v>
      </c>
      <c r="D2249" s="640"/>
      <c r="E2249" s="640"/>
      <c r="F2249" s="640"/>
      <c r="G2249" s="626" t="s">
        <v>354</v>
      </c>
      <c r="H2249" s="262" t="s">
        <v>87</v>
      </c>
      <c r="I2249" s="640"/>
      <c r="J2249" s="245" t="s">
        <v>561</v>
      </c>
      <c r="K2249" s="1288" t="s">
        <v>313</v>
      </c>
      <c r="L2249" s="277" t="s">
        <v>4853</v>
      </c>
      <c r="M2249" s="277" t="s">
        <v>4853</v>
      </c>
      <c r="N2249" s="299"/>
      <c r="O2249" s="1288" t="s">
        <v>4902</v>
      </c>
      <c r="P2249" s="300"/>
      <c r="Q2249" s="380" t="s">
        <v>87</v>
      </c>
      <c r="R2249" s="1494" t="s">
        <v>4862</v>
      </c>
      <c r="S2249" s="279">
        <v>37868</v>
      </c>
      <c r="T2249" s="640"/>
      <c r="U2249" s="250"/>
      <c r="V2249" s="1287"/>
      <c r="W2249" s="1287"/>
      <c r="X2249" s="1287"/>
      <c r="Y2249" s="288"/>
      <c r="Z2249" s="612"/>
      <c r="AA2249" s="640"/>
      <c r="AB2249" s="288" t="s">
        <v>4903</v>
      </c>
      <c r="AC2249" s="626" t="s">
        <v>946</v>
      </c>
      <c r="AD2249" s="288" t="s">
        <v>467</v>
      </c>
      <c r="AE2249" s="494">
        <v>45245</v>
      </c>
      <c r="AF2249" s="494">
        <v>45610</v>
      </c>
      <c r="AG2249" s="640"/>
      <c r="AH2249" s="640"/>
      <c r="AI2249" s="254" t="s">
        <v>4208</v>
      </c>
      <c r="AJ2249" s="303" t="s">
        <v>136</v>
      </c>
      <c r="AK2249" s="471">
        <v>4</v>
      </c>
      <c r="AL2249" s="166" t="s">
        <v>793</v>
      </c>
      <c r="AM2249" s="169" t="s">
        <v>3483</v>
      </c>
      <c r="AN2249" s="147" t="s">
        <v>5764</v>
      </c>
      <c r="AO2249" s="194"/>
      <c r="AR2249" s="115"/>
      <c r="AS2249" s="115"/>
      <c r="AT2249" s="115"/>
    </row>
    <row r="2250" spans="1:46" s="827" customFormat="1" ht="39" customHeight="1" x14ac:dyDescent="0.3">
      <c r="A2250" s="1468">
        <v>2249</v>
      </c>
      <c r="B2250" s="161"/>
      <c r="C2250" s="324"/>
      <c r="D2250" s="637"/>
      <c r="E2250" s="637"/>
      <c r="F2250" s="637"/>
      <c r="G2250" s="602"/>
      <c r="H2250" s="602"/>
      <c r="I2250" s="637"/>
      <c r="J2250" s="637"/>
      <c r="K2250" s="637"/>
      <c r="L2250" s="602"/>
      <c r="M2250" s="602"/>
      <c r="N2250" s="637"/>
      <c r="O2250" s="602"/>
      <c r="P2250" s="230" t="s">
        <v>801</v>
      </c>
      <c r="Q2250" s="637"/>
      <c r="R2250" s="1209"/>
      <c r="S2250" s="279"/>
      <c r="T2250" s="637"/>
      <c r="U2250" s="250"/>
      <c r="V2250" s="637"/>
      <c r="W2250" s="602"/>
      <c r="X2250" s="602"/>
      <c r="Y2250" s="637"/>
      <c r="Z2250" s="637"/>
      <c r="AA2250" s="637"/>
      <c r="AB2250" s="1295"/>
      <c r="AC2250" s="637"/>
      <c r="AD2250" s="659"/>
      <c r="AE2250" s="494"/>
      <c r="AF2250" s="494"/>
      <c r="AG2250" s="637"/>
      <c r="AH2250" s="637"/>
      <c r="AI2250" s="602"/>
      <c r="AJ2250" s="602"/>
      <c r="AK2250" s="602"/>
      <c r="AL2250" s="205"/>
      <c r="AM2250" s="205"/>
      <c r="AN2250" s="202"/>
      <c r="AO2250" s="196"/>
      <c r="AP2250" s="192"/>
      <c r="AQ2250" s="192"/>
      <c r="AR2250" s="192"/>
      <c r="AS2250" s="192"/>
      <c r="AT2250" s="192"/>
    </row>
    <row r="2251" spans="1:46" ht="39" customHeight="1" x14ac:dyDescent="0.3">
      <c r="A2251" s="1468">
        <v>2250</v>
      </c>
      <c r="B2251" s="161">
        <v>5</v>
      </c>
      <c r="C2251" s="934" t="s">
        <v>440</v>
      </c>
      <c r="D2251" s="864"/>
      <c r="E2251" s="864"/>
      <c r="F2251" s="864"/>
      <c r="G2251" s="846" t="s">
        <v>441</v>
      </c>
      <c r="H2251" s="846" t="s">
        <v>132</v>
      </c>
      <c r="I2251" s="642"/>
      <c r="J2251" s="256">
        <v>403</v>
      </c>
      <c r="K2251" s="280"/>
      <c r="L2251" s="301" t="s">
        <v>2800</v>
      </c>
      <c r="M2251" s="301" t="s">
        <v>2800</v>
      </c>
      <c r="N2251" s="451"/>
      <c r="O2251" s="216" t="s">
        <v>3366</v>
      </c>
      <c r="P2251" s="247"/>
      <c r="Q2251" s="373" t="s">
        <v>132</v>
      </c>
      <c r="R2251" s="1503" t="s">
        <v>3365</v>
      </c>
      <c r="S2251" s="279">
        <v>29272</v>
      </c>
      <c r="T2251" s="280"/>
      <c r="U2251" s="250"/>
      <c r="V2251" s="268"/>
      <c r="W2251" s="197" t="s">
        <v>3590</v>
      </c>
      <c r="X2251" s="197"/>
      <c r="Y2251" s="197"/>
      <c r="Z2251" s="246"/>
      <c r="AA2251" s="281"/>
      <c r="AB2251" s="245"/>
      <c r="AC2251" s="223"/>
      <c r="AD2251" s="245"/>
      <c r="AE2251" s="494"/>
      <c r="AF2251" s="494"/>
      <c r="AG2251" s="241"/>
      <c r="AH2251" s="253"/>
      <c r="AI2251" s="284"/>
      <c r="AJ2251" s="348" t="s">
        <v>560</v>
      </c>
      <c r="AK2251" s="491">
        <v>3</v>
      </c>
      <c r="AL2251" s="169" t="s">
        <v>793</v>
      </c>
      <c r="AM2251" s="169" t="s">
        <v>3483</v>
      </c>
      <c r="AN2251" s="200"/>
      <c r="AO2251" s="193"/>
      <c r="AR2251" s="115"/>
    </row>
    <row r="2252" spans="1:46" ht="39" customHeight="1" x14ac:dyDescent="0.3">
      <c r="A2252" s="1468">
        <v>2251</v>
      </c>
      <c r="B2252" s="161">
        <v>3</v>
      </c>
      <c r="C2252" s="358" t="s">
        <v>436</v>
      </c>
      <c r="D2252" s="595"/>
      <c r="E2252" s="595"/>
      <c r="F2252" s="595"/>
      <c r="G2252" s="392" t="s">
        <v>437</v>
      </c>
      <c r="H2252" s="262" t="s">
        <v>85</v>
      </c>
      <c r="I2252" s="595"/>
      <c r="J2252" s="245" t="s">
        <v>556</v>
      </c>
      <c r="K2252" s="216" t="s">
        <v>4731</v>
      </c>
      <c r="L2252" s="281" t="s">
        <v>1415</v>
      </c>
      <c r="M2252" s="281" t="s">
        <v>5891</v>
      </c>
      <c r="N2252" s="366"/>
      <c r="O2252" s="216" t="s">
        <v>2875</v>
      </c>
      <c r="P2252" s="374"/>
      <c r="Q2252" s="407" t="s">
        <v>85</v>
      </c>
      <c r="R2252" s="1494" t="s">
        <v>1462</v>
      </c>
      <c r="S2252" s="279">
        <v>37312</v>
      </c>
      <c r="T2252" s="223"/>
      <c r="U2252" s="250"/>
      <c r="V2252" s="197"/>
      <c r="W2252" s="250" t="s">
        <v>3487</v>
      </c>
      <c r="X2252" s="197"/>
      <c r="Y2252" s="197"/>
      <c r="Z2252" s="246"/>
      <c r="AA2252" s="252"/>
      <c r="AB2252" s="288" t="s">
        <v>4555</v>
      </c>
      <c r="AC2252" s="223" t="s">
        <v>946</v>
      </c>
      <c r="AD2252" s="257"/>
      <c r="AE2252" s="494">
        <v>45092</v>
      </c>
      <c r="AF2252" s="494">
        <v>45457</v>
      </c>
      <c r="AG2252" s="241"/>
      <c r="AH2252" s="299"/>
      <c r="AI2252" s="296" t="s">
        <v>1351</v>
      </c>
      <c r="AJ2252" s="303" t="s">
        <v>136</v>
      </c>
      <c r="AK2252" s="241">
        <v>4</v>
      </c>
      <c r="AL2252" s="121" t="s">
        <v>793</v>
      </c>
      <c r="AM2252" s="169" t="s">
        <v>3483</v>
      </c>
      <c r="AN2252" s="199"/>
      <c r="AO2252" s="190"/>
      <c r="AR2252" s="115"/>
    </row>
    <row r="2253" spans="1:46" ht="39" customHeight="1" x14ac:dyDescent="0.3">
      <c r="A2253" s="1468">
        <v>2252</v>
      </c>
      <c r="B2253" s="161">
        <v>2</v>
      </c>
      <c r="C2253" s="358" t="s">
        <v>933</v>
      </c>
      <c r="D2253" s="595"/>
      <c r="E2253" s="595"/>
      <c r="F2253" s="595"/>
      <c r="G2253" s="392" t="s">
        <v>800</v>
      </c>
      <c r="H2253" s="262" t="s">
        <v>87</v>
      </c>
      <c r="I2253" s="595"/>
      <c r="J2253" s="245" t="s">
        <v>561</v>
      </c>
      <c r="K2253" s="288" t="s">
        <v>4731</v>
      </c>
      <c r="L2253" s="277" t="s">
        <v>4641</v>
      </c>
      <c r="M2253" s="277" t="s">
        <v>4641</v>
      </c>
      <c r="N2253" s="366"/>
      <c r="O2253" s="1263" t="s">
        <v>4710</v>
      </c>
      <c r="P2253" s="402"/>
      <c r="Q2253" s="380" t="s">
        <v>87</v>
      </c>
      <c r="R2253" s="1494" t="s">
        <v>4669</v>
      </c>
      <c r="S2253" s="279">
        <v>38245</v>
      </c>
      <c r="T2253" s="197"/>
      <c r="U2253" s="250"/>
      <c r="V2253" s="216"/>
      <c r="W2253" s="1260"/>
      <c r="X2253" s="1260"/>
      <c r="Y2253" s="288"/>
      <c r="Z2253" s="612"/>
      <c r="AA2253" s="246"/>
      <c r="AB2253" s="288" t="s">
        <v>4711</v>
      </c>
      <c r="AC2253" s="1263" t="s">
        <v>946</v>
      </c>
      <c r="AD2253" s="281" t="s">
        <v>467</v>
      </c>
      <c r="AE2253" s="494">
        <v>45237</v>
      </c>
      <c r="AF2253" s="494">
        <v>45602</v>
      </c>
      <c r="AG2253" s="241"/>
      <c r="AH2253" s="283"/>
      <c r="AI2253" s="254" t="s">
        <v>4208</v>
      </c>
      <c r="AJ2253" s="303" t="s">
        <v>136</v>
      </c>
      <c r="AK2253" s="241">
        <v>4</v>
      </c>
      <c r="AL2253" s="121" t="s">
        <v>793</v>
      </c>
      <c r="AM2253" s="169" t="s">
        <v>3483</v>
      </c>
      <c r="AN2253" s="199"/>
      <c r="AO2253" s="190"/>
      <c r="AR2253" s="115"/>
    </row>
    <row r="2254" spans="1:46" ht="39" customHeight="1" x14ac:dyDescent="0.3">
      <c r="A2254" s="1468">
        <v>2253</v>
      </c>
      <c r="B2254" s="161">
        <v>2</v>
      </c>
      <c r="C2254" s="504" t="s">
        <v>413</v>
      </c>
      <c r="D2254" s="640"/>
      <c r="E2254" s="640"/>
      <c r="F2254" s="640"/>
      <c r="G2254" s="626" t="s">
        <v>354</v>
      </c>
      <c r="H2254" s="626"/>
      <c r="I2254" s="640"/>
      <c r="J2254" s="640"/>
      <c r="K2254" s="640"/>
      <c r="L2254" s="626" t="s">
        <v>3518</v>
      </c>
      <c r="M2254" s="626" t="s">
        <v>3518</v>
      </c>
      <c r="N2254" s="640"/>
      <c r="O2254" s="626" t="s">
        <v>3521</v>
      </c>
      <c r="P2254" s="402" t="s">
        <v>1828</v>
      </c>
      <c r="Q2254" s="485" t="s">
        <v>87</v>
      </c>
      <c r="R2254" s="1503" t="s">
        <v>3520</v>
      </c>
      <c r="S2254" s="279">
        <v>37812</v>
      </c>
      <c r="T2254" s="640"/>
      <c r="U2254" s="251" t="s">
        <v>54</v>
      </c>
      <c r="V2254" s="1416" t="s">
        <v>5447</v>
      </c>
      <c r="W2254" s="280" t="s">
        <v>56</v>
      </c>
      <c r="X2254" s="280" t="s">
        <v>57</v>
      </c>
      <c r="Y2254" s="949" t="s">
        <v>4631</v>
      </c>
      <c r="Z2254" s="246">
        <v>45270</v>
      </c>
      <c r="AA2254" s="815"/>
      <c r="AB2254" s="1291"/>
      <c r="AC2254" s="640"/>
      <c r="AD2254" s="660"/>
      <c r="AE2254" s="494"/>
      <c r="AF2254" s="494"/>
      <c r="AG2254" s="640"/>
      <c r="AH2254" s="640"/>
      <c r="AI2254" s="626"/>
      <c r="AJ2254" s="348" t="s">
        <v>560</v>
      </c>
      <c r="AK2254" s="471">
        <v>4</v>
      </c>
      <c r="AL2254" s="166" t="s">
        <v>793</v>
      </c>
      <c r="AM2254" s="169" t="s">
        <v>3483</v>
      </c>
      <c r="AN2254" s="147" t="s">
        <v>5764</v>
      </c>
      <c r="AO2254" s="194"/>
      <c r="AR2254" s="115"/>
      <c r="AS2254" s="115"/>
      <c r="AT2254" s="115"/>
    </row>
    <row r="2255" spans="1:46" s="827" customFormat="1" ht="39" customHeight="1" x14ac:dyDescent="0.3">
      <c r="A2255" s="1468">
        <v>2254</v>
      </c>
      <c r="B2255" s="161"/>
      <c r="C2255" s="659"/>
      <c r="D2255" s="637"/>
      <c r="E2255" s="637"/>
      <c r="F2255" s="637"/>
      <c r="G2255" s="602"/>
      <c r="H2255" s="602"/>
      <c r="I2255" s="637"/>
      <c r="J2255" s="637"/>
      <c r="K2255" s="637"/>
      <c r="L2255" s="602"/>
      <c r="M2255" s="602"/>
      <c r="N2255" s="637"/>
      <c r="O2255" s="602"/>
      <c r="P2255" s="230" t="s">
        <v>802</v>
      </c>
      <c r="Q2255" s="637"/>
      <c r="R2255" s="1209"/>
      <c r="S2255" s="279"/>
      <c r="T2255" s="637"/>
      <c r="U2255" s="250"/>
      <c r="V2255" s="637"/>
      <c r="W2255" s="602"/>
      <c r="X2255" s="602"/>
      <c r="Y2255" s="637"/>
      <c r="Z2255" s="637"/>
      <c r="AA2255" s="637"/>
      <c r="AB2255" s="1295"/>
      <c r="AC2255" s="637"/>
      <c r="AD2255" s="659"/>
      <c r="AE2255" s="494"/>
      <c r="AF2255" s="494"/>
      <c r="AG2255" s="637"/>
      <c r="AH2255" s="637"/>
      <c r="AI2255" s="602"/>
      <c r="AJ2255" s="602"/>
      <c r="AK2255" s="602"/>
      <c r="AL2255" s="205"/>
      <c r="AM2255" s="205"/>
      <c r="AN2255" s="202"/>
      <c r="AO2255" s="196"/>
      <c r="AP2255" s="192"/>
      <c r="AQ2255" s="192"/>
      <c r="AR2255" s="192"/>
      <c r="AS2255" s="192"/>
      <c r="AT2255" s="192"/>
    </row>
    <row r="2256" spans="1:46" ht="39" customHeight="1" x14ac:dyDescent="0.3">
      <c r="A2256" s="1468">
        <v>2255</v>
      </c>
      <c r="B2256" s="161">
        <v>5</v>
      </c>
      <c r="C2256" s="934" t="s">
        <v>440</v>
      </c>
      <c r="D2256" s="864"/>
      <c r="E2256" s="864"/>
      <c r="F2256" s="864"/>
      <c r="G2256" s="846" t="s">
        <v>441</v>
      </c>
      <c r="H2256" s="846" t="s">
        <v>132</v>
      </c>
      <c r="I2256" s="642"/>
      <c r="J2256" s="256">
        <v>403</v>
      </c>
      <c r="K2256" s="642"/>
      <c r="L2256" s="625"/>
      <c r="M2256" s="625"/>
      <c r="N2256" s="642"/>
      <c r="O2256" s="625"/>
      <c r="P2256" s="642"/>
      <c r="Q2256" s="1496"/>
      <c r="R2256" s="1494" t="s">
        <v>66</v>
      </c>
      <c r="S2256" s="279"/>
      <c r="T2256" s="642"/>
      <c r="U2256" s="250"/>
      <c r="V2256" s="642"/>
      <c r="W2256" s="625"/>
      <c r="X2256" s="625"/>
      <c r="Y2256" s="642"/>
      <c r="Z2256" s="642"/>
      <c r="AA2256" s="642"/>
      <c r="AB2256" s="1293"/>
      <c r="AC2256" s="642"/>
      <c r="AD2256" s="661"/>
      <c r="AE2256" s="494"/>
      <c r="AF2256" s="494"/>
      <c r="AG2256" s="642"/>
      <c r="AH2256" s="642"/>
      <c r="AI2256" s="625"/>
      <c r="AJ2256" s="625"/>
      <c r="AK2256" s="491">
        <v>3</v>
      </c>
      <c r="AL2256" s="169" t="s">
        <v>793</v>
      </c>
      <c r="AM2256" s="169" t="s">
        <v>3483</v>
      </c>
      <c r="AN2256" s="200"/>
      <c r="AO2256" s="193"/>
      <c r="AR2256" s="115"/>
    </row>
    <row r="2257" spans="1:46" ht="39" customHeight="1" x14ac:dyDescent="0.3">
      <c r="A2257" s="1468">
        <v>2256</v>
      </c>
      <c r="B2257" s="161">
        <v>3</v>
      </c>
      <c r="C2257" s="358" t="s">
        <v>931</v>
      </c>
      <c r="D2257" s="595"/>
      <c r="E2257" s="595"/>
      <c r="F2257" s="595"/>
      <c r="G2257" s="392" t="s">
        <v>442</v>
      </c>
      <c r="H2257" s="262" t="s">
        <v>85</v>
      </c>
      <c r="I2257" s="595"/>
      <c r="J2257" s="245" t="s">
        <v>556</v>
      </c>
      <c r="K2257" s="216" t="s">
        <v>158</v>
      </c>
      <c r="L2257" s="288" t="s">
        <v>4813</v>
      </c>
      <c r="M2257" s="288" t="s">
        <v>4813</v>
      </c>
      <c r="N2257" s="595"/>
      <c r="O2257" s="1434" t="s">
        <v>4819</v>
      </c>
      <c r="P2257" s="595"/>
      <c r="Q2257" s="380" t="s">
        <v>87</v>
      </c>
      <c r="R2257" s="1494" t="s">
        <v>4818</v>
      </c>
      <c r="S2257" s="279">
        <v>38067</v>
      </c>
      <c r="T2257" s="595"/>
      <c r="U2257" s="250"/>
      <c r="V2257" s="246"/>
      <c r="W2257" s="197"/>
      <c r="X2257" s="197"/>
      <c r="Y2257" s="197"/>
      <c r="Z2257" s="246"/>
      <c r="AA2257" s="595"/>
      <c r="AB2257" s="288" t="s">
        <v>4837</v>
      </c>
      <c r="AC2257" s="223" t="s">
        <v>946</v>
      </c>
      <c r="AD2257" s="299" t="s">
        <v>467</v>
      </c>
      <c r="AE2257" s="494"/>
      <c r="AF2257" s="494"/>
      <c r="AG2257" s="595"/>
      <c r="AH2257" s="595"/>
      <c r="AI2257" s="254" t="s">
        <v>4208</v>
      </c>
      <c r="AJ2257" s="303" t="s">
        <v>136</v>
      </c>
      <c r="AK2257" s="241">
        <v>4</v>
      </c>
      <c r="AL2257" s="121" t="s">
        <v>793</v>
      </c>
      <c r="AM2257" s="169" t="s">
        <v>3483</v>
      </c>
      <c r="AN2257" s="199"/>
      <c r="AO2257" s="190"/>
      <c r="AR2257" s="115"/>
    </row>
    <row r="2258" spans="1:46" ht="39" customHeight="1" x14ac:dyDescent="0.3">
      <c r="A2258" s="1468">
        <v>2257</v>
      </c>
      <c r="B2258" s="161">
        <v>2</v>
      </c>
      <c r="C2258" s="504" t="s">
        <v>443</v>
      </c>
      <c r="D2258" s="640"/>
      <c r="E2258" s="640"/>
      <c r="F2258" s="640"/>
      <c r="G2258" s="626" t="s">
        <v>354</v>
      </c>
      <c r="H2258" s="262" t="s">
        <v>87</v>
      </c>
      <c r="I2258" s="640"/>
      <c r="J2258" s="245" t="s">
        <v>561</v>
      </c>
      <c r="K2258" s="640"/>
      <c r="L2258" s="626" t="s">
        <v>1830</v>
      </c>
      <c r="M2258" s="392" t="s">
        <v>1830</v>
      </c>
      <c r="N2258" s="640"/>
      <c r="O2258" s="392" t="s">
        <v>2939</v>
      </c>
      <c r="P2258" s="266"/>
      <c r="Q2258" s="453" t="s">
        <v>85</v>
      </c>
      <c r="R2258" s="1494" t="s">
        <v>1831</v>
      </c>
      <c r="S2258" s="279"/>
      <c r="T2258" s="626" t="s">
        <v>5920</v>
      </c>
      <c r="U2258" s="250"/>
      <c r="V2258" s="268"/>
      <c r="W2258" s="626"/>
      <c r="X2258" s="626"/>
      <c r="Y2258" s="640"/>
      <c r="Z2258" s="640"/>
      <c r="AA2258" s="640"/>
      <c r="AB2258" s="288" t="s">
        <v>4505</v>
      </c>
      <c r="AC2258" s="223" t="s">
        <v>946</v>
      </c>
      <c r="AD2258" s="660"/>
      <c r="AE2258" s="494">
        <v>45098</v>
      </c>
      <c r="AF2258" s="494">
        <v>45463</v>
      </c>
      <c r="AG2258" s="640"/>
      <c r="AH2258" s="640"/>
      <c r="AI2258" s="586" t="s">
        <v>1351</v>
      </c>
      <c r="AJ2258" s="470" t="s">
        <v>136</v>
      </c>
      <c r="AK2258" s="471">
        <v>4</v>
      </c>
      <c r="AL2258" s="166" t="s">
        <v>793</v>
      </c>
      <c r="AM2258" s="169" t="s">
        <v>3483</v>
      </c>
      <c r="AN2258" s="147" t="s">
        <v>5764</v>
      </c>
      <c r="AO2258" s="194"/>
      <c r="AR2258" s="115"/>
      <c r="AS2258" s="115"/>
      <c r="AT2258" s="115"/>
    </row>
    <row r="2259" spans="1:46" s="827" customFormat="1" ht="39" customHeight="1" x14ac:dyDescent="0.3">
      <c r="A2259" s="1468">
        <v>2258</v>
      </c>
      <c r="B2259" s="161"/>
      <c r="C2259" s="659"/>
      <c r="D2259" s="637"/>
      <c r="E2259" s="637"/>
      <c r="F2259" s="637"/>
      <c r="G2259" s="602"/>
      <c r="H2259" s="602"/>
      <c r="I2259" s="637"/>
      <c r="J2259" s="637"/>
      <c r="K2259" s="637"/>
      <c r="L2259" s="602"/>
      <c r="M2259" s="602"/>
      <c r="N2259" s="637"/>
      <c r="O2259" s="602"/>
      <c r="P2259" s="230" t="s">
        <v>803</v>
      </c>
      <c r="Q2259" s="637"/>
      <c r="R2259" s="1209"/>
      <c r="S2259" s="279"/>
      <c r="T2259" s="637"/>
      <c r="U2259" s="250"/>
      <c r="V2259" s="637"/>
      <c r="W2259" s="602"/>
      <c r="X2259" s="602"/>
      <c r="Y2259" s="637"/>
      <c r="Z2259" s="637"/>
      <c r="AA2259" s="637"/>
      <c r="AB2259" s="1295"/>
      <c r="AC2259" s="637"/>
      <c r="AD2259" s="659"/>
      <c r="AE2259" s="494"/>
      <c r="AF2259" s="494"/>
      <c r="AG2259" s="637"/>
      <c r="AH2259" s="637"/>
      <c r="AI2259" s="602"/>
      <c r="AJ2259" s="602"/>
      <c r="AK2259" s="602"/>
      <c r="AL2259" s="205"/>
      <c r="AM2259" s="205"/>
      <c r="AN2259" s="202"/>
      <c r="AO2259" s="196"/>
      <c r="AP2259" s="192"/>
      <c r="AQ2259" s="192"/>
      <c r="AR2259" s="192"/>
      <c r="AS2259" s="192"/>
      <c r="AT2259" s="192"/>
    </row>
    <row r="2260" spans="1:46" ht="39" customHeight="1" x14ac:dyDescent="0.3">
      <c r="A2260" s="1468">
        <v>2259</v>
      </c>
      <c r="B2260" s="161">
        <v>9</v>
      </c>
      <c r="C2260" s="316" t="s">
        <v>305</v>
      </c>
      <c r="D2260" s="282"/>
      <c r="E2260" s="353"/>
      <c r="F2260" s="282"/>
      <c r="G2260" s="445" t="s">
        <v>804</v>
      </c>
      <c r="H2260" s="350" t="s">
        <v>283</v>
      </c>
      <c r="I2260" s="595"/>
      <c r="J2260" s="281">
        <v>410</v>
      </c>
      <c r="K2260" s="216" t="s">
        <v>158</v>
      </c>
      <c r="L2260" s="216" t="s">
        <v>194</v>
      </c>
      <c r="M2260" s="250" t="s">
        <v>194</v>
      </c>
      <c r="N2260" s="245"/>
      <c r="O2260" s="216" t="s">
        <v>195</v>
      </c>
      <c r="P2260" s="294"/>
      <c r="Q2260" s="315" t="s">
        <v>153</v>
      </c>
      <c r="R2260" s="1502" t="s">
        <v>196</v>
      </c>
      <c r="S2260" s="279">
        <v>31367</v>
      </c>
      <c r="T2260" s="197"/>
      <c r="U2260" s="250"/>
      <c r="V2260" s="250"/>
      <c r="W2260" s="197"/>
      <c r="X2260" s="197"/>
      <c r="Y2260" s="1137"/>
      <c r="Z2260" s="252"/>
      <c r="AA2260" s="252"/>
      <c r="AB2260" s="252"/>
      <c r="AC2260" s="223" t="s">
        <v>358</v>
      </c>
      <c r="AD2260" s="281"/>
      <c r="AE2260" s="494">
        <v>43957</v>
      </c>
      <c r="AF2260" s="494">
        <v>45051</v>
      </c>
      <c r="AG2260" s="241" t="s">
        <v>61</v>
      </c>
      <c r="AH2260" s="283"/>
      <c r="AI2260" s="254"/>
      <c r="AJ2260" s="317" t="s">
        <v>47</v>
      </c>
      <c r="AK2260" s="1513">
        <v>2</v>
      </c>
      <c r="AL2260" s="121" t="s">
        <v>805</v>
      </c>
      <c r="AM2260" s="169" t="s">
        <v>3483</v>
      </c>
      <c r="AN2260" s="903"/>
      <c r="AO2260" s="904"/>
      <c r="AR2260" s="115"/>
    </row>
    <row r="2261" spans="1:46" s="827" customFormat="1" ht="39" customHeight="1" x14ac:dyDescent="0.3">
      <c r="A2261" s="1468">
        <v>2260</v>
      </c>
      <c r="B2261" s="161"/>
      <c r="C2261" s="659"/>
      <c r="D2261" s="637"/>
      <c r="E2261" s="637"/>
      <c r="F2261" s="637"/>
      <c r="G2261" s="602"/>
      <c r="H2261" s="602"/>
      <c r="I2261" s="637"/>
      <c r="J2261" s="637"/>
      <c r="K2261" s="637"/>
      <c r="L2261" s="602"/>
      <c r="M2261" s="602"/>
      <c r="N2261" s="637"/>
      <c r="O2261" s="602"/>
      <c r="P2261" s="230" t="s">
        <v>434</v>
      </c>
      <c r="Q2261" s="637"/>
      <c r="R2261" s="1209"/>
      <c r="S2261" s="279"/>
      <c r="T2261" s="637"/>
      <c r="U2261" s="250"/>
      <c r="V2261" s="637"/>
      <c r="W2261" s="602"/>
      <c r="X2261" s="602"/>
      <c r="Y2261" s="637"/>
      <c r="Z2261" s="637"/>
      <c r="AA2261" s="637"/>
      <c r="AB2261" s="1295"/>
      <c r="AC2261" s="637"/>
      <c r="AD2261" s="659"/>
      <c r="AE2261" s="494"/>
      <c r="AF2261" s="494"/>
      <c r="AG2261" s="637"/>
      <c r="AH2261" s="637"/>
      <c r="AI2261" s="602"/>
      <c r="AJ2261" s="602"/>
      <c r="AK2261" s="602"/>
      <c r="AL2261" s="748"/>
      <c r="AM2261" s="748"/>
      <c r="AN2261" s="202"/>
      <c r="AO2261" s="196"/>
      <c r="AP2261" s="192"/>
      <c r="AQ2261" s="192"/>
      <c r="AR2261" s="192"/>
      <c r="AS2261" s="192"/>
      <c r="AT2261" s="192"/>
    </row>
    <row r="2262" spans="1:46" ht="39" customHeight="1" x14ac:dyDescent="0.3">
      <c r="A2262" s="1468">
        <v>2261</v>
      </c>
      <c r="B2262" s="161">
        <v>5</v>
      </c>
      <c r="C2262" s="934" t="s">
        <v>367</v>
      </c>
      <c r="D2262" s="864"/>
      <c r="E2262" s="864"/>
      <c r="F2262" s="864"/>
      <c r="G2262" s="846" t="s">
        <v>806</v>
      </c>
      <c r="H2262" s="846" t="s">
        <v>132</v>
      </c>
      <c r="I2262" s="642"/>
      <c r="J2262" s="256">
        <v>403</v>
      </c>
      <c r="K2262" s="642"/>
      <c r="L2262" s="625"/>
      <c r="M2262" s="625"/>
      <c r="N2262" s="642"/>
      <c r="O2262" s="625"/>
      <c r="P2262" s="642"/>
      <c r="Q2262" s="1496"/>
      <c r="R2262" s="1494" t="s">
        <v>66</v>
      </c>
      <c r="S2262" s="279"/>
      <c r="T2262" s="642"/>
      <c r="U2262" s="250"/>
      <c r="V2262" s="642"/>
      <c r="W2262" s="625"/>
      <c r="X2262" s="625"/>
      <c r="Y2262" s="642"/>
      <c r="Z2262" s="642"/>
      <c r="AA2262" s="642"/>
      <c r="AB2262" s="1293"/>
      <c r="AC2262" s="642"/>
      <c r="AD2262" s="661"/>
      <c r="AE2262" s="494"/>
      <c r="AF2262" s="494"/>
      <c r="AG2262" s="642"/>
      <c r="AH2262" s="642"/>
      <c r="AI2262" s="625"/>
      <c r="AJ2262" s="625"/>
      <c r="AK2262" s="491">
        <v>3</v>
      </c>
      <c r="AL2262" s="169" t="s">
        <v>805</v>
      </c>
      <c r="AM2262" s="169" t="s">
        <v>3483</v>
      </c>
      <c r="AN2262" s="200"/>
      <c r="AO2262" s="193"/>
      <c r="AR2262" s="115"/>
    </row>
    <row r="2263" spans="1:46" ht="39" customHeight="1" x14ac:dyDescent="0.3">
      <c r="A2263" s="1468">
        <v>2262</v>
      </c>
      <c r="B2263" s="161">
        <v>3</v>
      </c>
      <c r="C2263" s="358" t="s">
        <v>436</v>
      </c>
      <c r="D2263" s="595"/>
      <c r="E2263" s="595"/>
      <c r="F2263" s="595"/>
      <c r="G2263" s="392" t="s">
        <v>807</v>
      </c>
      <c r="H2263" s="262" t="s">
        <v>85</v>
      </c>
      <c r="I2263" s="595"/>
      <c r="J2263" s="245" t="s">
        <v>556</v>
      </c>
      <c r="K2263" s="626" t="s">
        <v>158</v>
      </c>
      <c r="L2263" s="277" t="s">
        <v>4853</v>
      </c>
      <c r="M2263" s="277" t="s">
        <v>4853</v>
      </c>
      <c r="N2263" s="299"/>
      <c r="O2263" s="1288" t="s">
        <v>4907</v>
      </c>
      <c r="P2263" s="300"/>
      <c r="Q2263" s="380" t="s">
        <v>87</v>
      </c>
      <c r="R2263" s="1494" t="s">
        <v>4864</v>
      </c>
      <c r="S2263" s="279">
        <v>37554</v>
      </c>
      <c r="T2263" s="197"/>
      <c r="U2263" s="250"/>
      <c r="V2263" s="1287"/>
      <c r="W2263" s="1287"/>
      <c r="X2263" s="1287"/>
      <c r="Y2263" s="288"/>
      <c r="Z2263" s="612"/>
      <c r="AA2263" s="246"/>
      <c r="AB2263" s="288" t="s">
        <v>4906</v>
      </c>
      <c r="AC2263" s="626" t="s">
        <v>946</v>
      </c>
      <c r="AD2263" s="288" t="s">
        <v>467</v>
      </c>
      <c r="AE2263" s="494">
        <v>45246</v>
      </c>
      <c r="AF2263" s="494">
        <v>45611</v>
      </c>
      <c r="AG2263" s="241"/>
      <c r="AH2263" s="283"/>
      <c r="AI2263" s="254" t="s">
        <v>4208</v>
      </c>
      <c r="AJ2263" s="303" t="s">
        <v>136</v>
      </c>
      <c r="AK2263" s="241">
        <v>4</v>
      </c>
      <c r="AL2263" s="121" t="s">
        <v>805</v>
      </c>
      <c r="AM2263" s="169" t="s">
        <v>3483</v>
      </c>
      <c r="AN2263" s="199"/>
      <c r="AO2263" s="190"/>
      <c r="AR2263" s="115"/>
    </row>
    <row r="2264" spans="1:46" ht="39" customHeight="1" x14ac:dyDescent="0.3">
      <c r="A2264" s="1468">
        <v>2263</v>
      </c>
      <c r="B2264" s="161">
        <v>3</v>
      </c>
      <c r="C2264" s="358" t="s">
        <v>436</v>
      </c>
      <c r="D2264" s="595"/>
      <c r="E2264" s="595"/>
      <c r="F2264" s="595"/>
      <c r="G2264" s="392" t="s">
        <v>807</v>
      </c>
      <c r="H2264" s="262" t="s">
        <v>85</v>
      </c>
      <c r="I2264" s="595"/>
      <c r="J2264" s="245" t="s">
        <v>556</v>
      </c>
      <c r="K2264" s="197"/>
      <c r="L2264" s="281" t="s">
        <v>1685</v>
      </c>
      <c r="M2264" s="281" t="s">
        <v>3578</v>
      </c>
      <c r="N2264" s="366"/>
      <c r="O2264" s="392" t="s">
        <v>2969</v>
      </c>
      <c r="P2264" s="402"/>
      <c r="Q2264" s="380" t="s">
        <v>85</v>
      </c>
      <c r="R2264" s="1494" t="s">
        <v>1956</v>
      </c>
      <c r="S2264" s="279">
        <v>38264</v>
      </c>
      <c r="T2264" s="197"/>
      <c r="U2264" s="250"/>
      <c r="V2264" s="197"/>
      <c r="W2264" s="197"/>
      <c r="X2264" s="197"/>
      <c r="Y2264" s="245"/>
      <c r="Z2264" s="246"/>
      <c r="AA2264" s="246"/>
      <c r="AB2264" s="288" t="s">
        <v>4556</v>
      </c>
      <c r="AC2264" s="223" t="s">
        <v>946</v>
      </c>
      <c r="AD2264" s="376"/>
      <c r="AE2264" s="494">
        <v>45111</v>
      </c>
      <c r="AF2264" s="494">
        <v>45476</v>
      </c>
      <c r="AG2264" s="241"/>
      <c r="AH2264" s="283"/>
      <c r="AI2264" s="254" t="s">
        <v>1351</v>
      </c>
      <c r="AJ2264" s="303" t="s">
        <v>136</v>
      </c>
      <c r="AK2264" s="241">
        <v>4</v>
      </c>
      <c r="AL2264" s="121" t="s">
        <v>805</v>
      </c>
      <c r="AM2264" s="169" t="s">
        <v>3483</v>
      </c>
      <c r="AN2264" s="199"/>
      <c r="AO2264" s="190"/>
      <c r="AR2264" s="115"/>
    </row>
    <row r="2265" spans="1:46" ht="39" customHeight="1" x14ac:dyDescent="0.3">
      <c r="A2265" s="1468">
        <v>2264</v>
      </c>
      <c r="B2265" s="161">
        <v>2</v>
      </c>
      <c r="C2265" s="501" t="s">
        <v>684</v>
      </c>
      <c r="D2265" s="302"/>
      <c r="E2265" s="302"/>
      <c r="F2265" s="302"/>
      <c r="G2265" s="197" t="s">
        <v>685</v>
      </c>
      <c r="H2265" s="262" t="s">
        <v>87</v>
      </c>
      <c r="I2265" s="595"/>
      <c r="J2265" s="245" t="s">
        <v>561</v>
      </c>
      <c r="K2265" s="257"/>
      <c r="L2265" s="281" t="s">
        <v>1527</v>
      </c>
      <c r="M2265" s="281" t="s">
        <v>3578</v>
      </c>
      <c r="N2265" s="366"/>
      <c r="O2265" s="392" t="s">
        <v>3002</v>
      </c>
      <c r="P2265" s="402"/>
      <c r="Q2265" s="380" t="s">
        <v>85</v>
      </c>
      <c r="R2265" s="1494" t="s">
        <v>1736</v>
      </c>
      <c r="S2265" s="279">
        <v>38046</v>
      </c>
      <c r="T2265" s="197"/>
      <c r="U2265" s="250"/>
      <c r="V2265" s="595"/>
      <c r="W2265" s="1389"/>
      <c r="X2265" s="1389"/>
      <c r="Y2265" s="245"/>
      <c r="Z2265" s="246"/>
      <c r="AA2265" s="246"/>
      <c r="AB2265" s="288" t="s">
        <v>4557</v>
      </c>
      <c r="AC2265" s="223" t="s">
        <v>946</v>
      </c>
      <c r="AD2265" s="376"/>
      <c r="AE2265" s="494">
        <v>45112</v>
      </c>
      <c r="AF2265" s="494">
        <v>45477</v>
      </c>
      <c r="AG2265" s="241"/>
      <c r="AH2265" s="283"/>
      <c r="AI2265" s="254" t="s">
        <v>1351</v>
      </c>
      <c r="AJ2265" s="303" t="s">
        <v>136</v>
      </c>
      <c r="AK2265" s="241">
        <v>4</v>
      </c>
      <c r="AL2265" s="121" t="s">
        <v>805</v>
      </c>
      <c r="AM2265" s="169" t="s">
        <v>3483</v>
      </c>
      <c r="AN2265" s="147" t="s">
        <v>5770</v>
      </c>
      <c r="AO2265" s="190"/>
      <c r="AR2265" s="115"/>
      <c r="AS2265" s="115"/>
      <c r="AT2265" s="115"/>
    </row>
    <row r="2266" spans="1:46" ht="39" customHeight="1" x14ac:dyDescent="0.3">
      <c r="A2266" s="1468">
        <v>2265</v>
      </c>
      <c r="B2266" s="161">
        <v>2</v>
      </c>
      <c r="C2266" s="501" t="s">
        <v>684</v>
      </c>
      <c r="D2266" s="302"/>
      <c r="E2266" s="302"/>
      <c r="F2266" s="302"/>
      <c r="G2266" s="197" t="s">
        <v>685</v>
      </c>
      <c r="H2266" s="262" t="s">
        <v>87</v>
      </c>
      <c r="I2266" s="595"/>
      <c r="J2266" s="245" t="s">
        <v>561</v>
      </c>
      <c r="K2266" s="1434" t="s">
        <v>313</v>
      </c>
      <c r="L2266" s="277" t="s">
        <v>4853</v>
      </c>
      <c r="M2266" s="277" t="s">
        <v>4853</v>
      </c>
      <c r="N2266" s="299"/>
      <c r="O2266" s="1434" t="s">
        <v>4899</v>
      </c>
      <c r="P2266" s="300"/>
      <c r="Q2266" s="380" t="s">
        <v>87</v>
      </c>
      <c r="R2266" s="1494" t="s">
        <v>4860</v>
      </c>
      <c r="S2266" s="279">
        <v>37239</v>
      </c>
      <c r="T2266" s="289"/>
      <c r="U2266" s="250"/>
      <c r="V2266" s="1434"/>
      <c r="W2266" s="1434"/>
      <c r="X2266" s="1434"/>
      <c r="Y2266" s="288"/>
      <c r="Z2266" s="612"/>
      <c r="AA2266" s="289"/>
      <c r="AB2266" s="288" t="s">
        <v>1266</v>
      </c>
      <c r="AC2266" s="626" t="s">
        <v>946</v>
      </c>
      <c r="AD2266" s="288" t="s">
        <v>467</v>
      </c>
      <c r="AE2266" s="494">
        <v>45246</v>
      </c>
      <c r="AF2266" s="494">
        <v>45611</v>
      </c>
      <c r="AG2266" s="299"/>
      <c r="AH2266" s="299"/>
      <c r="AI2266" s="254" t="s">
        <v>4208</v>
      </c>
      <c r="AJ2266" s="303" t="s">
        <v>136</v>
      </c>
      <c r="AK2266" s="241">
        <v>4</v>
      </c>
      <c r="AL2266" s="121" t="s">
        <v>805</v>
      </c>
      <c r="AM2266" s="169" t="s">
        <v>3483</v>
      </c>
      <c r="AN2266" s="147" t="s">
        <v>5770</v>
      </c>
      <c r="AO2266" s="190"/>
      <c r="AR2266" s="115"/>
      <c r="AS2266" s="115"/>
      <c r="AT2266" s="115"/>
    </row>
    <row r="2267" spans="1:46" ht="39" customHeight="1" x14ac:dyDescent="0.3">
      <c r="A2267" s="1468">
        <v>2266</v>
      </c>
      <c r="B2267" s="161">
        <v>2</v>
      </c>
      <c r="C2267" s="504" t="s">
        <v>684</v>
      </c>
      <c r="D2267" s="832"/>
      <c r="E2267" s="832"/>
      <c r="F2267" s="832"/>
      <c r="G2267" s="268" t="s">
        <v>685</v>
      </c>
      <c r="H2267" s="262" t="s">
        <v>87</v>
      </c>
      <c r="I2267" s="640"/>
      <c r="J2267" s="245" t="s">
        <v>561</v>
      </c>
      <c r="K2267" s="836" t="s">
        <v>4834</v>
      </c>
      <c r="L2267" s="288" t="s">
        <v>4813</v>
      </c>
      <c r="M2267" s="288" t="s">
        <v>4813</v>
      </c>
      <c r="N2267" s="640"/>
      <c r="O2267" s="1281" t="s">
        <v>4827</v>
      </c>
      <c r="P2267" s="640"/>
      <c r="Q2267" s="380" t="s">
        <v>87</v>
      </c>
      <c r="R2267" s="1494" t="s">
        <v>4826</v>
      </c>
      <c r="S2267" s="279">
        <v>38182</v>
      </c>
      <c r="T2267" s="640"/>
      <c r="U2267" s="250"/>
      <c r="V2267" s="197"/>
      <c r="W2267" s="197"/>
      <c r="X2267" s="197"/>
      <c r="Y2267" s="197"/>
      <c r="Z2267" s="246"/>
      <c r="AA2267" s="640"/>
      <c r="AB2267" s="288" t="s">
        <v>4838</v>
      </c>
      <c r="AC2267" s="223" t="s">
        <v>946</v>
      </c>
      <c r="AD2267" s="299" t="s">
        <v>467</v>
      </c>
      <c r="AE2267" s="494"/>
      <c r="AF2267" s="494"/>
      <c r="AG2267" s="640"/>
      <c r="AH2267" s="640"/>
      <c r="AI2267" s="254" t="s">
        <v>4208</v>
      </c>
      <c r="AJ2267" s="303" t="s">
        <v>136</v>
      </c>
      <c r="AK2267" s="471">
        <v>4</v>
      </c>
      <c r="AL2267" s="166" t="s">
        <v>805</v>
      </c>
      <c r="AM2267" s="169" t="s">
        <v>3483</v>
      </c>
      <c r="AN2267" s="147" t="s">
        <v>5770</v>
      </c>
      <c r="AO2267" s="194"/>
      <c r="AR2267" s="115"/>
      <c r="AS2267" s="115"/>
      <c r="AT2267" s="115"/>
    </row>
    <row r="2268" spans="1:46" s="827" customFormat="1" ht="39" customHeight="1" x14ac:dyDescent="0.3">
      <c r="A2268" s="1468">
        <v>2267</v>
      </c>
      <c r="B2268" s="161"/>
      <c r="C2268" s="659"/>
      <c r="D2268" s="637"/>
      <c r="E2268" s="637"/>
      <c r="F2268" s="637"/>
      <c r="G2268" s="602"/>
      <c r="H2268" s="602"/>
      <c r="I2268" s="637"/>
      <c r="J2268" s="637"/>
      <c r="K2268" s="637"/>
      <c r="L2268" s="602"/>
      <c r="M2268" s="602"/>
      <c r="N2268" s="637"/>
      <c r="O2268" s="602"/>
      <c r="P2268" s="230" t="s">
        <v>808</v>
      </c>
      <c r="Q2268" s="637"/>
      <c r="R2268" s="1209"/>
      <c r="S2268" s="279"/>
      <c r="T2268" s="637"/>
      <c r="U2268" s="250"/>
      <c r="V2268" s="637"/>
      <c r="W2268" s="602"/>
      <c r="X2268" s="602"/>
      <c r="Y2268" s="637"/>
      <c r="Z2268" s="637"/>
      <c r="AA2268" s="637"/>
      <c r="AB2268" s="1295"/>
      <c r="AC2268" s="637"/>
      <c r="AD2268" s="659"/>
      <c r="AE2268" s="494"/>
      <c r="AF2268" s="494"/>
      <c r="AG2268" s="637"/>
      <c r="AH2268" s="637"/>
      <c r="AI2268" s="602"/>
      <c r="AJ2268" s="602"/>
      <c r="AK2268" s="602"/>
      <c r="AL2268" s="205"/>
      <c r="AM2268" s="205"/>
      <c r="AN2268" s="202"/>
      <c r="AO2268" s="196"/>
      <c r="AP2268" s="192"/>
      <c r="AQ2268" s="192"/>
      <c r="AR2268" s="192"/>
      <c r="AS2268" s="192"/>
      <c r="AT2268" s="192"/>
    </row>
    <row r="2269" spans="1:46" ht="39" customHeight="1" x14ac:dyDescent="0.3">
      <c r="A2269" s="1468">
        <v>2268</v>
      </c>
      <c r="B2269" s="161">
        <v>5</v>
      </c>
      <c r="C2269" s="934" t="s">
        <v>367</v>
      </c>
      <c r="D2269" s="864"/>
      <c r="E2269" s="864"/>
      <c r="F2269" s="864"/>
      <c r="G2269" s="846" t="s">
        <v>806</v>
      </c>
      <c r="H2269" s="846" t="s">
        <v>132</v>
      </c>
      <c r="I2269" s="642"/>
      <c r="J2269" s="256">
        <v>403</v>
      </c>
      <c r="K2269" s="642"/>
      <c r="L2269" s="1514" t="s">
        <v>5408</v>
      </c>
      <c r="M2269" s="1514" t="s">
        <v>5408</v>
      </c>
      <c r="N2269" s="642"/>
      <c r="O2269" s="1514" t="s">
        <v>5449</v>
      </c>
      <c r="P2269" s="402" t="s">
        <v>1828</v>
      </c>
      <c r="Q2269" s="373" t="s">
        <v>87</v>
      </c>
      <c r="R2269" s="1503" t="s">
        <v>5448</v>
      </c>
      <c r="S2269" s="279">
        <v>28650</v>
      </c>
      <c r="T2269" s="642"/>
      <c r="U2269" s="250"/>
      <c r="V2269" s="642"/>
      <c r="W2269" s="1514"/>
      <c r="X2269" s="1514"/>
      <c r="Y2269" s="642"/>
      <c r="Z2269" s="642"/>
      <c r="AA2269" s="642"/>
      <c r="AB2269" s="1293"/>
      <c r="AC2269" s="642"/>
      <c r="AD2269" s="661"/>
      <c r="AE2269" s="494"/>
      <c r="AF2269" s="494"/>
      <c r="AG2269" s="642"/>
      <c r="AH2269" s="642"/>
      <c r="AI2269" s="1514"/>
      <c r="AJ2269" s="348" t="s">
        <v>560</v>
      </c>
      <c r="AK2269" s="491">
        <v>3</v>
      </c>
      <c r="AL2269" s="169" t="s">
        <v>805</v>
      </c>
      <c r="AM2269" s="169" t="s">
        <v>3483</v>
      </c>
      <c r="AN2269" s="200"/>
      <c r="AO2269" s="193"/>
      <c r="AR2269" s="115"/>
    </row>
    <row r="2270" spans="1:46" ht="39" customHeight="1" x14ac:dyDescent="0.3">
      <c r="A2270" s="1468">
        <v>2269</v>
      </c>
      <c r="B2270" s="161">
        <v>2</v>
      </c>
      <c r="C2270" s="358" t="s">
        <v>809</v>
      </c>
      <c r="D2270" s="595"/>
      <c r="E2270" s="595"/>
      <c r="F2270" s="595"/>
      <c r="G2270" s="1513" t="s">
        <v>810</v>
      </c>
      <c r="H2270" s="262" t="s">
        <v>87</v>
      </c>
      <c r="I2270" s="595"/>
      <c r="J2270" s="245" t="s">
        <v>561</v>
      </c>
      <c r="K2270" s="216"/>
      <c r="L2270" s="301" t="s">
        <v>4055</v>
      </c>
      <c r="M2270" s="301" t="s">
        <v>4055</v>
      </c>
      <c r="N2270" s="245"/>
      <c r="O2270" s="1513" t="s">
        <v>4057</v>
      </c>
      <c r="P2270" s="642"/>
      <c r="Q2270" s="373" t="s">
        <v>87</v>
      </c>
      <c r="R2270" s="1503" t="s">
        <v>4056</v>
      </c>
      <c r="S2270" s="279">
        <v>30032</v>
      </c>
      <c r="T2270" s="197"/>
      <c r="U2270" s="251" t="s">
        <v>54</v>
      </c>
      <c r="V2270" s="1513" t="s">
        <v>5815</v>
      </c>
      <c r="W2270" s="250" t="s">
        <v>5728</v>
      </c>
      <c r="X2270" s="197" t="s">
        <v>57</v>
      </c>
      <c r="Y2270" s="949" t="s">
        <v>4631</v>
      </c>
      <c r="Z2270" s="246">
        <v>45288</v>
      </c>
      <c r="AA2270" s="252"/>
      <c r="AB2270" s="282"/>
      <c r="AC2270" s="223"/>
      <c r="AD2270" s="281"/>
      <c r="AE2270" s="494"/>
      <c r="AF2270" s="494"/>
      <c r="AG2270" s="241"/>
      <c r="AH2270" s="283"/>
      <c r="AI2270" s="254"/>
      <c r="AJ2270" s="348" t="s">
        <v>560</v>
      </c>
      <c r="AK2270" s="241">
        <v>4</v>
      </c>
      <c r="AL2270" s="121" t="s">
        <v>805</v>
      </c>
      <c r="AM2270" s="169" t="s">
        <v>3483</v>
      </c>
      <c r="AN2270" s="199"/>
      <c r="AO2270" s="190"/>
      <c r="AR2270" s="115"/>
    </row>
    <row r="2271" spans="1:46" ht="39" customHeight="1" x14ac:dyDescent="0.3">
      <c r="A2271" s="1468">
        <v>2270</v>
      </c>
      <c r="B2271" s="161">
        <v>2</v>
      </c>
      <c r="C2271" s="358" t="s">
        <v>809</v>
      </c>
      <c r="D2271" s="595"/>
      <c r="E2271" s="595"/>
      <c r="F2271" s="595"/>
      <c r="G2271" s="392" t="s">
        <v>811</v>
      </c>
      <c r="H2271" s="262" t="s">
        <v>87</v>
      </c>
      <c r="I2271" s="595"/>
      <c r="J2271" s="245" t="s">
        <v>561</v>
      </c>
      <c r="K2271" s="216"/>
      <c r="L2271" s="281"/>
      <c r="M2271" s="281"/>
      <c r="N2271" s="256"/>
      <c r="O2271" s="1513"/>
      <c r="P2271" s="402"/>
      <c r="Q2271" s="373"/>
      <c r="R2271" s="1503" t="s">
        <v>66</v>
      </c>
      <c r="S2271" s="279"/>
      <c r="T2271" s="197"/>
      <c r="U2271" s="197"/>
      <c r="V2271" s="197"/>
      <c r="W2271" s="250"/>
      <c r="X2271" s="197"/>
      <c r="Y2271" s="197"/>
      <c r="Z2271" s="246"/>
      <c r="AA2271" s="289"/>
      <c r="AB2271" s="299"/>
      <c r="AC2271" s="223"/>
      <c r="AD2271" s="299"/>
      <c r="AE2271" s="494"/>
      <c r="AF2271" s="494"/>
      <c r="AG2271" s="299"/>
      <c r="AH2271" s="299"/>
      <c r="AI2271" s="296"/>
      <c r="AJ2271" s="348"/>
      <c r="AK2271" s="241">
        <v>4</v>
      </c>
      <c r="AL2271" s="121" t="s">
        <v>805</v>
      </c>
      <c r="AM2271" s="169" t="s">
        <v>3483</v>
      </c>
      <c r="AN2271" s="199"/>
      <c r="AO2271" s="190"/>
      <c r="AR2271" s="115"/>
    </row>
    <row r="2272" spans="1:46" ht="39" customHeight="1" x14ac:dyDescent="0.3">
      <c r="A2272" s="1468">
        <v>2271</v>
      </c>
      <c r="B2272" s="161">
        <v>2</v>
      </c>
      <c r="C2272" s="504" t="s">
        <v>812</v>
      </c>
      <c r="D2272" s="640"/>
      <c r="E2272" s="640"/>
      <c r="F2272" s="640"/>
      <c r="G2272" s="626" t="s">
        <v>354</v>
      </c>
      <c r="H2272" s="262" t="s">
        <v>87</v>
      </c>
      <c r="I2272" s="640"/>
      <c r="J2272" s="245" t="s">
        <v>561</v>
      </c>
      <c r="K2272" s="394"/>
      <c r="L2272" s="394" t="s">
        <v>991</v>
      </c>
      <c r="M2272" s="394" t="s">
        <v>1113</v>
      </c>
      <c r="N2272" s="404"/>
      <c r="O2272" s="392" t="s">
        <v>3027</v>
      </c>
      <c r="P2272" s="812"/>
      <c r="Q2272" s="453" t="s">
        <v>85</v>
      </c>
      <c r="R2272" s="1494" t="s">
        <v>1367</v>
      </c>
      <c r="S2272" s="279"/>
      <c r="T2272" s="268" t="s">
        <v>5918</v>
      </c>
      <c r="U2272" s="250"/>
      <c r="V2272" s="268"/>
      <c r="W2272" s="414" t="s">
        <v>3590</v>
      </c>
      <c r="X2272" s="414"/>
      <c r="Y2272" s="268"/>
      <c r="Z2272" s="405"/>
      <c r="AA2272" s="405"/>
      <c r="AB2272" s="288" t="s">
        <v>4558</v>
      </c>
      <c r="AC2272" s="223" t="s">
        <v>946</v>
      </c>
      <c r="AD2272" s="396"/>
      <c r="AE2272" s="494">
        <v>45070</v>
      </c>
      <c r="AF2272" s="494">
        <v>45435</v>
      </c>
      <c r="AG2272" s="450"/>
      <c r="AH2272" s="438"/>
      <c r="AI2272" s="719" t="s">
        <v>1351</v>
      </c>
      <c r="AJ2272" s="470" t="s">
        <v>136</v>
      </c>
      <c r="AK2272" s="471">
        <v>4</v>
      </c>
      <c r="AL2272" s="166" t="s">
        <v>805</v>
      </c>
      <c r="AM2272" s="169" t="s">
        <v>3483</v>
      </c>
      <c r="AN2272" s="147" t="s">
        <v>5787</v>
      </c>
      <c r="AO2272" s="194"/>
      <c r="AR2272" s="115"/>
      <c r="AS2272" s="115"/>
      <c r="AT2272" s="115"/>
    </row>
    <row r="2273" spans="1:46" s="827" customFormat="1" ht="39" customHeight="1" x14ac:dyDescent="0.3">
      <c r="A2273" s="1468">
        <v>2272</v>
      </c>
      <c r="B2273" s="161"/>
      <c r="C2273" s="723"/>
      <c r="D2273" s="637"/>
      <c r="E2273" s="637"/>
      <c r="F2273" s="637"/>
      <c r="G2273" s="602"/>
      <c r="H2273" s="602"/>
      <c r="I2273" s="637"/>
      <c r="J2273" s="637"/>
      <c r="K2273" s="637"/>
      <c r="L2273" s="602"/>
      <c r="M2273" s="602"/>
      <c r="N2273" s="637"/>
      <c r="O2273" s="602"/>
      <c r="P2273" s="230" t="s">
        <v>813</v>
      </c>
      <c r="Q2273" s="637"/>
      <c r="R2273" s="1209"/>
      <c r="S2273" s="279"/>
      <c r="T2273" s="637"/>
      <c r="U2273" s="250"/>
      <c r="V2273" s="637"/>
      <c r="W2273" s="602"/>
      <c r="X2273" s="602"/>
      <c r="Y2273" s="637"/>
      <c r="Z2273" s="637"/>
      <c r="AA2273" s="637"/>
      <c r="AB2273" s="1295"/>
      <c r="AC2273" s="637"/>
      <c r="AD2273" s="659"/>
      <c r="AE2273" s="494"/>
      <c r="AF2273" s="494"/>
      <c r="AG2273" s="637"/>
      <c r="AH2273" s="637"/>
      <c r="AI2273" s="602"/>
      <c r="AJ2273" s="602"/>
      <c r="AK2273" s="602"/>
      <c r="AL2273" s="205"/>
      <c r="AM2273" s="205"/>
      <c r="AN2273" s="202"/>
      <c r="AO2273" s="196"/>
      <c r="AP2273" s="192"/>
      <c r="AQ2273" s="192"/>
      <c r="AR2273" s="192"/>
      <c r="AS2273" s="192"/>
      <c r="AT2273" s="192"/>
    </row>
    <row r="2274" spans="1:46" ht="39" customHeight="1" x14ac:dyDescent="0.3">
      <c r="A2274" s="1468">
        <v>2273</v>
      </c>
      <c r="B2274" s="161">
        <v>5</v>
      </c>
      <c r="C2274" s="934" t="s">
        <v>367</v>
      </c>
      <c r="D2274" s="864"/>
      <c r="E2274" s="864"/>
      <c r="F2274" s="864"/>
      <c r="G2274" s="846" t="s">
        <v>806</v>
      </c>
      <c r="H2274" s="846" t="s">
        <v>132</v>
      </c>
      <c r="I2274" s="642"/>
      <c r="J2274" s="256">
        <v>403</v>
      </c>
      <c r="K2274" s="1403"/>
      <c r="L2274" s="277"/>
      <c r="M2274" s="277"/>
      <c r="N2274" s="299"/>
      <c r="O2274" s="1403"/>
      <c r="P2274" s="300"/>
      <c r="Q2274" s="380"/>
      <c r="R2274" s="1494" t="s">
        <v>66</v>
      </c>
      <c r="S2274" s="279"/>
      <c r="T2274" s="289"/>
      <c r="U2274" s="250"/>
      <c r="V2274" s="1403"/>
      <c r="W2274" s="1403"/>
      <c r="X2274" s="1403"/>
      <c r="Y2274" s="288"/>
      <c r="Z2274" s="612"/>
      <c r="AA2274" s="289"/>
      <c r="AB2274" s="288"/>
      <c r="AC2274" s="626"/>
      <c r="AD2274" s="288"/>
      <c r="AE2274" s="494"/>
      <c r="AF2274" s="494"/>
      <c r="AG2274" s="299"/>
      <c r="AH2274" s="299"/>
      <c r="AI2274" s="254"/>
      <c r="AJ2274" s="303"/>
      <c r="AK2274" s="491">
        <v>3</v>
      </c>
      <c r="AL2274" s="169" t="s">
        <v>805</v>
      </c>
      <c r="AM2274" s="169" t="s">
        <v>3483</v>
      </c>
      <c r="AN2274" s="200"/>
      <c r="AO2274" s="193"/>
      <c r="AR2274" s="115"/>
    </row>
    <row r="2275" spans="1:46" ht="39" customHeight="1" x14ac:dyDescent="0.3">
      <c r="A2275" s="1468">
        <v>2274</v>
      </c>
      <c r="B2275" s="161">
        <v>2</v>
      </c>
      <c r="C2275" s="358" t="s">
        <v>809</v>
      </c>
      <c r="D2275" s="595"/>
      <c r="E2275" s="595"/>
      <c r="F2275" s="595"/>
      <c r="G2275" s="392" t="s">
        <v>810</v>
      </c>
      <c r="H2275" s="262" t="s">
        <v>87</v>
      </c>
      <c r="I2275" s="595"/>
      <c r="J2275" s="245" t="s">
        <v>561</v>
      </c>
      <c r="K2275" s="197"/>
      <c r="L2275" s="301" t="s">
        <v>1430</v>
      </c>
      <c r="M2275" s="281" t="s">
        <v>1684</v>
      </c>
      <c r="N2275" s="299"/>
      <c r="O2275" s="392" t="s">
        <v>2997</v>
      </c>
      <c r="P2275" s="300"/>
      <c r="Q2275" s="400" t="s">
        <v>85</v>
      </c>
      <c r="R2275" s="1494" t="s">
        <v>1449</v>
      </c>
      <c r="S2275" s="279"/>
      <c r="T2275" s="197"/>
      <c r="U2275" s="250"/>
      <c r="V2275" s="595"/>
      <c r="W2275" s="392"/>
      <c r="X2275" s="392"/>
      <c r="Y2275" s="299"/>
      <c r="Z2275" s="299"/>
      <c r="AA2275" s="289"/>
      <c r="AB2275" s="288" t="s">
        <v>4559</v>
      </c>
      <c r="AC2275" s="223" t="s">
        <v>946</v>
      </c>
      <c r="AD2275" s="299"/>
      <c r="AE2275" s="494">
        <v>45098</v>
      </c>
      <c r="AF2275" s="494">
        <v>45463</v>
      </c>
      <c r="AG2275" s="299"/>
      <c r="AH2275" s="299"/>
      <c r="AI2275" s="296" t="s">
        <v>1351</v>
      </c>
      <c r="AJ2275" s="303" t="s">
        <v>136</v>
      </c>
      <c r="AK2275" s="241">
        <v>4</v>
      </c>
      <c r="AL2275" s="121" t="s">
        <v>805</v>
      </c>
      <c r="AM2275" s="169" t="s">
        <v>3483</v>
      </c>
      <c r="AN2275" s="199"/>
      <c r="AO2275" s="190"/>
      <c r="AR2275" s="115"/>
    </row>
    <row r="2276" spans="1:46" ht="39" customHeight="1" x14ac:dyDescent="0.3">
      <c r="A2276" s="1468">
        <v>2275</v>
      </c>
      <c r="B2276" s="161">
        <v>2</v>
      </c>
      <c r="C2276" s="358" t="s">
        <v>809</v>
      </c>
      <c r="D2276" s="595"/>
      <c r="E2276" s="595"/>
      <c r="F2276" s="595"/>
      <c r="G2276" s="392" t="s">
        <v>811</v>
      </c>
      <c r="H2276" s="262" t="s">
        <v>87</v>
      </c>
      <c r="I2276" s="595"/>
      <c r="J2276" s="245" t="s">
        <v>561</v>
      </c>
      <c r="K2276" s="257"/>
      <c r="L2276" s="288" t="s">
        <v>5144</v>
      </c>
      <c r="M2276" s="288" t="s">
        <v>5144</v>
      </c>
      <c r="N2276" s="299"/>
      <c r="O2276" s="1457" t="s">
        <v>5328</v>
      </c>
      <c r="P2276" s="300"/>
      <c r="Q2276" s="1492" t="s">
        <v>87</v>
      </c>
      <c r="R2276" s="1494" t="s">
        <v>5326</v>
      </c>
      <c r="S2276" s="279">
        <v>38541</v>
      </c>
      <c r="T2276" s="289"/>
      <c r="U2276" s="250"/>
      <c r="V2276" s="197"/>
      <c r="W2276" s="250"/>
      <c r="X2276" s="197"/>
      <c r="Y2276" s="981"/>
      <c r="Z2276" s="246"/>
      <c r="AA2276" s="252"/>
      <c r="AB2276" s="301"/>
      <c r="AC2276" s="223"/>
      <c r="AD2276" s="245" t="s">
        <v>467</v>
      </c>
      <c r="AE2276" s="494"/>
      <c r="AF2276" s="494"/>
      <c r="AG2276" s="301"/>
      <c r="AH2276" s="301"/>
      <c r="AI2276" s="254" t="s">
        <v>4208</v>
      </c>
      <c r="AJ2276" s="303" t="s">
        <v>136</v>
      </c>
      <c r="AK2276" s="241">
        <v>4</v>
      </c>
      <c r="AL2276" s="121" t="s">
        <v>805</v>
      </c>
      <c r="AM2276" s="169" t="s">
        <v>3483</v>
      </c>
      <c r="AN2276" s="199"/>
      <c r="AO2276" s="190"/>
      <c r="AR2276" s="115"/>
    </row>
    <row r="2277" spans="1:46" ht="39" customHeight="1" x14ac:dyDescent="0.3">
      <c r="A2277" s="1468">
        <v>2276</v>
      </c>
      <c r="B2277" s="161">
        <v>2</v>
      </c>
      <c r="C2277" s="504" t="s">
        <v>812</v>
      </c>
      <c r="D2277" s="640"/>
      <c r="E2277" s="640"/>
      <c r="F2277" s="640"/>
      <c r="G2277" s="626" t="s">
        <v>354</v>
      </c>
      <c r="H2277" s="262" t="s">
        <v>87</v>
      </c>
      <c r="I2277" s="640"/>
      <c r="J2277" s="245" t="s">
        <v>561</v>
      </c>
      <c r="K2277" s="1288" t="s">
        <v>313</v>
      </c>
      <c r="L2277" s="277" t="s">
        <v>4853</v>
      </c>
      <c r="M2277" s="277" t="s">
        <v>4853</v>
      </c>
      <c r="N2277" s="299"/>
      <c r="O2277" s="1288" t="s">
        <v>4908</v>
      </c>
      <c r="P2277" s="300"/>
      <c r="Q2277" s="380" t="s">
        <v>87</v>
      </c>
      <c r="R2277" s="1494" t="s">
        <v>4865</v>
      </c>
      <c r="S2277" s="279">
        <v>37903</v>
      </c>
      <c r="T2277" s="640"/>
      <c r="U2277" s="250"/>
      <c r="V2277" s="1287"/>
      <c r="W2277" s="1287"/>
      <c r="X2277" s="1287"/>
      <c r="Y2277" s="288"/>
      <c r="Z2277" s="612"/>
      <c r="AA2277" s="640"/>
      <c r="AB2277" s="288" t="s">
        <v>4903</v>
      </c>
      <c r="AC2277" s="626" t="s">
        <v>946</v>
      </c>
      <c r="AD2277" s="288" t="s">
        <v>467</v>
      </c>
      <c r="AE2277" s="494">
        <v>45245</v>
      </c>
      <c r="AF2277" s="494">
        <v>45610</v>
      </c>
      <c r="AG2277" s="640"/>
      <c r="AH2277" s="640"/>
      <c r="AI2277" s="254" t="s">
        <v>4208</v>
      </c>
      <c r="AJ2277" s="303" t="s">
        <v>136</v>
      </c>
      <c r="AK2277" s="471">
        <v>4</v>
      </c>
      <c r="AL2277" s="166" t="s">
        <v>805</v>
      </c>
      <c r="AM2277" s="169" t="s">
        <v>3483</v>
      </c>
      <c r="AN2277" s="147" t="s">
        <v>5787</v>
      </c>
      <c r="AO2277" s="194"/>
      <c r="AR2277" s="115"/>
      <c r="AS2277" s="115"/>
      <c r="AT2277" s="115"/>
    </row>
    <row r="2278" spans="1:46" s="827" customFormat="1" ht="39" customHeight="1" x14ac:dyDescent="0.3">
      <c r="A2278" s="1468">
        <v>2277</v>
      </c>
      <c r="B2278" s="161"/>
      <c r="C2278" s="659"/>
      <c r="D2278" s="637"/>
      <c r="E2278" s="637"/>
      <c r="F2278" s="637"/>
      <c r="G2278" s="602"/>
      <c r="H2278" s="602"/>
      <c r="I2278" s="637"/>
      <c r="J2278" s="637"/>
      <c r="K2278" s="637"/>
      <c r="L2278" s="602"/>
      <c r="M2278" s="602"/>
      <c r="N2278" s="637"/>
      <c r="O2278" s="602"/>
      <c r="P2278" s="230" t="s">
        <v>439</v>
      </c>
      <c r="Q2278" s="637"/>
      <c r="R2278" s="1209"/>
      <c r="S2278" s="279"/>
      <c r="T2278" s="637"/>
      <c r="U2278" s="250"/>
      <c r="V2278" s="637"/>
      <c r="W2278" s="602"/>
      <c r="X2278" s="602"/>
      <c r="Y2278" s="637"/>
      <c r="Z2278" s="637"/>
      <c r="AA2278" s="637"/>
      <c r="AB2278" s="1295"/>
      <c r="AC2278" s="637"/>
      <c r="AD2278" s="659"/>
      <c r="AE2278" s="494"/>
      <c r="AF2278" s="494"/>
      <c r="AG2278" s="637"/>
      <c r="AH2278" s="637"/>
      <c r="AI2278" s="602"/>
      <c r="AJ2278" s="602"/>
      <c r="AK2278" s="602"/>
      <c r="AL2278" s="205"/>
      <c r="AM2278" s="205"/>
      <c r="AN2278" s="202"/>
      <c r="AO2278" s="196"/>
      <c r="AP2278" s="192"/>
      <c r="AQ2278" s="192"/>
      <c r="AR2278" s="192"/>
      <c r="AS2278" s="192"/>
      <c r="AT2278" s="192"/>
    </row>
    <row r="2279" spans="1:46" ht="39" customHeight="1" x14ac:dyDescent="0.3">
      <c r="A2279" s="1468">
        <v>2278</v>
      </c>
      <c r="B2279" s="161">
        <v>5</v>
      </c>
      <c r="C2279" s="556" t="s">
        <v>814</v>
      </c>
      <c r="D2279" s="556"/>
      <c r="E2279" s="556"/>
      <c r="F2279" s="556"/>
      <c r="G2279" s="639" t="s">
        <v>441</v>
      </c>
      <c r="H2279" s="639" t="s">
        <v>132</v>
      </c>
      <c r="I2279" s="595"/>
      <c r="J2279" s="256">
        <v>403</v>
      </c>
      <c r="K2279" s="595"/>
      <c r="L2279" s="1513" t="s">
        <v>2797</v>
      </c>
      <c r="M2279" s="1513" t="s">
        <v>2797</v>
      </c>
      <c r="N2279" s="595"/>
      <c r="O2279" s="1513" t="s">
        <v>3357</v>
      </c>
      <c r="P2279" s="595"/>
      <c r="Q2279" s="373" t="s">
        <v>567</v>
      </c>
      <c r="R2279" s="1503" t="s">
        <v>2798</v>
      </c>
      <c r="S2279" s="279">
        <v>23854</v>
      </c>
      <c r="T2279" s="595"/>
      <c r="U2279" s="251" t="s">
        <v>54</v>
      </c>
      <c r="V2279" s="197" t="s">
        <v>5955</v>
      </c>
      <c r="W2279" s="197" t="s">
        <v>70</v>
      </c>
      <c r="X2279" s="197" t="s">
        <v>71</v>
      </c>
      <c r="Y2279" s="949" t="s">
        <v>5964</v>
      </c>
      <c r="Z2279" s="612">
        <v>45312</v>
      </c>
      <c r="AA2279" s="252"/>
      <c r="AB2279" s="1289"/>
      <c r="AC2279" s="595"/>
      <c r="AD2279" s="658"/>
      <c r="AE2279" s="494"/>
      <c r="AF2279" s="494"/>
      <c r="AG2279" s="595"/>
      <c r="AH2279" s="595"/>
      <c r="AI2279" s="1513"/>
      <c r="AJ2279" s="348" t="s">
        <v>560</v>
      </c>
      <c r="AK2279" s="348">
        <v>3</v>
      </c>
      <c r="AL2279" s="121" t="s">
        <v>805</v>
      </c>
      <c r="AM2279" s="169" t="s">
        <v>3483</v>
      </c>
      <c r="AN2279" s="200"/>
      <c r="AO2279" s="193"/>
      <c r="AR2279" s="115"/>
    </row>
    <row r="2280" spans="1:46" ht="39" customHeight="1" x14ac:dyDescent="0.3">
      <c r="A2280" s="1468">
        <v>2279</v>
      </c>
      <c r="B2280" s="161">
        <v>3</v>
      </c>
      <c r="C2280" s="358" t="s">
        <v>934</v>
      </c>
      <c r="D2280" s="595"/>
      <c r="E2280" s="595"/>
      <c r="F2280" s="595"/>
      <c r="G2280" s="392" t="s">
        <v>442</v>
      </c>
      <c r="H2280" s="262" t="s">
        <v>85</v>
      </c>
      <c r="I2280" s="595"/>
      <c r="J2280" s="245" t="s">
        <v>556</v>
      </c>
      <c r="K2280" s="263"/>
      <c r="L2280" s="299" t="s">
        <v>1508</v>
      </c>
      <c r="M2280" s="299" t="s">
        <v>4578</v>
      </c>
      <c r="N2280" s="245"/>
      <c r="O2280" s="392" t="s">
        <v>3015</v>
      </c>
      <c r="P2280" s="627"/>
      <c r="Q2280" s="594" t="s">
        <v>293</v>
      </c>
      <c r="R2280" s="1494" t="s">
        <v>1620</v>
      </c>
      <c r="S2280" s="279"/>
      <c r="T2280" s="289"/>
      <c r="U2280" s="250"/>
      <c r="V2280" s="595"/>
      <c r="W2280" s="1389"/>
      <c r="X2280" s="1389"/>
      <c r="Y2280" s="197"/>
      <c r="Z2280" s="246"/>
      <c r="AA2280" s="281"/>
      <c r="AB2280" s="250" t="s">
        <v>4428</v>
      </c>
      <c r="AC2280" s="223" t="s">
        <v>946</v>
      </c>
      <c r="AD2280" s="245"/>
      <c r="AE2280" s="494">
        <v>45114</v>
      </c>
      <c r="AF2280" s="494">
        <v>45479</v>
      </c>
      <c r="AG2280" s="241"/>
      <c r="AH2280" s="253"/>
      <c r="AI2280" s="284" t="s">
        <v>1351</v>
      </c>
      <c r="AJ2280" s="303" t="s">
        <v>136</v>
      </c>
      <c r="AK2280" s="241">
        <v>4</v>
      </c>
      <c r="AL2280" s="121" t="s">
        <v>805</v>
      </c>
      <c r="AM2280" s="169" t="s">
        <v>3483</v>
      </c>
      <c r="AN2280" s="199"/>
      <c r="AO2280" s="190"/>
      <c r="AR2280" s="115"/>
    </row>
    <row r="2281" spans="1:46" ht="39" customHeight="1" x14ac:dyDescent="0.3">
      <c r="A2281" s="1468">
        <v>2280</v>
      </c>
      <c r="B2281" s="161">
        <v>2</v>
      </c>
      <c r="C2281" s="1100" t="s">
        <v>815</v>
      </c>
      <c r="D2281" s="595"/>
      <c r="E2281" s="595"/>
      <c r="F2281" s="595"/>
      <c r="G2281" s="1513" t="s">
        <v>816</v>
      </c>
      <c r="H2281" s="262" t="s">
        <v>87</v>
      </c>
      <c r="I2281" s="595"/>
      <c r="J2281" s="245" t="s">
        <v>561</v>
      </c>
      <c r="K2281" s="216"/>
      <c r="L2281" s="289" t="s">
        <v>3596</v>
      </c>
      <c r="M2281" s="289" t="s">
        <v>3596</v>
      </c>
      <c r="N2281" s="366"/>
      <c r="O2281" s="216" t="s">
        <v>3666</v>
      </c>
      <c r="P2281" s="402" t="s">
        <v>1828</v>
      </c>
      <c r="Q2281" s="373" t="s">
        <v>87</v>
      </c>
      <c r="R2281" s="1503" t="s">
        <v>3613</v>
      </c>
      <c r="S2281" s="279">
        <v>32224</v>
      </c>
      <c r="T2281" s="250"/>
      <c r="U2281" s="251" t="s">
        <v>54</v>
      </c>
      <c r="V2281" s="197" t="s">
        <v>5512</v>
      </c>
      <c r="W2281" s="250" t="s">
        <v>56</v>
      </c>
      <c r="X2281" s="197" t="s">
        <v>57</v>
      </c>
      <c r="Y2281" s="197" t="s">
        <v>5726</v>
      </c>
      <c r="Z2281" s="246">
        <v>45272</v>
      </c>
      <c r="AA2281" s="252"/>
      <c r="AB2281" s="257"/>
      <c r="AC2281" s="223"/>
      <c r="AD2281" s="257"/>
      <c r="AE2281" s="494"/>
      <c r="AF2281" s="494"/>
      <c r="AG2281" s="385"/>
      <c r="AH2281" s="426"/>
      <c r="AI2281" s="254"/>
      <c r="AJ2281" s="743" t="s">
        <v>560</v>
      </c>
      <c r="AK2281" s="241">
        <v>4</v>
      </c>
      <c r="AL2281" s="121" t="s">
        <v>805</v>
      </c>
      <c r="AM2281" s="169" t="s">
        <v>3483</v>
      </c>
      <c r="AN2281" s="199"/>
      <c r="AO2281" s="190"/>
      <c r="AR2281" s="115"/>
    </row>
    <row r="2282" spans="1:46" ht="39" customHeight="1" x14ac:dyDescent="0.3">
      <c r="A2282" s="1468">
        <v>2281</v>
      </c>
      <c r="B2282" s="161">
        <v>2</v>
      </c>
      <c r="C2282" s="504" t="s">
        <v>443</v>
      </c>
      <c r="D2282" s="640"/>
      <c r="E2282" s="640"/>
      <c r="F2282" s="640"/>
      <c r="G2282" s="626" t="s">
        <v>354</v>
      </c>
      <c r="H2282" s="262" t="s">
        <v>87</v>
      </c>
      <c r="I2282" s="640"/>
      <c r="J2282" s="245" t="s">
        <v>561</v>
      </c>
      <c r="K2282" s="216"/>
      <c r="L2282" s="288" t="s">
        <v>5144</v>
      </c>
      <c r="M2282" s="288" t="s">
        <v>5144</v>
      </c>
      <c r="N2282" s="366"/>
      <c r="O2282" s="1399" t="s">
        <v>5337</v>
      </c>
      <c r="P2282" s="325"/>
      <c r="Q2282" s="1492" t="s">
        <v>87</v>
      </c>
      <c r="R2282" s="1494" t="s">
        <v>5336</v>
      </c>
      <c r="S2282" s="279">
        <v>37419</v>
      </c>
      <c r="T2282" s="252"/>
      <c r="U2282" s="250" t="s">
        <v>391</v>
      </c>
      <c r="V2282" s="301" t="s">
        <v>6193</v>
      </c>
      <c r="W2282" s="250" t="s">
        <v>3475</v>
      </c>
      <c r="X2282" s="197" t="s">
        <v>2002</v>
      </c>
      <c r="Y2282" s="197" t="s">
        <v>6195</v>
      </c>
      <c r="Z2282" s="246">
        <v>45324</v>
      </c>
      <c r="AA2282" s="252"/>
      <c r="AB2282" s="301"/>
      <c r="AC2282" s="223"/>
      <c r="AD2282" s="245" t="s">
        <v>467</v>
      </c>
      <c r="AE2282" s="494"/>
      <c r="AF2282" s="494"/>
      <c r="AG2282" s="301"/>
      <c r="AH2282" s="301"/>
      <c r="AI2282" s="254" t="s">
        <v>4208</v>
      </c>
      <c r="AJ2282" s="303" t="s">
        <v>136</v>
      </c>
      <c r="AK2282" s="471">
        <v>4</v>
      </c>
      <c r="AL2282" s="166" t="s">
        <v>805</v>
      </c>
      <c r="AM2282" s="169" t="s">
        <v>3483</v>
      </c>
      <c r="AN2282" s="147" t="s">
        <v>5787</v>
      </c>
      <c r="AO2282" s="194"/>
      <c r="AR2282" s="115"/>
      <c r="AS2282" s="115"/>
      <c r="AT2282" s="115"/>
    </row>
    <row r="2283" spans="1:46" s="827" customFormat="1" ht="39" customHeight="1" x14ac:dyDescent="0.3">
      <c r="A2283" s="1468">
        <v>2282</v>
      </c>
      <c r="B2283" s="161"/>
      <c r="C2283" s="659"/>
      <c r="D2283" s="637"/>
      <c r="E2283" s="637"/>
      <c r="F2283" s="637"/>
      <c r="G2283" s="602"/>
      <c r="H2283" s="602"/>
      <c r="I2283" s="637"/>
      <c r="J2283" s="637"/>
      <c r="K2283" s="637"/>
      <c r="L2283" s="602"/>
      <c r="N2283" s="637"/>
      <c r="O2283" s="602"/>
      <c r="P2283" s="230" t="s">
        <v>817</v>
      </c>
      <c r="Q2283" s="637"/>
      <c r="R2283" s="1209"/>
      <c r="S2283" s="279"/>
      <c r="T2283" s="637"/>
      <c r="U2283" s="250"/>
      <c r="V2283" s="637"/>
      <c r="W2283" s="602"/>
      <c r="X2283" s="602"/>
      <c r="Y2283" s="637"/>
      <c r="Z2283" s="637"/>
      <c r="AA2283" s="637"/>
      <c r="AB2283" s="1295"/>
      <c r="AC2283" s="637"/>
      <c r="AD2283" s="659"/>
      <c r="AE2283" s="494"/>
      <c r="AF2283" s="494"/>
      <c r="AG2283" s="637"/>
      <c r="AH2283" s="637"/>
      <c r="AI2283" s="602"/>
      <c r="AJ2283" s="602"/>
      <c r="AK2283" s="602"/>
      <c r="AL2283" s="205"/>
      <c r="AM2283" s="205"/>
      <c r="AN2283" s="202"/>
      <c r="AO2283" s="196"/>
      <c r="AP2283" s="192"/>
      <c r="AQ2283" s="192"/>
      <c r="AR2283" s="192"/>
      <c r="AS2283" s="192"/>
      <c r="AT2283" s="192"/>
    </row>
    <row r="2284" spans="1:46" ht="39" customHeight="1" x14ac:dyDescent="0.3">
      <c r="A2284" s="1468">
        <v>2283</v>
      </c>
      <c r="B2284" s="161">
        <v>9</v>
      </c>
      <c r="C2284" s="936" t="s">
        <v>305</v>
      </c>
      <c r="D2284" s="487"/>
      <c r="E2284" s="762"/>
      <c r="F2284" s="487"/>
      <c r="G2284" s="763" t="s">
        <v>818</v>
      </c>
      <c r="H2284" s="764" t="s">
        <v>283</v>
      </c>
      <c r="I2284" s="642"/>
      <c r="J2284" s="281">
        <v>410</v>
      </c>
      <c r="K2284" s="216" t="s">
        <v>144</v>
      </c>
      <c r="L2284" s="281" t="s">
        <v>1071</v>
      </c>
      <c r="M2284" s="281" t="s">
        <v>1071</v>
      </c>
      <c r="N2284" s="245"/>
      <c r="O2284" s="216" t="s">
        <v>1072</v>
      </c>
      <c r="P2284" s="372"/>
      <c r="Q2284" s="344" t="s">
        <v>519</v>
      </c>
      <c r="R2284" s="1503" t="s">
        <v>1073</v>
      </c>
      <c r="S2284" s="279">
        <v>31391</v>
      </c>
      <c r="T2284" s="448"/>
      <c r="U2284" s="251" t="s">
        <v>178</v>
      </c>
      <c r="V2284" s="250" t="s">
        <v>6000</v>
      </c>
      <c r="W2284" s="197" t="s">
        <v>2381</v>
      </c>
      <c r="X2284" s="197" t="s">
        <v>3477</v>
      </c>
      <c r="Y2284" s="1108" t="s">
        <v>6001</v>
      </c>
      <c r="Z2284" s="252">
        <v>45314</v>
      </c>
      <c r="AA2284" s="252">
        <v>45343</v>
      </c>
      <c r="AB2284" s="281"/>
      <c r="AC2284" s="223" t="s">
        <v>946</v>
      </c>
      <c r="AD2284" s="281"/>
      <c r="AE2284" s="494">
        <v>43694</v>
      </c>
      <c r="AF2284" s="494">
        <v>45520</v>
      </c>
      <c r="AG2284" s="241" t="s">
        <v>61</v>
      </c>
      <c r="AH2284" s="283"/>
      <c r="AI2284" s="296"/>
      <c r="AJ2284" s="348" t="s">
        <v>560</v>
      </c>
      <c r="AK2284" s="1514">
        <v>2</v>
      </c>
      <c r="AL2284" s="169" t="s">
        <v>819</v>
      </c>
      <c r="AM2284" s="169" t="s">
        <v>3483</v>
      </c>
      <c r="AN2284" s="200"/>
      <c r="AO2284" s="193"/>
      <c r="AR2284" s="115"/>
    </row>
    <row r="2285" spans="1:46" ht="39" customHeight="1" x14ac:dyDescent="0.3">
      <c r="A2285" s="1468">
        <v>2284</v>
      </c>
      <c r="B2285" s="161">
        <v>3</v>
      </c>
      <c r="C2285" s="358" t="s">
        <v>820</v>
      </c>
      <c r="D2285" s="595"/>
      <c r="E2285" s="595"/>
      <c r="F2285" s="595"/>
      <c r="G2285" s="392" t="s">
        <v>821</v>
      </c>
      <c r="H2285" s="262" t="s">
        <v>85</v>
      </c>
      <c r="I2285" s="595"/>
      <c r="J2285" s="245" t="s">
        <v>556</v>
      </c>
      <c r="K2285" s="595"/>
      <c r="L2285" s="281" t="s">
        <v>1681</v>
      </c>
      <c r="M2285" s="281" t="s">
        <v>1430</v>
      </c>
      <c r="N2285" s="256"/>
      <c r="O2285" s="1486" t="s">
        <v>3130</v>
      </c>
      <c r="P2285" s="372"/>
      <c r="Q2285" s="197" t="s">
        <v>570</v>
      </c>
      <c r="R2285" s="1494" t="s">
        <v>1683</v>
      </c>
      <c r="S2285" s="279"/>
      <c r="T2285" s="197"/>
      <c r="U2285" s="250"/>
      <c r="V2285" s="595"/>
      <c r="W2285" s="250" t="s">
        <v>2779</v>
      </c>
      <c r="X2285" s="1486"/>
      <c r="Y2285" s="299"/>
      <c r="Z2285" s="299"/>
      <c r="AA2285" s="289"/>
      <c r="AB2285" s="288" t="s">
        <v>5055</v>
      </c>
      <c r="AC2285" s="223" t="s">
        <v>946</v>
      </c>
      <c r="AD2285" s="299"/>
      <c r="AE2285" s="494">
        <v>45098</v>
      </c>
      <c r="AF2285" s="494">
        <v>45463</v>
      </c>
      <c r="AG2285" s="299"/>
      <c r="AH2285" s="299"/>
      <c r="AI2285" s="296" t="s">
        <v>1351</v>
      </c>
      <c r="AJ2285" s="303" t="s">
        <v>136</v>
      </c>
      <c r="AK2285" s="241">
        <v>4</v>
      </c>
      <c r="AL2285" s="121" t="s">
        <v>819</v>
      </c>
      <c r="AM2285" s="169" t="s">
        <v>3483</v>
      </c>
      <c r="AN2285" s="199"/>
      <c r="AO2285" s="190"/>
      <c r="AR2285" s="115"/>
    </row>
    <row r="2286" spans="1:46" ht="39" customHeight="1" x14ac:dyDescent="0.3">
      <c r="A2286" s="1468">
        <v>2285</v>
      </c>
      <c r="B2286" s="161">
        <v>2</v>
      </c>
      <c r="C2286" s="358" t="s">
        <v>822</v>
      </c>
      <c r="D2286" s="595"/>
      <c r="E2286" s="595"/>
      <c r="F2286" s="595"/>
      <c r="G2286" s="392" t="s">
        <v>823</v>
      </c>
      <c r="H2286" s="262" t="s">
        <v>87</v>
      </c>
      <c r="I2286" s="595"/>
      <c r="J2286" s="245" t="s">
        <v>561</v>
      </c>
      <c r="K2286" s="288" t="s">
        <v>2782</v>
      </c>
      <c r="L2286" s="277" t="s">
        <v>4641</v>
      </c>
      <c r="M2286" s="277" t="s">
        <v>4641</v>
      </c>
      <c r="N2286" s="595"/>
      <c r="O2286" s="1263" t="s">
        <v>4719</v>
      </c>
      <c r="P2286" s="595"/>
      <c r="Q2286" s="301" t="s">
        <v>87</v>
      </c>
      <c r="R2286" s="1494" t="s">
        <v>4672</v>
      </c>
      <c r="S2286" s="279">
        <v>38569</v>
      </c>
      <c r="T2286" s="595"/>
      <c r="U2286" s="250"/>
      <c r="V2286" s="216"/>
      <c r="W2286" s="1260"/>
      <c r="X2286" s="1260"/>
      <c r="Y2286" s="288"/>
      <c r="Z2286" s="612"/>
      <c r="AA2286" s="595"/>
      <c r="AB2286" s="288" t="s">
        <v>4718</v>
      </c>
      <c r="AC2286" s="1263" t="s">
        <v>946</v>
      </c>
      <c r="AD2286" s="281" t="s">
        <v>467</v>
      </c>
      <c r="AE2286" s="494">
        <v>45238</v>
      </c>
      <c r="AF2286" s="494">
        <v>45603</v>
      </c>
      <c r="AG2286" s="595"/>
      <c r="AH2286" s="595"/>
      <c r="AI2286" s="254" t="s">
        <v>4208</v>
      </c>
      <c r="AJ2286" s="303" t="s">
        <v>136</v>
      </c>
      <c r="AK2286" s="241">
        <v>4</v>
      </c>
      <c r="AL2286" s="121" t="s">
        <v>819</v>
      </c>
      <c r="AM2286" s="169" t="s">
        <v>3483</v>
      </c>
      <c r="AN2286" s="199"/>
      <c r="AO2286" s="190"/>
      <c r="AR2286" s="115"/>
    </row>
    <row r="2287" spans="1:46" ht="39" customHeight="1" x14ac:dyDescent="0.3">
      <c r="A2287" s="1468">
        <v>2286</v>
      </c>
      <c r="B2287" s="161">
        <v>2</v>
      </c>
      <c r="C2287" s="358" t="s">
        <v>824</v>
      </c>
      <c r="D2287" s="595"/>
      <c r="E2287" s="595"/>
      <c r="F2287" s="595"/>
      <c r="G2287" s="392" t="s">
        <v>825</v>
      </c>
      <c r="H2287" s="262" t="s">
        <v>87</v>
      </c>
      <c r="I2287" s="595"/>
      <c r="J2287" s="245" t="s">
        <v>561</v>
      </c>
      <c r="K2287" s="305"/>
      <c r="L2287" s="301" t="s">
        <v>2800</v>
      </c>
      <c r="M2287" s="281" t="s">
        <v>2800</v>
      </c>
      <c r="N2287" s="305"/>
      <c r="O2287" s="392" t="s">
        <v>2990</v>
      </c>
      <c r="P2287" s="305"/>
      <c r="Q2287" s="344" t="s">
        <v>87</v>
      </c>
      <c r="R2287" s="1503" t="s">
        <v>3358</v>
      </c>
      <c r="S2287" s="279">
        <v>38362</v>
      </c>
      <c r="T2287" s="306"/>
      <c r="U2287" s="251" t="s">
        <v>54</v>
      </c>
      <c r="V2287" s="250" t="s">
        <v>3522</v>
      </c>
      <c r="W2287" s="197" t="s">
        <v>56</v>
      </c>
      <c r="X2287" s="197" t="s">
        <v>3514</v>
      </c>
      <c r="Y2287" s="1108" t="s">
        <v>3523</v>
      </c>
      <c r="Z2287" s="252">
        <v>45216</v>
      </c>
      <c r="AA2287" s="289"/>
      <c r="AB2287" s="299"/>
      <c r="AC2287" s="223"/>
      <c r="AD2287" s="299"/>
      <c r="AE2287" s="494"/>
      <c r="AF2287" s="494"/>
      <c r="AG2287" s="299"/>
      <c r="AH2287" s="299"/>
      <c r="AI2287" s="296"/>
      <c r="AJ2287" s="348" t="s">
        <v>560</v>
      </c>
      <c r="AK2287" s="241">
        <v>4</v>
      </c>
      <c r="AL2287" s="121" t="s">
        <v>819</v>
      </c>
      <c r="AM2287" s="169" t="s">
        <v>3483</v>
      </c>
      <c r="AN2287" s="199"/>
      <c r="AO2287" s="190"/>
      <c r="AR2287" s="115"/>
    </row>
    <row r="2288" spans="1:46" ht="39" customHeight="1" x14ac:dyDescent="0.3">
      <c r="A2288" s="1468">
        <v>2287</v>
      </c>
      <c r="B2288" s="161">
        <v>2</v>
      </c>
      <c r="C2288" s="358" t="s">
        <v>826</v>
      </c>
      <c r="D2288" s="595"/>
      <c r="E2288" s="595"/>
      <c r="F2288" s="595"/>
      <c r="G2288" s="1513" t="s">
        <v>827</v>
      </c>
      <c r="H2288" s="262" t="s">
        <v>87</v>
      </c>
      <c r="I2288" s="595"/>
      <c r="J2288" s="245" t="s">
        <v>561</v>
      </c>
      <c r="K2288" s="305"/>
      <c r="L2288" s="301"/>
      <c r="M2288" s="281"/>
      <c r="N2288" s="305"/>
      <c r="O2288" s="216" t="s">
        <v>3460</v>
      </c>
      <c r="P2288" s="402" t="s">
        <v>1828</v>
      </c>
      <c r="Q2288" s="344" t="s">
        <v>87</v>
      </c>
      <c r="R2288" s="1503" t="s">
        <v>3459</v>
      </c>
      <c r="S2288" s="279">
        <v>28389</v>
      </c>
      <c r="T2288" s="306"/>
      <c r="U2288" s="197"/>
      <c r="V2288" s="197"/>
      <c r="W2288" s="250"/>
      <c r="X2288" s="197"/>
      <c r="Y2288" s="197"/>
      <c r="Z2288" s="246"/>
      <c r="AA2288" s="289"/>
      <c r="AB2288" s="299"/>
      <c r="AC2288" s="223"/>
      <c r="AD2288" s="299"/>
      <c r="AE2288" s="494"/>
      <c r="AF2288" s="494"/>
      <c r="AG2288" s="299"/>
      <c r="AH2288" s="299"/>
      <c r="AI2288" s="296"/>
      <c r="AJ2288" s="348" t="s">
        <v>560</v>
      </c>
      <c r="AK2288" s="241">
        <v>4</v>
      </c>
      <c r="AL2288" s="121" t="s">
        <v>819</v>
      </c>
      <c r="AM2288" s="169" t="s">
        <v>3483</v>
      </c>
      <c r="AN2288" s="199"/>
      <c r="AO2288" s="190"/>
      <c r="AR2288" s="115"/>
    </row>
    <row r="2289" spans="1:46" ht="39" customHeight="1" x14ac:dyDescent="0.3">
      <c r="A2289" s="1468">
        <v>2288</v>
      </c>
      <c r="B2289" s="161">
        <v>2</v>
      </c>
      <c r="C2289" s="358" t="s">
        <v>828</v>
      </c>
      <c r="D2289" s="595"/>
      <c r="E2289" s="595"/>
      <c r="F2289" s="595"/>
      <c r="G2289" s="1513" t="s">
        <v>829</v>
      </c>
      <c r="H2289" s="262" t="s">
        <v>87</v>
      </c>
      <c r="I2289" s="595"/>
      <c r="J2289" s="245" t="s">
        <v>561</v>
      </c>
      <c r="K2289" s="288"/>
      <c r="L2289" s="281"/>
      <c r="M2289" s="281"/>
      <c r="N2289" s="256"/>
      <c r="O2289" s="216" t="s">
        <v>3466</v>
      </c>
      <c r="P2289" s="402" t="s">
        <v>1828</v>
      </c>
      <c r="Q2289" s="344" t="s">
        <v>87</v>
      </c>
      <c r="R2289" s="1503" t="s">
        <v>3465</v>
      </c>
      <c r="S2289" s="279">
        <v>31384</v>
      </c>
      <c r="T2289" s="197"/>
      <c r="U2289" s="251" t="s">
        <v>54</v>
      </c>
      <c r="V2289" s="197" t="s">
        <v>5512</v>
      </c>
      <c r="W2289" s="250" t="s">
        <v>56</v>
      </c>
      <c r="X2289" s="197" t="s">
        <v>57</v>
      </c>
      <c r="Y2289" s="197" t="s">
        <v>5726</v>
      </c>
      <c r="Z2289" s="246">
        <v>45272</v>
      </c>
      <c r="AA2289" s="1141"/>
      <c r="AB2289" s="299"/>
      <c r="AC2289" s="223"/>
      <c r="AD2289" s="299"/>
      <c r="AE2289" s="494"/>
      <c r="AF2289" s="494"/>
      <c r="AG2289" s="299"/>
      <c r="AH2289" s="299"/>
      <c r="AI2289" s="296"/>
      <c r="AJ2289" s="348" t="s">
        <v>560</v>
      </c>
      <c r="AK2289" s="241">
        <v>4</v>
      </c>
      <c r="AL2289" s="121" t="s">
        <v>819</v>
      </c>
      <c r="AM2289" s="169" t="s">
        <v>3483</v>
      </c>
      <c r="AN2289" s="199"/>
      <c r="AO2289" s="190"/>
      <c r="AR2289" s="115"/>
    </row>
    <row r="2290" spans="1:46" ht="39" customHeight="1" x14ac:dyDescent="0.3">
      <c r="A2290" s="1468">
        <v>2289</v>
      </c>
      <c r="B2290" s="161">
        <v>2</v>
      </c>
      <c r="C2290" s="501" t="s">
        <v>830</v>
      </c>
      <c r="D2290" s="595"/>
      <c r="E2290" s="595"/>
      <c r="F2290" s="595"/>
      <c r="G2290" s="392" t="s">
        <v>354</v>
      </c>
      <c r="H2290" s="262" t="s">
        <v>87</v>
      </c>
      <c r="I2290" s="595"/>
      <c r="J2290" s="245" t="s">
        <v>561</v>
      </c>
      <c r="K2290" s="1288" t="s">
        <v>313</v>
      </c>
      <c r="L2290" s="277" t="s">
        <v>4853</v>
      </c>
      <c r="M2290" s="277" t="s">
        <v>4853</v>
      </c>
      <c r="N2290" s="299"/>
      <c r="O2290" s="1288" t="s">
        <v>4912</v>
      </c>
      <c r="P2290" s="300"/>
      <c r="Q2290" s="301" t="s">
        <v>87</v>
      </c>
      <c r="R2290" s="1494" t="s">
        <v>4868</v>
      </c>
      <c r="S2290" s="279">
        <v>38231</v>
      </c>
      <c r="T2290" s="306"/>
      <c r="U2290" s="250"/>
      <c r="V2290" s="1287"/>
      <c r="W2290" s="1287"/>
      <c r="X2290" s="1287"/>
      <c r="Y2290" s="288"/>
      <c r="Z2290" s="612"/>
      <c r="AA2290" s="289"/>
      <c r="AB2290" s="288" t="s">
        <v>4882</v>
      </c>
      <c r="AC2290" s="626" t="s">
        <v>946</v>
      </c>
      <c r="AD2290" s="288" t="s">
        <v>467</v>
      </c>
      <c r="AE2290" s="494">
        <v>45246</v>
      </c>
      <c r="AF2290" s="494">
        <v>45611</v>
      </c>
      <c r="AG2290" s="299"/>
      <c r="AH2290" s="299"/>
      <c r="AI2290" s="254" t="s">
        <v>4208</v>
      </c>
      <c r="AJ2290" s="303" t="s">
        <v>136</v>
      </c>
      <c r="AK2290" s="241">
        <v>4</v>
      </c>
      <c r="AL2290" s="121" t="s">
        <v>819</v>
      </c>
      <c r="AM2290" s="169" t="s">
        <v>3483</v>
      </c>
      <c r="AN2290" s="147" t="s">
        <v>5787</v>
      </c>
      <c r="AO2290" s="190"/>
      <c r="AR2290" s="115"/>
      <c r="AS2290" s="115"/>
      <c r="AT2290" s="115"/>
    </row>
    <row r="2291" spans="1:46" ht="39" customHeight="1" x14ac:dyDescent="0.3">
      <c r="A2291" s="1468">
        <v>2290</v>
      </c>
      <c r="B2291" s="161">
        <v>2</v>
      </c>
      <c r="C2291" s="501" t="s">
        <v>413</v>
      </c>
      <c r="D2291" s="595"/>
      <c r="E2291" s="595"/>
      <c r="F2291" s="595"/>
      <c r="G2291" s="1513" t="s">
        <v>354</v>
      </c>
      <c r="H2291" s="262" t="s">
        <v>87</v>
      </c>
      <c r="I2291" s="595"/>
      <c r="J2291" s="245" t="s">
        <v>561</v>
      </c>
      <c r="K2291" s="288"/>
      <c r="L2291" s="281" t="s">
        <v>1676</v>
      </c>
      <c r="M2291" s="281" t="s">
        <v>1508</v>
      </c>
      <c r="N2291" s="366"/>
      <c r="O2291" s="1513" t="s">
        <v>3227</v>
      </c>
      <c r="P2291" s="402"/>
      <c r="Q2291" s="709" t="s">
        <v>87</v>
      </c>
      <c r="R2291" s="1503" t="s">
        <v>1780</v>
      </c>
      <c r="S2291" s="279">
        <v>37958</v>
      </c>
      <c r="T2291" s="197"/>
      <c r="U2291" s="251" t="s">
        <v>54</v>
      </c>
      <c r="V2291" s="197" t="s">
        <v>2378</v>
      </c>
      <c r="W2291" s="819" t="s">
        <v>56</v>
      </c>
      <c r="X2291" s="819" t="s">
        <v>57</v>
      </c>
      <c r="Y2291" s="949" t="s">
        <v>2379</v>
      </c>
      <c r="Z2291" s="246">
        <v>45157</v>
      </c>
      <c r="AA2291" s="246"/>
      <c r="AB2291" s="361"/>
      <c r="AC2291" s="223"/>
      <c r="AD2291" s="376"/>
      <c r="AE2291" s="494"/>
      <c r="AF2291" s="494"/>
      <c r="AG2291" s="241"/>
      <c r="AH2291" s="283"/>
      <c r="AI2291" s="254"/>
      <c r="AJ2291" s="348" t="s">
        <v>560</v>
      </c>
      <c r="AK2291" s="241">
        <v>4</v>
      </c>
      <c r="AL2291" s="121" t="s">
        <v>819</v>
      </c>
      <c r="AM2291" s="169" t="s">
        <v>3483</v>
      </c>
      <c r="AN2291" s="147" t="s">
        <v>5787</v>
      </c>
      <c r="AO2291" s="190"/>
      <c r="AR2291" s="115"/>
      <c r="AS2291" s="115"/>
      <c r="AT2291" s="115"/>
    </row>
    <row r="2292" spans="1:46" ht="39" customHeight="1" x14ac:dyDescent="0.3">
      <c r="A2292" s="1468">
        <v>2291</v>
      </c>
      <c r="B2292" s="161">
        <v>2</v>
      </c>
      <c r="C2292" s="504" t="s">
        <v>831</v>
      </c>
      <c r="D2292" s="640"/>
      <c r="E2292" s="640"/>
      <c r="F2292" s="640"/>
      <c r="G2292" s="626" t="s">
        <v>354</v>
      </c>
      <c r="H2292" s="262" t="s">
        <v>87</v>
      </c>
      <c r="I2292" s="640"/>
      <c r="J2292" s="245" t="s">
        <v>561</v>
      </c>
      <c r="K2292" s="1288" t="s">
        <v>313</v>
      </c>
      <c r="L2292" s="277" t="s">
        <v>4853</v>
      </c>
      <c r="M2292" s="277" t="s">
        <v>4853</v>
      </c>
      <c r="N2292" s="299"/>
      <c r="O2292" s="1288" t="s">
        <v>4913</v>
      </c>
      <c r="P2292" s="300"/>
      <c r="Q2292" s="301" t="s">
        <v>87</v>
      </c>
      <c r="R2292" s="1494" t="s">
        <v>4869</v>
      </c>
      <c r="S2292" s="279">
        <v>37958</v>
      </c>
      <c r="T2292" s="197"/>
      <c r="U2292" s="251" t="s">
        <v>544</v>
      </c>
      <c r="V2292" s="612">
        <v>45316</v>
      </c>
      <c r="W2292" s="1287"/>
      <c r="X2292" s="1287"/>
      <c r="Y2292" s="288"/>
      <c r="Z2292" s="612"/>
      <c r="AA2292" s="1107"/>
      <c r="AB2292" s="288" t="s">
        <v>4911</v>
      </c>
      <c r="AC2292" s="1288" t="s">
        <v>482</v>
      </c>
      <c r="AD2292" s="288" t="s">
        <v>467</v>
      </c>
      <c r="AE2292" s="494">
        <v>45244</v>
      </c>
      <c r="AF2292" s="494">
        <v>45609</v>
      </c>
      <c r="AG2292" s="299"/>
      <c r="AH2292" s="299"/>
      <c r="AI2292" s="254" t="s">
        <v>4208</v>
      </c>
      <c r="AJ2292" s="303" t="s">
        <v>136</v>
      </c>
      <c r="AK2292" s="471">
        <v>4</v>
      </c>
      <c r="AL2292" s="166" t="s">
        <v>819</v>
      </c>
      <c r="AM2292" s="169" t="s">
        <v>3483</v>
      </c>
      <c r="AN2292" s="147" t="s">
        <v>5787</v>
      </c>
      <c r="AO2292" s="194"/>
      <c r="AR2292" s="115"/>
      <c r="AS2292" s="115"/>
      <c r="AT2292" s="115"/>
    </row>
    <row r="2293" spans="1:46" s="827" customFormat="1" ht="39" customHeight="1" x14ac:dyDescent="0.3">
      <c r="A2293" s="1468">
        <v>2292</v>
      </c>
      <c r="B2293" s="161"/>
      <c r="C2293" s="659"/>
      <c r="D2293" s="637"/>
      <c r="E2293" s="637"/>
      <c r="F2293" s="637"/>
      <c r="G2293" s="602"/>
      <c r="H2293" s="602"/>
      <c r="I2293" s="637"/>
      <c r="J2293" s="637"/>
      <c r="K2293" s="637"/>
      <c r="L2293" s="602"/>
      <c r="M2293" s="602"/>
      <c r="N2293" s="637"/>
      <c r="O2293" s="602"/>
      <c r="P2293" s="230" t="s">
        <v>832</v>
      </c>
      <c r="Q2293" s="637"/>
      <c r="R2293" s="1209"/>
      <c r="S2293" s="279"/>
      <c r="T2293" s="637"/>
      <c r="U2293" s="250"/>
      <c r="V2293" s="637"/>
      <c r="W2293" s="602"/>
      <c r="X2293" s="602"/>
      <c r="Y2293" s="637"/>
      <c r="Z2293" s="637"/>
      <c r="AA2293" s="637"/>
      <c r="AB2293" s="1295"/>
      <c r="AC2293" s="637"/>
      <c r="AD2293" s="659"/>
      <c r="AE2293" s="494"/>
      <c r="AF2293" s="494"/>
      <c r="AG2293" s="637"/>
      <c r="AH2293" s="637"/>
      <c r="AI2293" s="602"/>
      <c r="AJ2293" s="602"/>
      <c r="AK2293" s="602"/>
      <c r="AL2293" s="205"/>
      <c r="AM2293" s="205"/>
      <c r="AN2293" s="202"/>
      <c r="AO2293" s="196"/>
      <c r="AP2293" s="192"/>
      <c r="AQ2293" s="192"/>
      <c r="AR2293" s="192"/>
      <c r="AS2293" s="192"/>
      <c r="AT2293" s="192"/>
    </row>
    <row r="2294" spans="1:46" ht="39" customHeight="1" x14ac:dyDescent="0.3">
      <c r="A2294" s="1468">
        <v>2293</v>
      </c>
      <c r="B2294" s="161">
        <v>9</v>
      </c>
      <c r="C2294" s="933" t="s">
        <v>305</v>
      </c>
      <c r="D2294" s="851"/>
      <c r="E2294" s="851"/>
      <c r="F2294" s="851"/>
      <c r="G2294" s="852" t="s">
        <v>833</v>
      </c>
      <c r="H2294" s="852" t="s">
        <v>283</v>
      </c>
      <c r="I2294" s="643"/>
      <c r="J2294" s="281">
        <v>410</v>
      </c>
      <c r="K2294" s="216"/>
      <c r="L2294" s="216"/>
      <c r="M2294" s="250"/>
      <c r="N2294" s="245"/>
      <c r="O2294" s="216"/>
      <c r="P2294" s="294"/>
      <c r="Q2294" s="312"/>
      <c r="R2294" s="1494" t="s">
        <v>66</v>
      </c>
      <c r="S2294" s="279"/>
      <c r="T2294" s="197"/>
      <c r="U2294" s="250"/>
      <c r="V2294" s="250"/>
      <c r="W2294" s="197"/>
      <c r="X2294" s="197"/>
      <c r="Y2294" s="981"/>
      <c r="Z2294" s="252"/>
      <c r="AA2294" s="252"/>
      <c r="AB2294" s="252"/>
      <c r="AC2294" s="223"/>
      <c r="AD2294" s="281"/>
      <c r="AE2294" s="494"/>
      <c r="AF2294" s="494"/>
      <c r="AG2294" s="241"/>
      <c r="AH2294" s="283"/>
      <c r="AI2294" s="254"/>
      <c r="AJ2294" s="317"/>
      <c r="AK2294" s="644">
        <v>2</v>
      </c>
      <c r="AL2294" s="882" t="s">
        <v>834</v>
      </c>
      <c r="AM2294" s="169" t="s">
        <v>3483</v>
      </c>
      <c r="AN2294" s="903"/>
      <c r="AO2294" s="904"/>
      <c r="AR2294" s="115"/>
    </row>
    <row r="2295" spans="1:46" s="827" customFormat="1" ht="39" customHeight="1" x14ac:dyDescent="0.3">
      <c r="A2295" s="1468">
        <v>2294</v>
      </c>
      <c r="B2295" s="161"/>
      <c r="C2295" s="659"/>
      <c r="D2295" s="637"/>
      <c r="E2295" s="637"/>
      <c r="F2295" s="637"/>
      <c r="G2295" s="602"/>
      <c r="H2295" s="602"/>
      <c r="I2295" s="637"/>
      <c r="J2295" s="637"/>
      <c r="K2295" s="637"/>
      <c r="L2295" s="602"/>
      <c r="M2295" s="602"/>
      <c r="N2295" s="637"/>
      <c r="O2295" s="602"/>
      <c r="P2295" s="230" t="s">
        <v>935</v>
      </c>
      <c r="Q2295" s="637"/>
      <c r="R2295" s="1209"/>
      <c r="S2295" s="279"/>
      <c r="T2295" s="637"/>
      <c r="U2295" s="250"/>
      <c r="V2295" s="637"/>
      <c r="W2295" s="602"/>
      <c r="X2295" s="602"/>
      <c r="Y2295" s="637"/>
      <c r="Z2295" s="637"/>
      <c r="AA2295" s="637"/>
      <c r="AB2295" s="1295"/>
      <c r="AC2295" s="637"/>
      <c r="AD2295" s="659"/>
      <c r="AE2295" s="494"/>
      <c r="AF2295" s="494"/>
      <c r="AG2295" s="637"/>
      <c r="AH2295" s="637"/>
      <c r="AI2295" s="602"/>
      <c r="AJ2295" s="602"/>
      <c r="AK2295" s="602"/>
      <c r="AL2295" s="748"/>
      <c r="AM2295" s="748"/>
      <c r="AN2295" s="202"/>
      <c r="AO2295" s="196"/>
      <c r="AP2295" s="192"/>
      <c r="AQ2295" s="192"/>
      <c r="AR2295" s="192"/>
      <c r="AS2295" s="192"/>
      <c r="AT2295" s="192"/>
    </row>
    <row r="2296" spans="1:46" ht="39" customHeight="1" x14ac:dyDescent="0.3">
      <c r="A2296" s="1468">
        <v>2295</v>
      </c>
      <c r="B2296" s="161">
        <v>7</v>
      </c>
      <c r="C2296" s="934" t="s">
        <v>374</v>
      </c>
      <c r="D2296" s="864"/>
      <c r="E2296" s="864"/>
      <c r="F2296" s="864"/>
      <c r="G2296" s="846" t="s">
        <v>835</v>
      </c>
      <c r="H2296" s="846" t="s">
        <v>132</v>
      </c>
      <c r="I2296" s="642"/>
      <c r="J2296" s="256">
        <v>403</v>
      </c>
      <c r="K2296" s="216" t="s">
        <v>144</v>
      </c>
      <c r="L2296" s="256" t="s">
        <v>1182</v>
      </c>
      <c r="M2296" s="256" t="s">
        <v>1182</v>
      </c>
      <c r="N2296" s="245"/>
      <c r="O2296" s="216" t="s">
        <v>1183</v>
      </c>
      <c r="P2296" s="247"/>
      <c r="Q2296" s="344" t="s">
        <v>519</v>
      </c>
      <c r="R2296" s="1503" t="s">
        <v>1184</v>
      </c>
      <c r="S2296" s="279">
        <v>35503</v>
      </c>
      <c r="T2296" s="250"/>
      <c r="U2296" s="251" t="s">
        <v>54</v>
      </c>
      <c r="V2296" s="197" t="s">
        <v>141</v>
      </c>
      <c r="W2296" s="197" t="s">
        <v>56</v>
      </c>
      <c r="X2296" s="197" t="s">
        <v>57</v>
      </c>
      <c r="Y2296" s="197" t="s">
        <v>951</v>
      </c>
      <c r="Z2296" s="246">
        <v>44851</v>
      </c>
      <c r="AA2296" s="250"/>
      <c r="AB2296" s="241"/>
      <c r="AC2296" s="223" t="s">
        <v>946</v>
      </c>
      <c r="AD2296" s="241"/>
      <c r="AE2296" s="494">
        <v>44533</v>
      </c>
      <c r="AF2296" s="494">
        <v>44897</v>
      </c>
      <c r="AG2296" s="241" t="s">
        <v>61</v>
      </c>
      <c r="AH2296" s="253"/>
      <c r="AI2296" s="284"/>
      <c r="AJ2296" s="348" t="s">
        <v>560</v>
      </c>
      <c r="AK2296" s="1514">
        <v>3</v>
      </c>
      <c r="AL2296" s="169" t="s">
        <v>834</v>
      </c>
      <c r="AM2296" s="169" t="s">
        <v>3483</v>
      </c>
      <c r="AN2296" s="200"/>
      <c r="AO2296" s="193"/>
      <c r="AR2296" s="115"/>
    </row>
    <row r="2297" spans="1:46" ht="39" customHeight="1" x14ac:dyDescent="0.3">
      <c r="A2297" s="1468">
        <v>2296</v>
      </c>
      <c r="B2297" s="161">
        <v>3</v>
      </c>
      <c r="C2297" s="358" t="s">
        <v>436</v>
      </c>
      <c r="D2297" s="595"/>
      <c r="E2297" s="595"/>
      <c r="F2297" s="595"/>
      <c r="G2297" s="392" t="s">
        <v>836</v>
      </c>
      <c r="H2297" s="262" t="s">
        <v>85</v>
      </c>
      <c r="I2297" s="595"/>
      <c r="J2297" s="245" t="s">
        <v>556</v>
      </c>
      <c r="K2297" s="595"/>
      <c r="L2297" s="281" t="s">
        <v>1685</v>
      </c>
      <c r="M2297" s="281" t="s">
        <v>1527</v>
      </c>
      <c r="N2297" s="366"/>
      <c r="O2297" s="392" t="s">
        <v>3012</v>
      </c>
      <c r="P2297" s="402"/>
      <c r="Q2297" s="301" t="s">
        <v>570</v>
      </c>
      <c r="R2297" s="1494" t="s">
        <v>1700</v>
      </c>
      <c r="S2297" s="279"/>
      <c r="T2297" s="197"/>
      <c r="U2297" s="250"/>
      <c r="V2297" s="197"/>
      <c r="W2297" s="299" t="s">
        <v>3589</v>
      </c>
      <c r="X2297" s="197"/>
      <c r="Y2297" s="245"/>
      <c r="Z2297" s="246"/>
      <c r="AA2297" s="246"/>
      <c r="AB2297" s="288" t="s">
        <v>4562</v>
      </c>
      <c r="AC2297" s="223" t="s">
        <v>946</v>
      </c>
      <c r="AD2297" s="376"/>
      <c r="AE2297" s="494">
        <v>45110</v>
      </c>
      <c r="AF2297" s="494">
        <v>45475</v>
      </c>
      <c r="AG2297" s="241"/>
      <c r="AH2297" s="283"/>
      <c r="AI2297" s="254" t="s">
        <v>1351</v>
      </c>
      <c r="AJ2297" s="303" t="s">
        <v>136</v>
      </c>
      <c r="AK2297" s="241">
        <v>4</v>
      </c>
      <c r="AL2297" s="121" t="s">
        <v>834</v>
      </c>
      <c r="AM2297" s="169" t="s">
        <v>3483</v>
      </c>
      <c r="AN2297" s="199"/>
      <c r="AO2297" s="190"/>
      <c r="AR2297" s="115"/>
    </row>
    <row r="2298" spans="1:46" ht="39" customHeight="1" x14ac:dyDescent="0.3">
      <c r="A2298" s="1468">
        <v>2297</v>
      </c>
      <c r="B2298" s="161">
        <v>2</v>
      </c>
      <c r="C2298" s="358" t="s">
        <v>809</v>
      </c>
      <c r="D2298" s="595"/>
      <c r="E2298" s="595"/>
      <c r="F2298" s="595"/>
      <c r="G2298" s="392" t="s">
        <v>631</v>
      </c>
      <c r="H2298" s="262" t="s">
        <v>87</v>
      </c>
      <c r="I2298" s="595"/>
      <c r="J2298" s="245" t="s">
        <v>561</v>
      </c>
      <c r="K2298" s="216"/>
      <c r="L2298" s="301" t="s">
        <v>1678</v>
      </c>
      <c r="M2298" s="281" t="s">
        <v>3578</v>
      </c>
      <c r="N2298" s="245"/>
      <c r="O2298" s="392" t="s">
        <v>3134</v>
      </c>
      <c r="P2298" s="294"/>
      <c r="Q2298" s="197" t="s">
        <v>85</v>
      </c>
      <c r="R2298" s="1494" t="s">
        <v>1362</v>
      </c>
      <c r="S2298" s="279">
        <v>38404</v>
      </c>
      <c r="T2298" s="197"/>
      <c r="U2298" s="250"/>
      <c r="V2298" s="197"/>
      <c r="W2298" s="250"/>
      <c r="X2298" s="250"/>
      <c r="Y2298" s="252"/>
      <c r="Z2298" s="252"/>
      <c r="AA2298" s="252"/>
      <c r="AB2298" s="250" t="s">
        <v>4563</v>
      </c>
      <c r="AC2298" s="223" t="s">
        <v>946</v>
      </c>
      <c r="AD2298" s="281"/>
      <c r="AE2298" s="494">
        <v>45068</v>
      </c>
      <c r="AF2298" s="494">
        <v>45433</v>
      </c>
      <c r="AG2298" s="241"/>
      <c r="AH2298" s="283"/>
      <c r="AI2298" s="254" t="s">
        <v>1351</v>
      </c>
      <c r="AJ2298" s="303" t="s">
        <v>136</v>
      </c>
      <c r="AK2298" s="241">
        <v>4</v>
      </c>
      <c r="AL2298" s="121" t="s">
        <v>834</v>
      </c>
      <c r="AM2298" s="169" t="s">
        <v>3483</v>
      </c>
      <c r="AN2298" s="199"/>
      <c r="AO2298" s="190"/>
      <c r="AR2298" s="115"/>
    </row>
    <row r="2299" spans="1:46" ht="39" customHeight="1" x14ac:dyDescent="0.3">
      <c r="A2299" s="1468">
        <v>2298</v>
      </c>
      <c r="B2299" s="161">
        <v>2</v>
      </c>
      <c r="C2299" s="358" t="s">
        <v>809</v>
      </c>
      <c r="D2299" s="595"/>
      <c r="E2299" s="595"/>
      <c r="F2299" s="595"/>
      <c r="G2299" s="392" t="s">
        <v>631</v>
      </c>
      <c r="H2299" s="262" t="s">
        <v>87</v>
      </c>
      <c r="I2299" s="595"/>
      <c r="J2299" s="245" t="s">
        <v>561</v>
      </c>
      <c r="K2299" s="1486" t="s">
        <v>313</v>
      </c>
      <c r="L2299" s="277" t="s">
        <v>4853</v>
      </c>
      <c r="M2299" s="277" t="s">
        <v>4853</v>
      </c>
      <c r="N2299" s="299"/>
      <c r="O2299" s="1486" t="s">
        <v>4909</v>
      </c>
      <c r="P2299" s="300"/>
      <c r="Q2299" s="301" t="s">
        <v>87</v>
      </c>
      <c r="R2299" s="1494" t="s">
        <v>4867</v>
      </c>
      <c r="S2299" s="279">
        <v>38630</v>
      </c>
      <c r="T2299" s="197"/>
      <c r="U2299" s="250"/>
      <c r="V2299" s="1486"/>
      <c r="W2299" s="1486"/>
      <c r="X2299" s="1486"/>
      <c r="Y2299" s="288"/>
      <c r="Z2299" s="612"/>
      <c r="AA2299" s="246"/>
      <c r="AB2299" s="288" t="s">
        <v>4910</v>
      </c>
      <c r="AC2299" s="1486" t="s">
        <v>482</v>
      </c>
      <c r="AD2299" s="288" t="s">
        <v>467</v>
      </c>
      <c r="AE2299" s="494">
        <v>45244</v>
      </c>
      <c r="AF2299" s="494">
        <v>45609</v>
      </c>
      <c r="AG2299" s="241"/>
      <c r="AH2299" s="283"/>
      <c r="AI2299" s="254" t="s">
        <v>4208</v>
      </c>
      <c r="AJ2299" s="303" t="s">
        <v>136</v>
      </c>
      <c r="AK2299" s="241">
        <v>4</v>
      </c>
      <c r="AL2299" s="121" t="s">
        <v>834</v>
      </c>
      <c r="AM2299" s="169" t="s">
        <v>3483</v>
      </c>
      <c r="AN2299" s="199"/>
      <c r="AO2299" s="190"/>
      <c r="AR2299" s="115"/>
    </row>
    <row r="2300" spans="1:46" ht="39" customHeight="1" x14ac:dyDescent="0.3">
      <c r="A2300" s="1468">
        <v>2299</v>
      </c>
      <c r="B2300" s="161">
        <v>2</v>
      </c>
      <c r="C2300" s="358" t="s">
        <v>809</v>
      </c>
      <c r="D2300" s="595"/>
      <c r="E2300" s="595"/>
      <c r="F2300" s="595"/>
      <c r="G2300" s="392" t="s">
        <v>357</v>
      </c>
      <c r="H2300" s="262" t="s">
        <v>87</v>
      </c>
      <c r="I2300" s="595"/>
      <c r="J2300" s="245" t="s">
        <v>561</v>
      </c>
      <c r="K2300" s="288" t="s">
        <v>158</v>
      </c>
      <c r="L2300" s="277" t="s">
        <v>4641</v>
      </c>
      <c r="M2300" s="277" t="s">
        <v>4641</v>
      </c>
      <c r="N2300" s="595"/>
      <c r="O2300" s="1263" t="s">
        <v>4714</v>
      </c>
      <c r="P2300" s="595"/>
      <c r="Q2300" s="301" t="s">
        <v>87</v>
      </c>
      <c r="R2300" s="1494" t="s">
        <v>4671</v>
      </c>
      <c r="S2300" s="279">
        <v>37923</v>
      </c>
      <c r="T2300" s="595"/>
      <c r="U2300" s="250"/>
      <c r="V2300" s="216"/>
      <c r="W2300" s="1260"/>
      <c r="X2300" s="1260"/>
      <c r="Y2300" s="288"/>
      <c r="Z2300" s="612"/>
      <c r="AA2300" s="595"/>
      <c r="AB2300" s="288" t="s">
        <v>4715</v>
      </c>
      <c r="AC2300" s="1263" t="s">
        <v>946</v>
      </c>
      <c r="AD2300" s="281" t="s">
        <v>467</v>
      </c>
      <c r="AE2300" s="494">
        <v>45239</v>
      </c>
      <c r="AF2300" s="494">
        <v>45604</v>
      </c>
      <c r="AG2300" s="595"/>
      <c r="AH2300" s="595"/>
      <c r="AI2300" s="254" t="s">
        <v>4208</v>
      </c>
      <c r="AJ2300" s="303" t="s">
        <v>136</v>
      </c>
      <c r="AK2300" s="241">
        <v>4</v>
      </c>
      <c r="AL2300" s="121" t="s">
        <v>834</v>
      </c>
      <c r="AM2300" s="169" t="s">
        <v>3483</v>
      </c>
      <c r="AN2300" s="147" t="s">
        <v>5790</v>
      </c>
      <c r="AO2300" s="190"/>
      <c r="AR2300" s="115"/>
    </row>
    <row r="2301" spans="1:46" ht="39" customHeight="1" x14ac:dyDescent="0.3">
      <c r="A2301" s="1468">
        <v>2300</v>
      </c>
      <c r="B2301" s="161">
        <v>2</v>
      </c>
      <c r="C2301" s="1136" t="s">
        <v>837</v>
      </c>
      <c r="D2301" s="595"/>
      <c r="E2301" s="595"/>
      <c r="F2301" s="595"/>
      <c r="G2301" s="1513" t="s">
        <v>838</v>
      </c>
      <c r="H2301" s="262" t="s">
        <v>87</v>
      </c>
      <c r="I2301" s="595"/>
      <c r="J2301" s="245" t="s">
        <v>561</v>
      </c>
      <c r="K2301" s="216"/>
      <c r="L2301" s="281"/>
      <c r="M2301" s="281"/>
      <c r="N2301" s="366"/>
      <c r="O2301" s="1513" t="s">
        <v>3462</v>
      </c>
      <c r="P2301" s="402" t="s">
        <v>1828</v>
      </c>
      <c r="Q2301" s="709" t="s">
        <v>87</v>
      </c>
      <c r="R2301" s="1503" t="s">
        <v>3461</v>
      </c>
      <c r="S2301" s="279">
        <v>27701</v>
      </c>
      <c r="T2301" s="306"/>
      <c r="U2301" s="251" t="s">
        <v>54</v>
      </c>
      <c r="V2301" s="197" t="s">
        <v>5512</v>
      </c>
      <c r="W2301" s="250" t="s">
        <v>56</v>
      </c>
      <c r="X2301" s="197" t="s">
        <v>57</v>
      </c>
      <c r="Y2301" s="197" t="s">
        <v>5726</v>
      </c>
      <c r="Z2301" s="246">
        <v>45272</v>
      </c>
      <c r="AA2301" s="289"/>
      <c r="AB2301" s="299"/>
      <c r="AC2301" s="223"/>
      <c r="AD2301" s="299"/>
      <c r="AE2301" s="494"/>
      <c r="AF2301" s="494"/>
      <c r="AG2301" s="299"/>
      <c r="AH2301" s="299"/>
      <c r="AI2301" s="296"/>
      <c r="AJ2301" s="348" t="s">
        <v>560</v>
      </c>
      <c r="AK2301" s="241">
        <v>4</v>
      </c>
      <c r="AL2301" s="121" t="s">
        <v>834</v>
      </c>
      <c r="AM2301" s="169" t="s">
        <v>3483</v>
      </c>
      <c r="AN2301" s="147"/>
      <c r="AO2301" s="190"/>
      <c r="AR2301" s="115"/>
    </row>
    <row r="2302" spans="1:46" ht="39" customHeight="1" x14ac:dyDescent="0.3">
      <c r="A2302" s="1468">
        <v>2301</v>
      </c>
      <c r="B2302" s="161">
        <v>2</v>
      </c>
      <c r="C2302" s="501" t="s">
        <v>413</v>
      </c>
      <c r="D2302" s="595"/>
      <c r="E2302" s="595"/>
      <c r="F2302" s="595"/>
      <c r="G2302" s="392" t="s">
        <v>354</v>
      </c>
      <c r="H2302" s="262" t="s">
        <v>87</v>
      </c>
      <c r="I2302" s="595"/>
      <c r="J2302" s="245" t="s">
        <v>561</v>
      </c>
      <c r="K2302" s="1485" t="s">
        <v>313</v>
      </c>
      <c r="L2302" s="277" t="s">
        <v>4853</v>
      </c>
      <c r="M2302" s="277" t="s">
        <v>4853</v>
      </c>
      <c r="N2302" s="299"/>
      <c r="O2302" s="1485" t="s">
        <v>4904</v>
      </c>
      <c r="P2302" s="300"/>
      <c r="Q2302" s="301" t="s">
        <v>87</v>
      </c>
      <c r="R2302" s="1494" t="s">
        <v>4863</v>
      </c>
      <c r="S2302" s="279">
        <v>38169</v>
      </c>
      <c r="T2302" s="684"/>
      <c r="U2302" s="250"/>
      <c r="V2302" s="1485"/>
      <c r="W2302" s="1485"/>
      <c r="X2302" s="1485"/>
      <c r="Y2302" s="288"/>
      <c r="Z2302" s="612"/>
      <c r="AA2302" s="684"/>
      <c r="AB2302" s="288" t="s">
        <v>4905</v>
      </c>
      <c r="AC2302" s="626" t="s">
        <v>946</v>
      </c>
      <c r="AD2302" s="288" t="s">
        <v>467</v>
      </c>
      <c r="AE2302" s="494">
        <v>45245</v>
      </c>
      <c r="AF2302" s="494">
        <v>45610</v>
      </c>
      <c r="AG2302" s="684"/>
      <c r="AH2302" s="684"/>
      <c r="AI2302" s="254" t="s">
        <v>4208</v>
      </c>
      <c r="AJ2302" s="303" t="s">
        <v>136</v>
      </c>
      <c r="AK2302" s="241">
        <v>4</v>
      </c>
      <c r="AL2302" s="121" t="s">
        <v>834</v>
      </c>
      <c r="AM2302" s="169" t="s">
        <v>3483</v>
      </c>
      <c r="AN2302" s="147" t="s">
        <v>5788</v>
      </c>
      <c r="AO2302" s="190"/>
      <c r="AR2302" s="115"/>
      <c r="AS2302" s="115"/>
      <c r="AT2302" s="115"/>
    </row>
    <row r="2303" spans="1:46" ht="39" customHeight="1" x14ac:dyDescent="0.3">
      <c r="A2303" s="1468">
        <v>2302</v>
      </c>
      <c r="B2303" s="161">
        <v>2</v>
      </c>
      <c r="C2303" s="504" t="s">
        <v>413</v>
      </c>
      <c r="D2303" s="640"/>
      <c r="E2303" s="640"/>
      <c r="F2303" s="640"/>
      <c r="G2303" s="626" t="s">
        <v>354</v>
      </c>
      <c r="H2303" s="262" t="s">
        <v>87</v>
      </c>
      <c r="I2303" s="640"/>
      <c r="J2303" s="245" t="s">
        <v>561</v>
      </c>
      <c r="K2303" s="595"/>
      <c r="L2303" s="288" t="s">
        <v>5144</v>
      </c>
      <c r="M2303" s="288" t="s">
        <v>5144</v>
      </c>
      <c r="N2303" s="595"/>
      <c r="O2303" s="1485" t="s">
        <v>5335</v>
      </c>
      <c r="P2303" s="595"/>
      <c r="Q2303" s="1485" t="s">
        <v>87</v>
      </c>
      <c r="R2303" s="1494" t="s">
        <v>5334</v>
      </c>
      <c r="S2303" s="279">
        <v>37754</v>
      </c>
      <c r="T2303" s="595"/>
      <c r="U2303" s="250"/>
      <c r="V2303" s="197"/>
      <c r="W2303" s="250"/>
      <c r="X2303" s="197"/>
      <c r="Y2303" s="197"/>
      <c r="Z2303" s="246"/>
      <c r="AA2303" s="252"/>
      <c r="AB2303" s="301"/>
      <c r="AC2303" s="223"/>
      <c r="AD2303" s="245" t="s">
        <v>467</v>
      </c>
      <c r="AE2303" s="494"/>
      <c r="AF2303" s="494"/>
      <c r="AG2303" s="301"/>
      <c r="AH2303" s="301"/>
      <c r="AI2303" s="254" t="s">
        <v>4208</v>
      </c>
      <c r="AJ2303" s="303" t="s">
        <v>136</v>
      </c>
      <c r="AK2303" s="471">
        <v>4</v>
      </c>
      <c r="AL2303" s="166" t="s">
        <v>834</v>
      </c>
      <c r="AM2303" s="169" t="s">
        <v>3483</v>
      </c>
      <c r="AN2303" s="147" t="s">
        <v>5787</v>
      </c>
      <c r="AO2303" s="194"/>
      <c r="AR2303" s="115"/>
      <c r="AS2303" s="115"/>
      <c r="AT2303" s="115"/>
    </row>
    <row r="2304" spans="1:46" ht="39" customHeight="1" x14ac:dyDescent="0.3">
      <c r="A2304" s="1468">
        <v>2303</v>
      </c>
      <c r="B2304" s="161">
        <v>2</v>
      </c>
      <c r="C2304" s="504" t="s">
        <v>839</v>
      </c>
      <c r="D2304" s="640"/>
      <c r="E2304" s="640"/>
      <c r="F2304" s="640"/>
      <c r="G2304" s="626" t="s">
        <v>354</v>
      </c>
      <c r="H2304" s="262" t="s">
        <v>87</v>
      </c>
      <c r="I2304" s="640"/>
      <c r="J2304" s="245" t="s">
        <v>561</v>
      </c>
      <c r="K2304" s="626" t="s">
        <v>158</v>
      </c>
      <c r="L2304" s="277" t="s">
        <v>4853</v>
      </c>
      <c r="M2304" s="277" t="s">
        <v>4853</v>
      </c>
      <c r="N2304" s="299"/>
      <c r="O2304" s="1288" t="s">
        <v>4918</v>
      </c>
      <c r="P2304" s="300"/>
      <c r="Q2304" s="301" t="s">
        <v>87</v>
      </c>
      <c r="R2304" s="1494" t="s">
        <v>4872</v>
      </c>
      <c r="S2304" s="279">
        <v>37796</v>
      </c>
      <c r="T2304" s="640"/>
      <c r="U2304" s="250"/>
      <c r="V2304" s="1287"/>
      <c r="W2304" s="1287"/>
      <c r="X2304" s="1287"/>
      <c r="Y2304" s="288"/>
      <c r="Z2304" s="612"/>
      <c r="AA2304" s="640"/>
      <c r="AB2304" s="288" t="s">
        <v>4357</v>
      </c>
      <c r="AC2304" s="626" t="s">
        <v>946</v>
      </c>
      <c r="AD2304" s="288" t="s">
        <v>467</v>
      </c>
      <c r="AE2304" s="494">
        <v>45246</v>
      </c>
      <c r="AF2304" s="494">
        <v>45611</v>
      </c>
      <c r="AG2304" s="640"/>
      <c r="AH2304" s="640"/>
      <c r="AI2304" s="254" t="s">
        <v>4208</v>
      </c>
      <c r="AJ2304" s="303" t="s">
        <v>136</v>
      </c>
      <c r="AK2304" s="471">
        <v>4</v>
      </c>
      <c r="AL2304" s="166" t="s">
        <v>834</v>
      </c>
      <c r="AM2304" s="169" t="s">
        <v>3483</v>
      </c>
      <c r="AN2304" s="147" t="s">
        <v>5789</v>
      </c>
      <c r="AO2304" s="194"/>
      <c r="AR2304" s="115"/>
      <c r="AS2304" s="115"/>
      <c r="AT2304" s="115"/>
    </row>
    <row r="2305" spans="1:46" s="827" customFormat="1" ht="39" customHeight="1" x14ac:dyDescent="0.3">
      <c r="A2305" s="1468">
        <v>2304</v>
      </c>
      <c r="B2305" s="161"/>
      <c r="C2305" s="659"/>
      <c r="D2305" s="637"/>
      <c r="E2305" s="637"/>
      <c r="F2305" s="637"/>
      <c r="G2305" s="602"/>
      <c r="H2305" s="602"/>
      <c r="I2305" s="637"/>
      <c r="J2305" s="637"/>
      <c r="K2305" s="637"/>
      <c r="L2305" s="602"/>
      <c r="M2305" s="602"/>
      <c r="N2305" s="637"/>
      <c r="O2305" s="602"/>
      <c r="P2305" s="230" t="s">
        <v>936</v>
      </c>
      <c r="Q2305" s="637"/>
      <c r="R2305" s="1209"/>
      <c r="S2305" s="279"/>
      <c r="T2305" s="637"/>
      <c r="U2305" s="250"/>
      <c r="V2305" s="637"/>
      <c r="W2305" s="602"/>
      <c r="X2305" s="602"/>
      <c r="Y2305" s="637"/>
      <c r="Z2305" s="637"/>
      <c r="AA2305" s="637"/>
      <c r="AB2305" s="1295"/>
      <c r="AC2305" s="637"/>
      <c r="AD2305" s="659"/>
      <c r="AE2305" s="494"/>
      <c r="AF2305" s="494"/>
      <c r="AG2305" s="637"/>
      <c r="AH2305" s="637"/>
      <c r="AI2305" s="602"/>
      <c r="AJ2305" s="602"/>
      <c r="AK2305" s="602"/>
      <c r="AL2305" s="205"/>
      <c r="AM2305" s="205"/>
      <c r="AN2305" s="202"/>
      <c r="AO2305" s="196"/>
      <c r="AP2305" s="192"/>
      <c r="AQ2305" s="192"/>
      <c r="AR2305" s="192"/>
      <c r="AS2305" s="192"/>
      <c r="AT2305" s="192"/>
    </row>
    <row r="2306" spans="1:46" ht="39" customHeight="1" x14ac:dyDescent="0.3">
      <c r="A2306" s="1468">
        <v>2305</v>
      </c>
      <c r="B2306" s="161">
        <v>5</v>
      </c>
      <c r="C2306" s="934" t="s">
        <v>762</v>
      </c>
      <c r="D2306" s="864"/>
      <c r="E2306" s="864"/>
      <c r="F2306" s="864"/>
      <c r="G2306" s="846" t="s">
        <v>840</v>
      </c>
      <c r="H2306" s="846" t="s">
        <v>132</v>
      </c>
      <c r="I2306" s="642"/>
      <c r="J2306" s="256">
        <v>403</v>
      </c>
      <c r="K2306" s="1486"/>
      <c r="L2306" s="277"/>
      <c r="M2306" s="277"/>
      <c r="N2306" s="299"/>
      <c r="O2306" s="1486"/>
      <c r="P2306" s="300"/>
      <c r="Q2306" s="301"/>
      <c r="R2306" s="1494" t="s">
        <v>66</v>
      </c>
      <c r="S2306" s="279"/>
      <c r="T2306" s="197"/>
      <c r="U2306" s="250"/>
      <c r="V2306" s="1486"/>
      <c r="W2306" s="1486"/>
      <c r="X2306" s="1486"/>
      <c r="Y2306" s="288"/>
      <c r="Z2306" s="612"/>
      <c r="AA2306" s="246"/>
      <c r="AB2306" s="288"/>
      <c r="AC2306" s="1486"/>
      <c r="AD2306" s="288"/>
      <c r="AE2306" s="494"/>
      <c r="AF2306" s="494"/>
      <c r="AG2306" s="241"/>
      <c r="AH2306" s="283"/>
      <c r="AI2306" s="254"/>
      <c r="AJ2306" s="303"/>
      <c r="AK2306" s="625">
        <v>3</v>
      </c>
      <c r="AL2306" s="169" t="s">
        <v>834</v>
      </c>
      <c r="AM2306" s="169" t="s">
        <v>3483</v>
      </c>
      <c r="AN2306" s="200"/>
      <c r="AO2306" s="193"/>
      <c r="AR2306" s="115"/>
    </row>
    <row r="2307" spans="1:46" ht="39" customHeight="1" x14ac:dyDescent="0.3">
      <c r="A2307" s="1468">
        <v>2306</v>
      </c>
      <c r="B2307" s="161">
        <v>2</v>
      </c>
      <c r="C2307" s="1100" t="s">
        <v>809</v>
      </c>
      <c r="D2307" s="595"/>
      <c r="E2307" s="595"/>
      <c r="F2307" s="595"/>
      <c r="G2307" s="392" t="s">
        <v>631</v>
      </c>
      <c r="H2307" s="262" t="s">
        <v>87</v>
      </c>
      <c r="I2307" s="595"/>
      <c r="J2307" s="245" t="s">
        <v>561</v>
      </c>
      <c r="K2307" s="288" t="s">
        <v>158</v>
      </c>
      <c r="L2307" s="216" t="s">
        <v>4641</v>
      </c>
      <c r="M2307" s="216" t="s">
        <v>4641</v>
      </c>
      <c r="N2307" s="281"/>
      <c r="O2307" s="216" t="s">
        <v>4645</v>
      </c>
      <c r="P2307" s="372"/>
      <c r="Q2307" s="282" t="s">
        <v>87</v>
      </c>
      <c r="R2307" s="1494" t="s">
        <v>4644</v>
      </c>
      <c r="S2307" s="279">
        <v>37764</v>
      </c>
      <c r="T2307" s="197"/>
      <c r="U2307" s="250"/>
      <c r="V2307" s="216"/>
      <c r="W2307" s="1533"/>
      <c r="X2307" s="1533"/>
      <c r="Y2307" s="288"/>
      <c r="Z2307" s="612"/>
      <c r="AA2307" s="344"/>
      <c r="AB2307" s="281" t="s">
        <v>4678</v>
      </c>
      <c r="AC2307" s="1533" t="s">
        <v>946</v>
      </c>
      <c r="AD2307" s="281" t="s">
        <v>467</v>
      </c>
      <c r="AE2307" s="494">
        <v>45238</v>
      </c>
      <c r="AF2307" s="494">
        <v>45603</v>
      </c>
      <c r="AG2307" s="241"/>
      <c r="AH2307" s="281"/>
      <c r="AI2307" s="254" t="s">
        <v>4208</v>
      </c>
      <c r="AJ2307" s="303" t="s">
        <v>136</v>
      </c>
      <c r="AK2307" s="241">
        <v>4</v>
      </c>
      <c r="AL2307" s="121" t="s">
        <v>834</v>
      </c>
      <c r="AM2307" s="169" t="s">
        <v>3483</v>
      </c>
      <c r="AN2307" s="199"/>
      <c r="AO2307" s="190"/>
      <c r="AR2307" s="115"/>
    </row>
    <row r="2308" spans="1:46" ht="39" customHeight="1" x14ac:dyDescent="0.3">
      <c r="A2308" s="1468">
        <v>2307</v>
      </c>
      <c r="B2308" s="161">
        <v>2</v>
      </c>
      <c r="C2308" s="504" t="s">
        <v>413</v>
      </c>
      <c r="D2308" s="832"/>
      <c r="E2308" s="832"/>
      <c r="F2308" s="832"/>
      <c r="G2308" s="268" t="s">
        <v>354</v>
      </c>
      <c r="H2308" s="262" t="s">
        <v>87</v>
      </c>
      <c r="I2308" s="640"/>
      <c r="J2308" s="245" t="s">
        <v>561</v>
      </c>
      <c r="K2308" s="1288" t="s">
        <v>313</v>
      </c>
      <c r="L2308" s="277" t="s">
        <v>4853</v>
      </c>
      <c r="M2308" s="277" t="s">
        <v>4853</v>
      </c>
      <c r="N2308" s="299"/>
      <c r="O2308" s="1288" t="s">
        <v>4920</v>
      </c>
      <c r="P2308" s="300"/>
      <c r="Q2308" s="301" t="s">
        <v>87</v>
      </c>
      <c r="R2308" s="1494" t="s">
        <v>4873</v>
      </c>
      <c r="S2308" s="279">
        <v>38611</v>
      </c>
      <c r="T2308" s="641"/>
      <c r="U2308" s="250"/>
      <c r="V2308" s="1287"/>
      <c r="W2308" s="1287"/>
      <c r="X2308" s="1287"/>
      <c r="Y2308" s="197"/>
      <c r="Z2308" s="612"/>
      <c r="AA2308" s="640"/>
      <c r="AB2308" s="288" t="s">
        <v>4919</v>
      </c>
      <c r="AC2308" s="626" t="s">
        <v>946</v>
      </c>
      <c r="AD2308" s="288" t="s">
        <v>467</v>
      </c>
      <c r="AE2308" s="494">
        <v>45244</v>
      </c>
      <c r="AF2308" s="494">
        <v>45609</v>
      </c>
      <c r="AG2308" s="640"/>
      <c r="AH2308" s="640"/>
      <c r="AI2308" s="254" t="s">
        <v>4208</v>
      </c>
      <c r="AJ2308" s="303" t="s">
        <v>136</v>
      </c>
      <c r="AK2308" s="471">
        <v>4</v>
      </c>
      <c r="AL2308" s="166" t="s">
        <v>834</v>
      </c>
      <c r="AM2308" s="169" t="s">
        <v>3483</v>
      </c>
      <c r="AN2308" s="147" t="s">
        <v>5788</v>
      </c>
      <c r="AO2308" s="194"/>
      <c r="AR2308" s="115"/>
      <c r="AS2308" s="115"/>
      <c r="AT2308" s="115"/>
    </row>
    <row r="2309" spans="1:46" s="827" customFormat="1" ht="39" customHeight="1" x14ac:dyDescent="0.3">
      <c r="A2309" s="1468">
        <v>2308</v>
      </c>
      <c r="B2309" s="161"/>
      <c r="C2309" s="659"/>
      <c r="D2309" s="637"/>
      <c r="E2309" s="637"/>
      <c r="F2309" s="637"/>
      <c r="G2309" s="602"/>
      <c r="H2309" s="602"/>
      <c r="I2309" s="637"/>
      <c r="J2309" s="637"/>
      <c r="K2309" s="637"/>
      <c r="L2309" s="602"/>
      <c r="M2309" s="602"/>
      <c r="N2309" s="637"/>
      <c r="O2309" s="602"/>
      <c r="P2309" s="230" t="s">
        <v>5868</v>
      </c>
      <c r="Q2309" s="637"/>
      <c r="R2309" s="1209"/>
      <c r="S2309" s="279"/>
      <c r="T2309" s="637"/>
      <c r="U2309" s="250"/>
      <c r="V2309" s="637"/>
      <c r="W2309" s="602"/>
      <c r="X2309" s="602"/>
      <c r="Y2309" s="637"/>
      <c r="Z2309" s="637"/>
      <c r="AA2309" s="637"/>
      <c r="AB2309" s="1295"/>
      <c r="AC2309" s="637"/>
      <c r="AD2309" s="659"/>
      <c r="AE2309" s="494"/>
      <c r="AF2309" s="494"/>
      <c r="AG2309" s="637"/>
      <c r="AH2309" s="637"/>
      <c r="AI2309" s="602"/>
      <c r="AJ2309" s="602"/>
      <c r="AK2309" s="602"/>
      <c r="AL2309" s="205"/>
      <c r="AM2309" s="205"/>
      <c r="AN2309" s="202"/>
      <c r="AO2309" s="196"/>
      <c r="AP2309" s="192"/>
      <c r="AQ2309" s="192"/>
      <c r="AR2309" s="192"/>
      <c r="AS2309" s="192"/>
      <c r="AT2309" s="192"/>
    </row>
    <row r="2310" spans="1:46" ht="39" customHeight="1" x14ac:dyDescent="0.3">
      <c r="A2310" s="1468">
        <v>2309</v>
      </c>
      <c r="B2310" s="161">
        <v>5</v>
      </c>
      <c r="C2310" s="934" t="s">
        <v>367</v>
      </c>
      <c r="D2310" s="864"/>
      <c r="E2310" s="864"/>
      <c r="F2310" s="864"/>
      <c r="G2310" s="846" t="s">
        <v>841</v>
      </c>
      <c r="H2310" s="846" t="s">
        <v>132</v>
      </c>
      <c r="I2310" s="642"/>
      <c r="J2310" s="256">
        <v>403</v>
      </c>
      <c r="K2310" s="288"/>
      <c r="L2310" s="216"/>
      <c r="M2310" s="216"/>
      <c r="N2310" s="281"/>
      <c r="O2310" s="216"/>
      <c r="P2310" s="372"/>
      <c r="Q2310" s="282"/>
      <c r="R2310" s="1494" t="s">
        <v>66</v>
      </c>
      <c r="S2310" s="279"/>
      <c r="T2310" s="197"/>
      <c r="U2310" s="250"/>
      <c r="V2310" s="216"/>
      <c r="W2310" s="1463"/>
      <c r="X2310" s="1463"/>
      <c r="Y2310" s="288"/>
      <c r="Z2310" s="612"/>
      <c r="AA2310" s="344"/>
      <c r="AB2310" s="281"/>
      <c r="AC2310" s="1463"/>
      <c r="AD2310" s="281"/>
      <c r="AE2310" s="494"/>
      <c r="AF2310" s="494"/>
      <c r="AG2310" s="241"/>
      <c r="AH2310" s="281"/>
      <c r="AI2310" s="254"/>
      <c r="AJ2310" s="303"/>
      <c r="AK2310" s="491">
        <v>3</v>
      </c>
      <c r="AL2310" s="169" t="s">
        <v>834</v>
      </c>
      <c r="AM2310" s="169" t="s">
        <v>3483</v>
      </c>
      <c r="AN2310" s="200"/>
      <c r="AO2310" s="193"/>
      <c r="AR2310" s="115"/>
    </row>
    <row r="2311" spans="1:46" ht="39" customHeight="1" x14ac:dyDescent="0.3">
      <c r="A2311" s="1468">
        <v>2310</v>
      </c>
      <c r="B2311" s="161">
        <v>4</v>
      </c>
      <c r="C2311" s="358" t="s">
        <v>842</v>
      </c>
      <c r="D2311" s="595"/>
      <c r="E2311" s="595"/>
      <c r="F2311" s="595"/>
      <c r="G2311" s="392" t="s">
        <v>843</v>
      </c>
      <c r="H2311" s="262" t="s">
        <v>85</v>
      </c>
      <c r="I2311" s="595"/>
      <c r="J2311" s="245" t="s">
        <v>556</v>
      </c>
      <c r="K2311" s="216" t="s">
        <v>158</v>
      </c>
      <c r="L2311" s="281" t="s">
        <v>1430</v>
      </c>
      <c r="M2311" s="281" t="s">
        <v>5891</v>
      </c>
      <c r="N2311" s="281"/>
      <c r="O2311" s="216" t="s">
        <v>2874</v>
      </c>
      <c r="P2311" s="325"/>
      <c r="Q2311" s="301" t="s">
        <v>85</v>
      </c>
      <c r="R2311" s="1494" t="s">
        <v>1437</v>
      </c>
      <c r="S2311" s="279">
        <v>37668</v>
      </c>
      <c r="T2311" s="252" t="s">
        <v>471</v>
      </c>
      <c r="U2311" s="250"/>
      <c r="V2311" s="250"/>
      <c r="W2311" s="250" t="s">
        <v>3487</v>
      </c>
      <c r="X2311" s="250"/>
      <c r="Y2311" s="289"/>
      <c r="Z2311" s="289"/>
      <c r="AA2311" s="327"/>
      <c r="AB2311" s="288" t="s">
        <v>4561</v>
      </c>
      <c r="AC2311" s="223" t="s">
        <v>946</v>
      </c>
      <c r="AD2311" s="282"/>
      <c r="AE2311" s="494">
        <v>45098</v>
      </c>
      <c r="AF2311" s="494">
        <v>45463</v>
      </c>
      <c r="AG2311" s="282"/>
      <c r="AH2311" s="283"/>
      <c r="AI2311" s="254" t="s">
        <v>1351</v>
      </c>
      <c r="AJ2311" s="303" t="s">
        <v>136</v>
      </c>
      <c r="AK2311" s="392">
        <v>4</v>
      </c>
      <c r="AL2311" s="121" t="s">
        <v>834</v>
      </c>
      <c r="AM2311" s="169" t="s">
        <v>3483</v>
      </c>
      <c r="AN2311" s="199"/>
      <c r="AO2311" s="190"/>
      <c r="AR2311" s="115"/>
    </row>
    <row r="2312" spans="1:46" ht="39" customHeight="1" x14ac:dyDescent="0.3">
      <c r="A2312" s="1468">
        <v>2311</v>
      </c>
      <c r="B2312" s="161">
        <v>3</v>
      </c>
      <c r="C2312" s="358" t="s">
        <v>701</v>
      </c>
      <c r="D2312" s="595"/>
      <c r="E2312" s="595"/>
      <c r="F2312" s="595"/>
      <c r="G2312" s="1513" t="s">
        <v>702</v>
      </c>
      <c r="H2312" s="262" t="s">
        <v>85</v>
      </c>
      <c r="I2312" s="595"/>
      <c r="J2312" s="245" t="s">
        <v>556</v>
      </c>
      <c r="K2312" s="595"/>
      <c r="L2312" s="1513"/>
      <c r="M2312" s="1513"/>
      <c r="N2312" s="595"/>
      <c r="O2312" s="1513" t="s">
        <v>3943</v>
      </c>
      <c r="P2312" s="402" t="s">
        <v>1828</v>
      </c>
      <c r="Q2312" s="709" t="s">
        <v>87</v>
      </c>
      <c r="R2312" s="1503" t="s">
        <v>3942</v>
      </c>
      <c r="S2312" s="279">
        <v>25227</v>
      </c>
      <c r="T2312" s="595"/>
      <c r="U2312" s="251" t="s">
        <v>54</v>
      </c>
      <c r="V2312" s="197" t="s">
        <v>5512</v>
      </c>
      <c r="W2312" s="250" t="s">
        <v>56</v>
      </c>
      <c r="X2312" s="197" t="s">
        <v>57</v>
      </c>
      <c r="Y2312" s="197" t="s">
        <v>5726</v>
      </c>
      <c r="Z2312" s="246">
        <v>45272</v>
      </c>
      <c r="AA2312" s="595"/>
      <c r="AB2312" s="1289"/>
      <c r="AC2312" s="595"/>
      <c r="AD2312" s="658"/>
      <c r="AE2312" s="494"/>
      <c r="AF2312" s="494"/>
      <c r="AG2312" s="595"/>
      <c r="AH2312" s="595"/>
      <c r="AI2312" s="1513"/>
      <c r="AJ2312" s="348" t="s">
        <v>560</v>
      </c>
      <c r="AK2312" s="241">
        <v>4</v>
      </c>
      <c r="AL2312" s="121" t="s">
        <v>834</v>
      </c>
      <c r="AM2312" s="169" t="s">
        <v>3483</v>
      </c>
      <c r="AN2312" s="199"/>
      <c r="AO2312" s="190"/>
      <c r="AR2312" s="115"/>
    </row>
    <row r="2313" spans="1:46" ht="39" customHeight="1" x14ac:dyDescent="0.3">
      <c r="A2313" s="1468">
        <v>2312</v>
      </c>
      <c r="B2313" s="161">
        <v>2</v>
      </c>
      <c r="C2313" s="358" t="s">
        <v>809</v>
      </c>
      <c r="D2313" s="595"/>
      <c r="E2313" s="595"/>
      <c r="F2313" s="595"/>
      <c r="G2313" s="1513" t="s">
        <v>823</v>
      </c>
      <c r="H2313" s="262" t="s">
        <v>87</v>
      </c>
      <c r="I2313" s="595"/>
      <c r="J2313" s="245" t="s">
        <v>561</v>
      </c>
      <c r="K2313" s="288"/>
      <c r="L2313" s="216" t="s">
        <v>5746</v>
      </c>
      <c r="M2313" s="216" t="s">
        <v>5746</v>
      </c>
      <c r="N2313" s="281"/>
      <c r="O2313" s="216" t="s">
        <v>5870</v>
      </c>
      <c r="P2313" s="372"/>
      <c r="Q2313" s="709" t="s">
        <v>2067</v>
      </c>
      <c r="R2313" s="1503" t="s">
        <v>5869</v>
      </c>
      <c r="S2313" s="279">
        <v>37323</v>
      </c>
      <c r="T2313" s="197"/>
      <c r="U2313" s="251"/>
      <c r="V2313" s="216"/>
      <c r="W2313" s="1513"/>
      <c r="X2313" s="1513"/>
      <c r="Y2313" s="288"/>
      <c r="Z2313" s="612"/>
      <c r="AA2313" s="344"/>
      <c r="AB2313" s="281"/>
      <c r="AC2313" s="1513"/>
      <c r="AD2313" s="281"/>
      <c r="AE2313" s="494"/>
      <c r="AF2313" s="494"/>
      <c r="AG2313" s="241"/>
      <c r="AH2313" s="281"/>
      <c r="AI2313" s="254"/>
      <c r="AJ2313" s="348" t="s">
        <v>560</v>
      </c>
      <c r="AK2313" s="241">
        <v>4</v>
      </c>
      <c r="AL2313" s="121" t="s">
        <v>834</v>
      </c>
      <c r="AM2313" s="169" t="s">
        <v>3483</v>
      </c>
      <c r="AN2313" s="199"/>
      <c r="AO2313" s="190"/>
      <c r="AR2313" s="115"/>
    </row>
    <row r="2314" spans="1:46" ht="39" customHeight="1" x14ac:dyDescent="0.3">
      <c r="A2314" s="1468">
        <v>2313</v>
      </c>
      <c r="B2314" s="161">
        <v>2</v>
      </c>
      <c r="C2314" s="358" t="s">
        <v>703</v>
      </c>
      <c r="D2314" s="595"/>
      <c r="E2314" s="595"/>
      <c r="F2314" s="595"/>
      <c r="G2314" s="392" t="s">
        <v>704</v>
      </c>
      <c r="H2314" s="262" t="s">
        <v>87</v>
      </c>
      <c r="I2314" s="595"/>
      <c r="J2314" s="245" t="s">
        <v>561</v>
      </c>
      <c r="K2314" s="288" t="s">
        <v>158</v>
      </c>
      <c r="L2314" s="277" t="s">
        <v>4641</v>
      </c>
      <c r="M2314" s="277" t="s">
        <v>4641</v>
      </c>
      <c r="N2314" s="595"/>
      <c r="O2314" s="1263" t="s">
        <v>4720</v>
      </c>
      <c r="P2314" s="595"/>
      <c r="Q2314" s="301" t="s">
        <v>87</v>
      </c>
      <c r="R2314" s="1494" t="s">
        <v>4673</v>
      </c>
      <c r="S2314" s="279">
        <v>37799</v>
      </c>
      <c r="T2314" s="595"/>
      <c r="U2314" s="250"/>
      <c r="V2314" s="216"/>
      <c r="W2314" s="1260"/>
      <c r="X2314" s="1260"/>
      <c r="Y2314" s="288"/>
      <c r="Z2314" s="612"/>
      <c r="AA2314" s="595"/>
      <c r="AB2314" s="288" t="s">
        <v>4721</v>
      </c>
      <c r="AC2314" s="1263" t="s">
        <v>946</v>
      </c>
      <c r="AD2314" s="281" t="s">
        <v>467</v>
      </c>
      <c r="AE2314" s="494">
        <v>45237</v>
      </c>
      <c r="AF2314" s="494">
        <f>AE2314+365</f>
        <v>45602</v>
      </c>
      <c r="AG2314" s="595"/>
      <c r="AH2314" s="595"/>
      <c r="AI2314" s="254" t="s">
        <v>4208</v>
      </c>
      <c r="AJ2314" s="303" t="s">
        <v>136</v>
      </c>
      <c r="AK2314" s="241">
        <v>4</v>
      </c>
      <c r="AL2314" s="121" t="s">
        <v>834</v>
      </c>
      <c r="AM2314" s="169" t="s">
        <v>3483</v>
      </c>
      <c r="AN2314" s="199"/>
      <c r="AO2314" s="190"/>
      <c r="AR2314" s="115"/>
    </row>
    <row r="2315" spans="1:46" ht="39" customHeight="1" x14ac:dyDescent="0.3">
      <c r="A2315" s="1468">
        <v>2314</v>
      </c>
      <c r="B2315" s="161">
        <v>2</v>
      </c>
      <c r="C2315" s="504" t="s">
        <v>844</v>
      </c>
      <c r="D2315" s="640"/>
      <c r="E2315" s="640"/>
      <c r="F2315" s="640"/>
      <c r="G2315" s="626" t="s">
        <v>354</v>
      </c>
      <c r="H2315" s="262" t="s">
        <v>87</v>
      </c>
      <c r="I2315" s="640"/>
      <c r="J2315" s="245" t="s">
        <v>561</v>
      </c>
      <c r="K2315" s="836" t="s">
        <v>4834</v>
      </c>
      <c r="L2315" s="626" t="s">
        <v>4813</v>
      </c>
      <c r="M2315" s="626" t="s">
        <v>4813</v>
      </c>
      <c r="N2315" s="640"/>
      <c r="O2315" s="626" t="s">
        <v>4815</v>
      </c>
      <c r="P2315" s="640"/>
      <c r="Q2315" s="301" t="s">
        <v>87</v>
      </c>
      <c r="R2315" s="1494" t="s">
        <v>4814</v>
      </c>
      <c r="S2315" s="279">
        <v>38437</v>
      </c>
      <c r="T2315" s="640"/>
      <c r="U2315" s="250"/>
      <c r="V2315" s="197"/>
      <c r="W2315" s="197" t="s">
        <v>6187</v>
      </c>
      <c r="X2315" s="197"/>
      <c r="Y2315" s="197"/>
      <c r="Z2315" s="246"/>
      <c r="AA2315" s="640"/>
      <c r="AB2315" s="288" t="s">
        <v>4836</v>
      </c>
      <c r="AC2315" s="223" t="s">
        <v>4227</v>
      </c>
      <c r="AD2315" s="299" t="s">
        <v>467</v>
      </c>
      <c r="AE2315" s="494"/>
      <c r="AF2315" s="494"/>
      <c r="AG2315" s="640"/>
      <c r="AH2315" s="640"/>
      <c r="AI2315" s="254" t="s">
        <v>4208</v>
      </c>
      <c r="AJ2315" s="303" t="s">
        <v>136</v>
      </c>
      <c r="AK2315" s="471">
        <v>4</v>
      </c>
      <c r="AL2315" s="166" t="s">
        <v>834</v>
      </c>
      <c r="AM2315" s="169" t="s">
        <v>3483</v>
      </c>
      <c r="AN2315" s="147" t="s">
        <v>5788</v>
      </c>
      <c r="AO2315" s="194"/>
      <c r="AR2315" s="115"/>
      <c r="AS2315" s="115"/>
      <c r="AT2315" s="115"/>
    </row>
    <row r="2316" spans="1:46" s="827" customFormat="1" ht="39" customHeight="1" x14ac:dyDescent="0.3">
      <c r="A2316" s="1468">
        <v>2315</v>
      </c>
      <c r="B2316" s="161"/>
      <c r="C2316" s="723"/>
      <c r="D2316" s="637"/>
      <c r="E2316" s="637"/>
      <c r="F2316" s="637"/>
      <c r="G2316" s="602"/>
      <c r="H2316" s="602"/>
      <c r="I2316" s="637"/>
      <c r="J2316" s="637"/>
      <c r="K2316" s="637"/>
      <c r="L2316" s="602"/>
      <c r="M2316" s="602"/>
      <c r="N2316" s="637"/>
      <c r="O2316" s="602"/>
      <c r="P2316" s="230" t="s">
        <v>928</v>
      </c>
      <c r="Q2316" s="637"/>
      <c r="R2316" s="1209"/>
      <c r="S2316" s="279"/>
      <c r="T2316" s="637"/>
      <c r="U2316" s="250"/>
      <c r="V2316" s="637"/>
      <c r="W2316" s="602"/>
      <c r="X2316" s="602"/>
      <c r="Y2316" s="637"/>
      <c r="Z2316" s="637"/>
      <c r="AA2316" s="637"/>
      <c r="AB2316" s="1295"/>
      <c r="AC2316" s="637"/>
      <c r="AD2316" s="659"/>
      <c r="AE2316" s="494"/>
      <c r="AF2316" s="494"/>
      <c r="AG2316" s="637"/>
      <c r="AH2316" s="637"/>
      <c r="AI2316" s="602"/>
      <c r="AJ2316" s="602"/>
      <c r="AK2316" s="664"/>
      <c r="AL2316" s="748"/>
      <c r="AM2316" s="748"/>
      <c r="AN2316" s="202"/>
      <c r="AO2316" s="196"/>
      <c r="AP2316" s="192"/>
      <c r="AQ2316" s="192"/>
      <c r="AR2316" s="192"/>
      <c r="AS2316" s="192"/>
      <c r="AT2316" s="192"/>
    </row>
    <row r="2317" spans="1:46" ht="39" customHeight="1" x14ac:dyDescent="0.3">
      <c r="A2317" s="1468">
        <v>2316</v>
      </c>
      <c r="B2317" s="161">
        <v>9</v>
      </c>
      <c r="C2317" s="947" t="s">
        <v>305</v>
      </c>
      <c r="D2317" s="910"/>
      <c r="E2317" s="1355" t="s">
        <v>47</v>
      </c>
      <c r="F2317" s="910"/>
      <c r="G2317" s="355" t="s">
        <v>432</v>
      </c>
      <c r="H2317" s="355" t="s">
        <v>283</v>
      </c>
      <c r="I2317" s="595"/>
      <c r="J2317" s="281">
        <v>410</v>
      </c>
      <c r="K2317" s="216" t="s">
        <v>158</v>
      </c>
      <c r="L2317" s="281" t="s">
        <v>1303</v>
      </c>
      <c r="M2317" s="281" t="s">
        <v>1303</v>
      </c>
      <c r="N2317" s="256"/>
      <c r="O2317" s="216" t="s">
        <v>1304</v>
      </c>
      <c r="P2317" s="439"/>
      <c r="Q2317" s="353" t="s">
        <v>283</v>
      </c>
      <c r="R2317" s="316" t="s">
        <v>1305</v>
      </c>
      <c r="S2317" s="279">
        <v>31175</v>
      </c>
      <c r="T2317" s="197"/>
      <c r="U2317" s="251" t="s">
        <v>54</v>
      </c>
      <c r="V2317" s="197" t="s">
        <v>55</v>
      </c>
      <c r="W2317" s="197" t="s">
        <v>56</v>
      </c>
      <c r="X2317" s="197" t="s">
        <v>57</v>
      </c>
      <c r="Y2317" s="819" t="s">
        <v>58</v>
      </c>
      <c r="Z2317" s="246">
        <v>44783</v>
      </c>
      <c r="AA2317" s="246"/>
      <c r="AB2317" s="376"/>
      <c r="AC2317" s="223" t="s">
        <v>946</v>
      </c>
      <c r="AD2317" s="281"/>
      <c r="AE2317" s="494">
        <v>43703</v>
      </c>
      <c r="AF2317" s="494">
        <v>44798</v>
      </c>
      <c r="AG2317" s="241" t="s">
        <v>61</v>
      </c>
      <c r="AH2317" s="283"/>
      <c r="AI2317" s="296"/>
      <c r="AJ2317" s="858" t="s">
        <v>47</v>
      </c>
      <c r="AK2317" s="805">
        <v>2</v>
      </c>
      <c r="AL2317" s="873" t="s">
        <v>929</v>
      </c>
      <c r="AM2317" s="873" t="s">
        <v>929</v>
      </c>
      <c r="AN2317" s="903"/>
      <c r="AO2317" s="904"/>
      <c r="AP2317" s="192"/>
      <c r="AQ2317" s="192"/>
      <c r="AR2317" s="115"/>
    </row>
    <row r="2318" spans="1:46" s="827" customFormat="1" ht="39" customHeight="1" x14ac:dyDescent="0.3">
      <c r="A2318" s="1468">
        <v>2317</v>
      </c>
      <c r="B2318" s="161"/>
      <c r="C2318" s="723"/>
      <c r="D2318" s="535"/>
      <c r="E2318" s="535"/>
      <c r="F2318" s="535"/>
      <c r="G2318" s="536"/>
      <c r="H2318" s="732"/>
      <c r="I2318" s="732"/>
      <c r="J2318" s="309"/>
      <c r="K2318" s="309"/>
      <c r="L2318" s="309"/>
      <c r="M2318" s="538"/>
      <c r="N2318" s="309"/>
      <c r="O2318" s="309"/>
      <c r="P2318" s="738" t="s">
        <v>780</v>
      </c>
      <c r="Q2318" s="911"/>
      <c r="R2318" s="1209"/>
      <c r="S2318" s="279"/>
      <c r="T2318" s="232"/>
      <c r="U2318" s="250"/>
      <c r="V2318" s="232"/>
      <c r="W2318" s="232"/>
      <c r="X2318" s="232"/>
      <c r="Y2318" s="232"/>
      <c r="Z2318" s="233"/>
      <c r="AA2318" s="233"/>
      <c r="AB2318" s="745"/>
      <c r="AC2318" s="236"/>
      <c r="AD2318" s="538"/>
      <c r="AE2318" s="494"/>
      <c r="AF2318" s="494"/>
      <c r="AG2318" s="535"/>
      <c r="AH2318" s="745"/>
      <c r="AI2318" s="747"/>
      <c r="AJ2318" s="742"/>
      <c r="AK2318" s="742"/>
      <c r="AL2318" s="753"/>
      <c r="AM2318" s="748"/>
      <c r="AN2318" s="202"/>
      <c r="AO2318" s="196"/>
      <c r="AP2318" s="192"/>
      <c r="AQ2318" s="192"/>
      <c r="AR2318" s="192"/>
      <c r="AS2318" s="192"/>
      <c r="AT2318" s="192"/>
    </row>
    <row r="2319" spans="1:46" ht="39" customHeight="1" x14ac:dyDescent="0.3">
      <c r="A2319" s="1468">
        <v>2318</v>
      </c>
      <c r="B2319" s="161">
        <v>5</v>
      </c>
      <c r="C2319" s="556" t="s">
        <v>367</v>
      </c>
      <c r="D2319" s="557"/>
      <c r="E2319" s="291" t="s">
        <v>47</v>
      </c>
      <c r="F2319" s="291"/>
      <c r="G2319" s="292" t="s">
        <v>445</v>
      </c>
      <c r="H2319" s="500" t="s">
        <v>132</v>
      </c>
      <c r="I2319" s="480"/>
      <c r="J2319" s="256">
        <v>403</v>
      </c>
      <c r="K2319" s="216"/>
      <c r="L2319" s="288"/>
      <c r="M2319" s="288"/>
      <c r="N2319" s="366"/>
      <c r="O2319" s="1463"/>
      <c r="P2319" s="247"/>
      <c r="Q2319" s="1492"/>
      <c r="R2319" s="1494" t="s">
        <v>66</v>
      </c>
      <c r="S2319" s="279"/>
      <c r="T2319" s="197"/>
      <c r="U2319" s="250"/>
      <c r="V2319" s="245"/>
      <c r="W2319" s="250"/>
      <c r="X2319" s="197"/>
      <c r="Y2319" s="949"/>
      <c r="Z2319" s="246"/>
      <c r="AA2319" s="252"/>
      <c r="AB2319" s="301"/>
      <c r="AC2319" s="223"/>
      <c r="AD2319" s="245"/>
      <c r="AE2319" s="494"/>
      <c r="AF2319" s="494"/>
      <c r="AG2319" s="301"/>
      <c r="AH2319" s="301"/>
      <c r="AI2319" s="254"/>
      <c r="AJ2319" s="303"/>
      <c r="AK2319" s="491">
        <v>3</v>
      </c>
      <c r="AL2319" s="874" t="s">
        <v>929</v>
      </c>
      <c r="AM2319" s="874" t="s">
        <v>929</v>
      </c>
      <c r="AN2319" s="200"/>
      <c r="AO2319" s="193"/>
      <c r="AR2319" s="115"/>
    </row>
    <row r="2320" spans="1:46" ht="39" customHeight="1" x14ac:dyDescent="0.3">
      <c r="A2320" s="1468">
        <v>2319</v>
      </c>
      <c r="B2320" s="161">
        <v>2</v>
      </c>
      <c r="C2320" s="1046" t="s">
        <v>353</v>
      </c>
      <c r="D2320" s="282"/>
      <c r="E2320" s="282"/>
      <c r="F2320" s="282"/>
      <c r="G2320" s="447" t="s">
        <v>354</v>
      </c>
      <c r="H2320" s="262" t="s">
        <v>87</v>
      </c>
      <c r="I2320" s="364"/>
      <c r="J2320" s="245" t="s">
        <v>561</v>
      </c>
      <c r="K2320" s="684"/>
      <c r="L2320" s="216" t="s">
        <v>2524</v>
      </c>
      <c r="M2320" s="281" t="s">
        <v>2524</v>
      </c>
      <c r="N2320" s="216"/>
      <c r="O2320" s="216" t="s">
        <v>3359</v>
      </c>
      <c r="P2320" s="247" t="s">
        <v>1828</v>
      </c>
      <c r="Q2320" s="373" t="s">
        <v>87</v>
      </c>
      <c r="R2320" s="1503" t="s">
        <v>2582</v>
      </c>
      <c r="S2320" s="279">
        <v>24697</v>
      </c>
      <c r="T2320" s="684"/>
      <c r="U2320" s="251" t="s">
        <v>54</v>
      </c>
      <c r="V2320" s="197" t="s">
        <v>5512</v>
      </c>
      <c r="W2320" s="250" t="s">
        <v>56</v>
      </c>
      <c r="X2320" s="197" t="s">
        <v>57</v>
      </c>
      <c r="Y2320" s="197" t="s">
        <v>5726</v>
      </c>
      <c r="Z2320" s="246">
        <v>45272</v>
      </c>
      <c r="AA2320" s="684"/>
      <c r="AB2320" s="1290"/>
      <c r="AC2320" s="684"/>
      <c r="AD2320" s="686"/>
      <c r="AE2320" s="494"/>
      <c r="AF2320" s="494"/>
      <c r="AG2320" s="684"/>
      <c r="AH2320" s="684"/>
      <c r="AI2320" s="685"/>
      <c r="AJ2320" s="348" t="s">
        <v>560</v>
      </c>
      <c r="AK2320" s="241">
        <v>4</v>
      </c>
      <c r="AL2320" s="132" t="s">
        <v>929</v>
      </c>
      <c r="AM2320" s="132" t="s">
        <v>929</v>
      </c>
      <c r="AN2320" s="147" t="s">
        <v>5764</v>
      </c>
      <c r="AO2320" s="190"/>
      <c r="AR2320" s="115"/>
    </row>
    <row r="2321" spans="1:46" ht="39" customHeight="1" x14ac:dyDescent="0.3">
      <c r="A2321" s="1468">
        <v>2320</v>
      </c>
      <c r="B2321" s="161">
        <v>2</v>
      </c>
      <c r="C2321" s="1046" t="s">
        <v>353</v>
      </c>
      <c r="D2321" s="282"/>
      <c r="E2321" s="282"/>
      <c r="F2321" s="282"/>
      <c r="G2321" s="447" t="s">
        <v>354</v>
      </c>
      <c r="H2321" s="262" t="s">
        <v>87</v>
      </c>
      <c r="I2321" s="364"/>
      <c r="J2321" s="245" t="s">
        <v>561</v>
      </c>
      <c r="K2321" s="216"/>
      <c r="L2321" s="216"/>
      <c r="M2321" s="281"/>
      <c r="N2321" s="366"/>
      <c r="O2321" s="392"/>
      <c r="P2321" s="247"/>
      <c r="Q2321" s="373"/>
      <c r="R2321" s="1503" t="s">
        <v>66</v>
      </c>
      <c r="S2321" s="279"/>
      <c r="T2321" s="250"/>
      <c r="U2321" s="197"/>
      <c r="V2321" s="197"/>
      <c r="W2321" s="250"/>
      <c r="X2321" s="197"/>
      <c r="Y2321" s="197"/>
      <c r="Z2321" s="246"/>
      <c r="AA2321" s="246"/>
      <c r="AB2321" s="197"/>
      <c r="AC2321" s="223"/>
      <c r="AD2321" s="197"/>
      <c r="AE2321" s="494"/>
      <c r="AF2321" s="494"/>
      <c r="AG2321" s="305"/>
      <c r="AH2321" s="283"/>
      <c r="AI2321" s="296"/>
      <c r="AJ2321" s="348"/>
      <c r="AK2321" s="241">
        <v>4</v>
      </c>
      <c r="AL2321" s="132" t="s">
        <v>929</v>
      </c>
      <c r="AM2321" s="132" t="s">
        <v>929</v>
      </c>
      <c r="AN2321" s="147" t="s">
        <v>5764</v>
      </c>
      <c r="AO2321" s="190"/>
      <c r="AR2321" s="115"/>
    </row>
    <row r="2322" spans="1:46" ht="39" customHeight="1" x14ac:dyDescent="0.3">
      <c r="A2322" s="1468">
        <v>2321</v>
      </c>
      <c r="B2322" s="161">
        <v>2</v>
      </c>
      <c r="C2322" s="1046" t="s">
        <v>353</v>
      </c>
      <c r="D2322" s="282"/>
      <c r="E2322" s="282"/>
      <c r="F2322" s="282"/>
      <c r="G2322" s="447" t="s">
        <v>354</v>
      </c>
      <c r="H2322" s="262" t="s">
        <v>87</v>
      </c>
      <c r="I2322" s="364"/>
      <c r="J2322" s="245" t="s">
        <v>561</v>
      </c>
      <c r="K2322" s="216"/>
      <c r="L2322" s="216" t="s">
        <v>2058</v>
      </c>
      <c r="M2322" s="281" t="s">
        <v>2058</v>
      </c>
      <c r="N2322" s="216"/>
      <c r="O2322" s="950" t="s">
        <v>2427</v>
      </c>
      <c r="P2322" s="402" t="s">
        <v>1828</v>
      </c>
      <c r="Q2322" s="373" t="s">
        <v>567</v>
      </c>
      <c r="R2322" s="1503" t="s">
        <v>2426</v>
      </c>
      <c r="S2322" s="279">
        <v>23047</v>
      </c>
      <c r="T2322" s="197"/>
      <c r="U2322" s="251" t="s">
        <v>54</v>
      </c>
      <c r="V2322" s="280" t="s">
        <v>3959</v>
      </c>
      <c r="W2322" s="197" t="s">
        <v>70</v>
      </c>
      <c r="X2322" s="289" t="s">
        <v>71</v>
      </c>
      <c r="Y2322" s="280" t="s">
        <v>4351</v>
      </c>
      <c r="Z2322" s="486">
        <v>45226</v>
      </c>
      <c r="AA2322" s="252"/>
      <c r="AB2322" s="376"/>
      <c r="AC2322" s="223"/>
      <c r="AD2322" s="281"/>
      <c r="AE2322" s="494"/>
      <c r="AF2322" s="494"/>
      <c r="AG2322" s="282"/>
      <c r="AH2322" s="376"/>
      <c r="AI2322" s="547"/>
      <c r="AJ2322" s="348" t="s">
        <v>560</v>
      </c>
      <c r="AK2322" s="241">
        <v>4</v>
      </c>
      <c r="AL2322" s="132" t="s">
        <v>929</v>
      </c>
      <c r="AM2322" s="132" t="s">
        <v>929</v>
      </c>
      <c r="AN2322" s="147" t="s">
        <v>5764</v>
      </c>
      <c r="AO2322" s="190"/>
      <c r="AR2322" s="115"/>
    </row>
    <row r="2323" spans="1:46" ht="39" customHeight="1" x14ac:dyDescent="0.3">
      <c r="A2323" s="1468">
        <v>2322</v>
      </c>
      <c r="B2323" s="161">
        <v>2</v>
      </c>
      <c r="C2323" s="1046" t="s">
        <v>353</v>
      </c>
      <c r="D2323" s="282"/>
      <c r="E2323" s="282"/>
      <c r="F2323" s="282"/>
      <c r="G2323" s="447" t="s">
        <v>354</v>
      </c>
      <c r="H2323" s="262" t="s">
        <v>87</v>
      </c>
      <c r="I2323" s="364"/>
      <c r="J2323" s="245" t="s">
        <v>561</v>
      </c>
      <c r="K2323" s="216"/>
      <c r="L2323" s="288" t="s">
        <v>5746</v>
      </c>
      <c r="M2323" s="288" t="s">
        <v>5746</v>
      </c>
      <c r="N2323" s="366"/>
      <c r="O2323" s="1399" t="s">
        <v>5865</v>
      </c>
      <c r="P2323" s="247"/>
      <c r="Q2323" s="373" t="s">
        <v>132</v>
      </c>
      <c r="R2323" s="1503" t="s">
        <v>5864</v>
      </c>
      <c r="S2323" s="279">
        <v>36376</v>
      </c>
      <c r="T2323" s="197"/>
      <c r="U2323" s="250"/>
      <c r="V2323" s="245"/>
      <c r="W2323" s="250"/>
      <c r="X2323" s="197"/>
      <c r="Y2323" s="949"/>
      <c r="Z2323" s="246"/>
      <c r="AA2323" s="252"/>
      <c r="AB2323" s="301"/>
      <c r="AC2323" s="223"/>
      <c r="AD2323" s="245"/>
      <c r="AE2323" s="494"/>
      <c r="AF2323" s="494"/>
      <c r="AG2323" s="301"/>
      <c r="AH2323" s="301"/>
      <c r="AI2323" s="254"/>
      <c r="AJ2323" s="348" t="s">
        <v>560</v>
      </c>
      <c r="AK2323" s="241">
        <v>4</v>
      </c>
      <c r="AL2323" s="132" t="s">
        <v>929</v>
      </c>
      <c r="AM2323" s="132" t="s">
        <v>929</v>
      </c>
      <c r="AN2323" s="147" t="s">
        <v>5764</v>
      </c>
      <c r="AO2323" s="190"/>
      <c r="AR2323" s="115"/>
    </row>
    <row r="2324" spans="1:46" ht="39" customHeight="1" x14ac:dyDescent="0.3">
      <c r="A2324" s="1468">
        <v>2323</v>
      </c>
      <c r="B2324" s="161">
        <v>2</v>
      </c>
      <c r="C2324" s="1046" t="s">
        <v>360</v>
      </c>
      <c r="D2324" s="282"/>
      <c r="E2324" s="282"/>
      <c r="F2324" s="282"/>
      <c r="G2324" s="261" t="s">
        <v>354</v>
      </c>
      <c r="H2324" s="262" t="s">
        <v>87</v>
      </c>
      <c r="I2324" s="364"/>
      <c r="J2324" s="245" t="s">
        <v>561</v>
      </c>
      <c r="K2324" s="197"/>
      <c r="L2324" s="288"/>
      <c r="M2324" s="288"/>
      <c r="N2324" s="245"/>
      <c r="O2324" s="1416"/>
      <c r="P2324" s="402"/>
      <c r="Q2324" s="1492"/>
      <c r="R2324" s="1494" t="s">
        <v>66</v>
      </c>
      <c r="S2324" s="279"/>
      <c r="T2324" s="250"/>
      <c r="U2324" s="250"/>
      <c r="V2324" s="245"/>
      <c r="W2324" s="250"/>
      <c r="X2324" s="197"/>
      <c r="Y2324" s="949"/>
      <c r="Z2324" s="246"/>
      <c r="AA2324" s="252"/>
      <c r="AB2324" s="301"/>
      <c r="AC2324" s="223"/>
      <c r="AD2324" s="245"/>
      <c r="AE2324" s="494"/>
      <c r="AF2324" s="494"/>
      <c r="AG2324" s="301"/>
      <c r="AH2324" s="301"/>
      <c r="AI2324" s="254"/>
      <c r="AJ2324" s="303"/>
      <c r="AK2324" s="241">
        <v>4</v>
      </c>
      <c r="AL2324" s="132" t="s">
        <v>929</v>
      </c>
      <c r="AM2324" s="132" t="s">
        <v>929</v>
      </c>
      <c r="AN2324" s="147" t="s">
        <v>5768</v>
      </c>
      <c r="AO2324" s="190"/>
      <c r="AR2324" s="115"/>
    </row>
    <row r="2325" spans="1:46" ht="39" customHeight="1" x14ac:dyDescent="0.3">
      <c r="A2325" s="1468">
        <v>2324</v>
      </c>
      <c r="B2325" s="161">
        <v>2</v>
      </c>
      <c r="C2325" s="1046" t="s">
        <v>448</v>
      </c>
      <c r="D2325" s="282"/>
      <c r="E2325" s="282"/>
      <c r="F2325" s="282"/>
      <c r="G2325" s="447" t="s">
        <v>354</v>
      </c>
      <c r="H2325" s="262" t="s">
        <v>87</v>
      </c>
      <c r="I2325" s="364"/>
      <c r="J2325" s="245" t="s">
        <v>561</v>
      </c>
      <c r="K2325" s="216"/>
      <c r="L2325" s="301"/>
      <c r="M2325" s="301"/>
      <c r="N2325" s="305"/>
      <c r="O2325" s="1354" t="s">
        <v>3208</v>
      </c>
      <c r="P2325" s="402" t="s">
        <v>1411</v>
      </c>
      <c r="Q2325" s="373" t="s">
        <v>293</v>
      </c>
      <c r="R2325" s="1503" t="s">
        <v>1157</v>
      </c>
      <c r="S2325" s="279">
        <v>32975</v>
      </c>
      <c r="T2325" s="197"/>
      <c r="U2325" s="251" t="s">
        <v>54</v>
      </c>
      <c r="V2325" s="197" t="s">
        <v>2365</v>
      </c>
      <c r="W2325" s="197" t="s">
        <v>70</v>
      </c>
      <c r="X2325" s="197" t="s">
        <v>71</v>
      </c>
      <c r="Y2325" s="197"/>
      <c r="Z2325" s="197"/>
      <c r="AA2325" s="252"/>
      <c r="AB2325" s="197"/>
      <c r="AC2325" s="223"/>
      <c r="AD2325" s="306"/>
      <c r="AE2325" s="494"/>
      <c r="AF2325" s="494"/>
      <c r="AG2325" s="305"/>
      <c r="AH2325" s="197"/>
      <c r="AI2325" s="296"/>
      <c r="AJ2325" s="348" t="s">
        <v>560</v>
      </c>
      <c r="AK2325" s="241">
        <v>4</v>
      </c>
      <c r="AL2325" s="132" t="s">
        <v>929</v>
      </c>
      <c r="AM2325" s="132" t="s">
        <v>929</v>
      </c>
      <c r="AN2325" s="147" t="s">
        <v>5768</v>
      </c>
      <c r="AO2325" s="190"/>
      <c r="AR2325" s="115"/>
    </row>
    <row r="2326" spans="1:46" ht="39" customHeight="1" x14ac:dyDescent="0.3">
      <c r="A2326" s="1468">
        <v>2325</v>
      </c>
      <c r="B2326" s="161">
        <v>2</v>
      </c>
      <c r="C2326" s="1046" t="s">
        <v>446</v>
      </c>
      <c r="D2326" s="361"/>
      <c r="E2326" s="282"/>
      <c r="F2326" s="282"/>
      <c r="G2326" s="1047" t="s">
        <v>354</v>
      </c>
      <c r="H2326" s="262" t="s">
        <v>87</v>
      </c>
      <c r="I2326" s="364"/>
      <c r="J2326" s="245" t="s">
        <v>561</v>
      </c>
      <c r="K2326" s="216"/>
      <c r="L2326" s="197"/>
      <c r="M2326" s="197"/>
      <c r="N2326" s="299"/>
      <c r="O2326" s="216" t="s">
        <v>2775</v>
      </c>
      <c r="P2326" s="402" t="s">
        <v>1828</v>
      </c>
      <c r="Q2326" s="373" t="s">
        <v>87</v>
      </c>
      <c r="R2326" s="1503" t="s">
        <v>2774</v>
      </c>
      <c r="S2326" s="279">
        <v>27788</v>
      </c>
      <c r="T2326" s="289"/>
      <c r="U2326" s="251" t="s">
        <v>54</v>
      </c>
      <c r="V2326" s="250" t="s">
        <v>2793</v>
      </c>
      <c r="W2326" s="197" t="s">
        <v>56</v>
      </c>
      <c r="X2326" s="197" t="s">
        <v>57</v>
      </c>
      <c r="Y2326" s="197" t="s">
        <v>2609</v>
      </c>
      <c r="Z2326" s="246">
        <v>45139</v>
      </c>
      <c r="AA2326" s="252"/>
      <c r="AB2326" s="301"/>
      <c r="AC2326" s="223"/>
      <c r="AD2326" s="288"/>
      <c r="AE2326" s="494"/>
      <c r="AF2326" s="494"/>
      <c r="AG2326" s="241"/>
      <c r="AH2326" s="301"/>
      <c r="AI2326" s="254"/>
      <c r="AJ2326" s="348" t="s">
        <v>560</v>
      </c>
      <c r="AK2326" s="241">
        <v>4</v>
      </c>
      <c r="AL2326" s="132" t="s">
        <v>929</v>
      </c>
      <c r="AM2326" s="132" t="s">
        <v>929</v>
      </c>
      <c r="AN2326" s="147" t="s">
        <v>5768</v>
      </c>
      <c r="AO2326" s="190"/>
      <c r="AR2326" s="115"/>
    </row>
    <row r="2327" spans="1:46" ht="39" customHeight="1" x14ac:dyDescent="0.3">
      <c r="A2327" s="1468">
        <v>2326</v>
      </c>
      <c r="B2327" s="161">
        <v>2</v>
      </c>
      <c r="C2327" s="1046" t="s">
        <v>353</v>
      </c>
      <c r="D2327" s="282"/>
      <c r="E2327" s="282" t="s">
        <v>47</v>
      </c>
      <c r="F2327" s="282"/>
      <c r="G2327" s="1047" t="s">
        <v>449</v>
      </c>
      <c r="H2327" s="262" t="s">
        <v>87</v>
      </c>
      <c r="I2327" s="492"/>
      <c r="J2327" s="245" t="s">
        <v>561</v>
      </c>
      <c r="K2327" s="197"/>
      <c r="L2327" s="288"/>
      <c r="M2327" s="288"/>
      <c r="N2327" s="245"/>
      <c r="O2327" s="1463"/>
      <c r="P2327" s="402"/>
      <c r="Q2327" s="1492"/>
      <c r="R2327" s="1494" t="s">
        <v>66</v>
      </c>
      <c r="S2327" s="279"/>
      <c r="T2327" s="250"/>
      <c r="U2327" s="250"/>
      <c r="V2327" s="245"/>
      <c r="W2327" s="250"/>
      <c r="X2327" s="197"/>
      <c r="Y2327" s="949"/>
      <c r="Z2327" s="246"/>
      <c r="AA2327" s="252"/>
      <c r="AB2327" s="301"/>
      <c r="AC2327" s="223"/>
      <c r="AD2327" s="245"/>
      <c r="AE2327" s="494"/>
      <c r="AF2327" s="494"/>
      <c r="AG2327" s="301"/>
      <c r="AH2327" s="301"/>
      <c r="AI2327" s="254"/>
      <c r="AJ2327" s="303"/>
      <c r="AK2327" s="471">
        <v>4</v>
      </c>
      <c r="AL2327" s="780" t="s">
        <v>929</v>
      </c>
      <c r="AM2327" s="780" t="s">
        <v>929</v>
      </c>
      <c r="AN2327" s="147" t="s">
        <v>5764</v>
      </c>
      <c r="AO2327" s="194"/>
      <c r="AR2327" s="115"/>
    </row>
    <row r="2328" spans="1:46" s="827" customFormat="1" ht="39" customHeight="1" x14ac:dyDescent="0.3">
      <c r="A2328" s="1468">
        <v>2327</v>
      </c>
      <c r="B2328" s="190"/>
      <c r="C2328" s="723"/>
      <c r="D2328" s="535"/>
      <c r="E2328" s="535"/>
      <c r="F2328" s="535"/>
      <c r="G2328" s="536"/>
      <c r="H2328" s="732"/>
      <c r="I2328" s="732"/>
      <c r="J2328" s="309"/>
      <c r="K2328" s="309"/>
      <c r="L2328" s="309"/>
      <c r="M2328" s="538"/>
      <c r="N2328" s="309"/>
      <c r="O2328" s="309"/>
      <c r="P2328" s="738" t="s">
        <v>450</v>
      </c>
      <c r="Q2328" s="911"/>
      <c r="R2328" s="1209"/>
      <c r="S2328" s="279"/>
      <c r="T2328" s="232"/>
      <c r="U2328" s="250"/>
      <c r="V2328" s="232"/>
      <c r="W2328" s="232"/>
      <c r="X2328" s="232"/>
      <c r="Y2328" s="232"/>
      <c r="Z2328" s="233"/>
      <c r="AA2328" s="233"/>
      <c r="AB2328" s="745"/>
      <c r="AC2328" s="236"/>
      <c r="AD2328" s="538"/>
      <c r="AE2328" s="494"/>
      <c r="AF2328" s="494"/>
      <c r="AG2328" s="535"/>
      <c r="AH2328" s="745"/>
      <c r="AI2328" s="747"/>
      <c r="AJ2328" s="742"/>
      <c r="AK2328" s="742"/>
      <c r="AL2328" s="753"/>
      <c r="AM2328" s="748"/>
      <c r="AN2328" s="202"/>
      <c r="AO2328" s="196"/>
      <c r="AP2328" s="192"/>
      <c r="AQ2328" s="192"/>
      <c r="AR2328" s="192"/>
      <c r="AS2328" s="192"/>
      <c r="AT2328" s="192"/>
    </row>
    <row r="2329" spans="1:46" ht="39" customHeight="1" x14ac:dyDescent="0.3">
      <c r="A2329" s="1468">
        <v>2328</v>
      </c>
      <c r="B2329" s="161">
        <v>5</v>
      </c>
      <c r="C2329" s="934" t="s">
        <v>367</v>
      </c>
      <c r="D2329" s="865"/>
      <c r="E2329" s="498"/>
      <c r="F2329" s="498"/>
      <c r="G2329" s="499" t="s">
        <v>451</v>
      </c>
      <c r="H2329" s="500" t="s">
        <v>132</v>
      </c>
      <c r="I2329" s="480"/>
      <c r="J2329" s="256">
        <v>403</v>
      </c>
      <c r="K2329" s="216" t="s">
        <v>313</v>
      </c>
      <c r="L2329" s="216" t="s">
        <v>1165</v>
      </c>
      <c r="M2329" s="216" t="s">
        <v>1165</v>
      </c>
      <c r="N2329" s="245"/>
      <c r="O2329" s="216" t="s">
        <v>1166</v>
      </c>
      <c r="P2329" s="372"/>
      <c r="Q2329" s="373" t="s">
        <v>519</v>
      </c>
      <c r="R2329" s="1503" t="s">
        <v>1167</v>
      </c>
      <c r="S2329" s="279">
        <v>28634</v>
      </c>
      <c r="T2329" s="197"/>
      <c r="U2329" s="251" t="s">
        <v>54</v>
      </c>
      <c r="V2329" s="197" t="s">
        <v>1168</v>
      </c>
      <c r="W2329" s="197" t="s">
        <v>1169</v>
      </c>
      <c r="X2329" s="197" t="s">
        <v>71</v>
      </c>
      <c r="Y2329" s="197" t="s">
        <v>6192</v>
      </c>
      <c r="Z2329" s="246">
        <v>44595</v>
      </c>
      <c r="AA2329" s="252"/>
      <c r="AB2329" s="281"/>
      <c r="AC2329" s="223" t="s">
        <v>946</v>
      </c>
      <c r="AD2329" s="376"/>
      <c r="AE2329" s="494">
        <v>43653</v>
      </c>
      <c r="AF2329" s="494">
        <v>45479</v>
      </c>
      <c r="AG2329" s="241" t="s">
        <v>61</v>
      </c>
      <c r="AH2329" s="283"/>
      <c r="AI2329" s="296"/>
      <c r="AJ2329" s="348" t="s">
        <v>560</v>
      </c>
      <c r="AK2329" s="491">
        <v>3</v>
      </c>
      <c r="AL2329" s="874" t="s">
        <v>929</v>
      </c>
      <c r="AM2329" s="874" t="s">
        <v>929</v>
      </c>
      <c r="AN2329" s="200"/>
      <c r="AO2329" s="193"/>
      <c r="AR2329" s="115"/>
    </row>
    <row r="2330" spans="1:46" ht="39" customHeight="1" x14ac:dyDescent="0.3">
      <c r="A2330" s="1468">
        <v>2329</v>
      </c>
      <c r="B2330" s="161">
        <v>3</v>
      </c>
      <c r="C2330" s="358" t="s">
        <v>452</v>
      </c>
      <c r="D2330" s="282"/>
      <c r="E2330" s="282"/>
      <c r="F2330" s="282"/>
      <c r="G2330" s="447" t="s">
        <v>453</v>
      </c>
      <c r="H2330" s="262" t="s">
        <v>85</v>
      </c>
      <c r="I2330" s="364"/>
      <c r="J2330" s="245" t="s">
        <v>556</v>
      </c>
      <c r="K2330" s="216"/>
      <c r="L2330" s="216"/>
      <c r="M2330" s="281"/>
      <c r="N2330" s="216"/>
      <c r="O2330" s="392" t="s">
        <v>3922</v>
      </c>
      <c r="P2330" s="402" t="s">
        <v>1828</v>
      </c>
      <c r="Q2330" s="485" t="s">
        <v>570</v>
      </c>
      <c r="R2330" s="1503" t="s">
        <v>3921</v>
      </c>
      <c r="S2330" s="279">
        <v>36615</v>
      </c>
      <c r="T2330" s="197"/>
      <c r="U2330" s="251" t="s">
        <v>54</v>
      </c>
      <c r="V2330" s="197" t="s">
        <v>5512</v>
      </c>
      <c r="W2330" s="250" t="s">
        <v>56</v>
      </c>
      <c r="X2330" s="197" t="s">
        <v>57</v>
      </c>
      <c r="Y2330" s="197" t="s">
        <v>5726</v>
      </c>
      <c r="Z2330" s="246">
        <v>45272</v>
      </c>
      <c r="AA2330" s="246"/>
      <c r="AB2330" s="376"/>
      <c r="AC2330" s="223"/>
      <c r="AD2330" s="281"/>
      <c r="AE2330" s="494"/>
      <c r="AF2330" s="494"/>
      <c r="AG2330" s="282"/>
      <c r="AH2330" s="376"/>
      <c r="AI2330" s="547"/>
      <c r="AJ2330" s="348" t="s">
        <v>560</v>
      </c>
      <c r="AK2330" s="241">
        <v>4</v>
      </c>
      <c r="AL2330" s="132" t="s">
        <v>929</v>
      </c>
      <c r="AM2330" s="132" t="s">
        <v>929</v>
      </c>
      <c r="AN2330" s="147" t="s">
        <v>5769</v>
      </c>
      <c r="AO2330" s="190"/>
      <c r="AR2330" s="115"/>
    </row>
    <row r="2331" spans="1:46" ht="39" customHeight="1" x14ac:dyDescent="0.3">
      <c r="A2331" s="1468">
        <v>2330</v>
      </c>
      <c r="B2331" s="161">
        <v>2</v>
      </c>
      <c r="C2331" s="358" t="s">
        <v>86</v>
      </c>
      <c r="D2331" s="282"/>
      <c r="E2331" s="282"/>
      <c r="F2331" s="282"/>
      <c r="G2331" s="447" t="s">
        <v>5023</v>
      </c>
      <c r="H2331" s="262" t="s">
        <v>87</v>
      </c>
      <c r="I2331" s="364"/>
      <c r="J2331" s="245" t="s">
        <v>561</v>
      </c>
      <c r="K2331" s="216"/>
      <c r="L2331" s="288"/>
      <c r="M2331" s="288"/>
      <c r="N2331" s="216"/>
      <c r="O2331" s="1399" t="s">
        <v>5836</v>
      </c>
      <c r="P2331" s="320"/>
      <c r="Q2331" s="485" t="s">
        <v>87</v>
      </c>
      <c r="R2331" s="1503" t="s">
        <v>5835</v>
      </c>
      <c r="S2331" s="279">
        <v>36684</v>
      </c>
      <c r="T2331" s="197"/>
      <c r="U2331" s="251" t="s">
        <v>54</v>
      </c>
      <c r="V2331" s="197" t="s">
        <v>5955</v>
      </c>
      <c r="W2331" s="197" t="s">
        <v>70</v>
      </c>
      <c r="X2331" s="197" t="s">
        <v>71</v>
      </c>
      <c r="Y2331" s="949" t="s">
        <v>5964</v>
      </c>
      <c r="Z2331" s="612">
        <v>45312</v>
      </c>
      <c r="AA2331" s="252"/>
      <c r="AB2331" s="301"/>
      <c r="AC2331" s="223"/>
      <c r="AD2331" s="245"/>
      <c r="AE2331" s="494"/>
      <c r="AF2331" s="494"/>
      <c r="AG2331" s="301"/>
      <c r="AH2331" s="301"/>
      <c r="AI2331" s="254"/>
      <c r="AJ2331" s="348" t="s">
        <v>560</v>
      </c>
      <c r="AK2331" s="241">
        <v>4</v>
      </c>
      <c r="AL2331" s="132" t="s">
        <v>929</v>
      </c>
      <c r="AM2331" s="132" t="s">
        <v>929</v>
      </c>
      <c r="AN2331" s="147"/>
      <c r="AO2331" s="190"/>
      <c r="AR2331" s="115"/>
    </row>
    <row r="2332" spans="1:46" ht="39" customHeight="1" x14ac:dyDescent="0.3">
      <c r="A2332" s="1468">
        <v>2331</v>
      </c>
      <c r="B2332" s="161">
        <v>2</v>
      </c>
      <c r="C2332" s="1046" t="s">
        <v>5024</v>
      </c>
      <c r="D2332" s="282"/>
      <c r="E2332" s="282"/>
      <c r="F2332" s="282"/>
      <c r="G2332" s="447" t="s">
        <v>354</v>
      </c>
      <c r="H2332" s="262" t="s">
        <v>87</v>
      </c>
      <c r="I2332" s="364"/>
      <c r="J2332" s="245" t="s">
        <v>561</v>
      </c>
      <c r="K2332" s="265"/>
      <c r="L2332" s="265" t="s">
        <v>1860</v>
      </c>
      <c r="M2332" s="265" t="s">
        <v>1860</v>
      </c>
      <c r="N2332" s="265"/>
      <c r="O2332" s="265" t="s">
        <v>2161</v>
      </c>
      <c r="P2332" s="431"/>
      <c r="Q2332" s="1499" t="s">
        <v>87</v>
      </c>
      <c r="R2332" s="1503" t="s">
        <v>1859</v>
      </c>
      <c r="S2332" s="279">
        <v>37069</v>
      </c>
      <c r="T2332" s="414"/>
      <c r="U2332" s="251" t="s">
        <v>54</v>
      </c>
      <c r="V2332" s="197" t="s">
        <v>2364</v>
      </c>
      <c r="W2332" s="250"/>
      <c r="X2332" s="250"/>
      <c r="Y2332" s="197"/>
      <c r="Z2332" s="395"/>
      <c r="AA2332" s="252"/>
      <c r="AB2332" s="394"/>
      <c r="AC2332" s="474"/>
      <c r="AD2332" s="394"/>
      <c r="AE2332" s="494"/>
      <c r="AF2332" s="494"/>
      <c r="AG2332" s="394"/>
      <c r="AH2332" s="394"/>
      <c r="AI2332" s="829"/>
      <c r="AJ2332" s="348" t="s">
        <v>560</v>
      </c>
      <c r="AK2332" s="241">
        <v>4</v>
      </c>
      <c r="AL2332" s="132" t="s">
        <v>929</v>
      </c>
      <c r="AM2332" s="132" t="s">
        <v>929</v>
      </c>
      <c r="AN2332" s="147" t="s">
        <v>5770</v>
      </c>
      <c r="AO2332" s="190"/>
      <c r="AR2332" s="115"/>
    </row>
    <row r="2333" spans="1:46" ht="39" customHeight="1" x14ac:dyDescent="0.3">
      <c r="A2333" s="1468">
        <v>2332</v>
      </c>
      <c r="B2333" s="161">
        <v>2</v>
      </c>
      <c r="C2333" s="358" t="s">
        <v>454</v>
      </c>
      <c r="D2333" s="282"/>
      <c r="E2333" s="282"/>
      <c r="F2333" s="282"/>
      <c r="G2333" s="447" t="s">
        <v>455</v>
      </c>
      <c r="H2333" s="262" t="s">
        <v>87</v>
      </c>
      <c r="I2333" s="364" t="s">
        <v>2095</v>
      </c>
      <c r="J2333" s="245" t="s">
        <v>561</v>
      </c>
      <c r="K2333" s="216"/>
      <c r="L2333" s="216"/>
      <c r="M2333" s="216"/>
      <c r="N2333" s="216"/>
      <c r="O2333" s="1354"/>
      <c r="P2333" s="402"/>
      <c r="Q2333" s="373"/>
      <c r="R2333" s="1494" t="s">
        <v>66</v>
      </c>
      <c r="S2333" s="279"/>
      <c r="T2333" s="250"/>
      <c r="U2333" s="250"/>
      <c r="V2333" s="197"/>
      <c r="W2333" s="250"/>
      <c r="X2333" s="197"/>
      <c r="Y2333" s="197"/>
      <c r="Z2333" s="246"/>
      <c r="AA2333" s="252"/>
      <c r="AB2333" s="281"/>
      <c r="AC2333" s="281"/>
      <c r="AD2333" s="281"/>
      <c r="AE2333" s="252"/>
      <c r="AF2333" s="252"/>
      <c r="AG2333" s="282"/>
      <c r="AH2333" s="282"/>
      <c r="AI2333" s="296"/>
      <c r="AJ2333" s="348"/>
      <c r="AK2333" s="241">
        <v>4</v>
      </c>
      <c r="AL2333" s="132" t="s">
        <v>929</v>
      </c>
      <c r="AM2333" s="132" t="s">
        <v>929</v>
      </c>
      <c r="AN2333" s="147" t="s">
        <v>5769</v>
      </c>
      <c r="AO2333" s="190"/>
      <c r="AR2333" s="115"/>
    </row>
    <row r="2334" spans="1:46" ht="39" customHeight="1" x14ac:dyDescent="0.3">
      <c r="A2334" s="1468">
        <v>2333</v>
      </c>
      <c r="B2334" s="161">
        <v>2</v>
      </c>
      <c r="C2334" s="358" t="s">
        <v>454</v>
      </c>
      <c r="D2334" s="282"/>
      <c r="E2334" s="282"/>
      <c r="F2334" s="282"/>
      <c r="G2334" s="447" t="s">
        <v>455</v>
      </c>
      <c r="H2334" s="262" t="s">
        <v>87</v>
      </c>
      <c r="I2334" s="364"/>
      <c r="J2334" s="245" t="s">
        <v>561</v>
      </c>
      <c r="K2334" s="197"/>
      <c r="L2334" s="288" t="s">
        <v>5503</v>
      </c>
      <c r="M2334" s="288" t="s">
        <v>5503</v>
      </c>
      <c r="N2334" s="245"/>
      <c r="O2334" s="1457" t="s">
        <v>5505</v>
      </c>
      <c r="P2334" s="402" t="s">
        <v>1411</v>
      </c>
      <c r="Q2334" s="485" t="s">
        <v>87</v>
      </c>
      <c r="R2334" s="1503" t="s">
        <v>5504</v>
      </c>
      <c r="S2334" s="279">
        <v>31837</v>
      </c>
      <c r="T2334" s="250"/>
      <c r="U2334" s="250"/>
      <c r="V2334" s="197"/>
      <c r="W2334" s="250" t="s">
        <v>4076</v>
      </c>
      <c r="X2334" s="197"/>
      <c r="Y2334" s="197"/>
      <c r="Z2334" s="246"/>
      <c r="AA2334" s="252"/>
      <c r="AB2334" s="301"/>
      <c r="AC2334" s="223"/>
      <c r="AD2334" s="245"/>
      <c r="AE2334" s="494"/>
      <c r="AF2334" s="494"/>
      <c r="AG2334" s="301"/>
      <c r="AH2334" s="301"/>
      <c r="AI2334" s="254"/>
      <c r="AJ2334" s="348" t="s">
        <v>560</v>
      </c>
      <c r="AK2334" s="241">
        <v>4</v>
      </c>
      <c r="AL2334" s="132" t="s">
        <v>929</v>
      </c>
      <c r="AM2334" s="132" t="s">
        <v>929</v>
      </c>
      <c r="AN2334" s="147" t="s">
        <v>5769</v>
      </c>
      <c r="AO2334" s="190"/>
      <c r="AR2334" s="115"/>
    </row>
    <row r="2335" spans="1:46" ht="39" customHeight="1" x14ac:dyDescent="0.3">
      <c r="A2335" s="1468">
        <v>2334</v>
      </c>
      <c r="B2335" s="161">
        <v>2</v>
      </c>
      <c r="C2335" s="358" t="s">
        <v>454</v>
      </c>
      <c r="D2335" s="282"/>
      <c r="E2335" s="282"/>
      <c r="F2335" s="282"/>
      <c r="G2335" s="447" t="s">
        <v>455</v>
      </c>
      <c r="H2335" s="262" t="s">
        <v>87</v>
      </c>
      <c r="I2335" s="364"/>
      <c r="J2335" s="245" t="s">
        <v>561</v>
      </c>
      <c r="K2335" s="288"/>
      <c r="L2335" s="216"/>
      <c r="M2335" s="216"/>
      <c r="N2335" s="281"/>
      <c r="O2335" s="1354" t="s">
        <v>3209</v>
      </c>
      <c r="P2335" s="320" t="s">
        <v>1411</v>
      </c>
      <c r="Q2335" s="373" t="s">
        <v>293</v>
      </c>
      <c r="R2335" s="1503" t="s">
        <v>1162</v>
      </c>
      <c r="S2335" s="279">
        <v>31505</v>
      </c>
      <c r="T2335" s="197"/>
      <c r="U2335" s="251" t="s">
        <v>54</v>
      </c>
      <c r="V2335" s="197" t="s">
        <v>2365</v>
      </c>
      <c r="W2335" s="197" t="s">
        <v>70</v>
      </c>
      <c r="X2335" s="197" t="s">
        <v>71</v>
      </c>
      <c r="Y2335" s="197"/>
      <c r="Z2335" s="246"/>
      <c r="AA2335" s="246"/>
      <c r="AB2335" s="376"/>
      <c r="AC2335" s="223"/>
      <c r="AD2335" s="281"/>
      <c r="AE2335" s="363"/>
      <c r="AF2335" s="252"/>
      <c r="AG2335" s="282"/>
      <c r="AH2335" s="376"/>
      <c r="AI2335" s="547"/>
      <c r="AJ2335" s="348" t="s">
        <v>560</v>
      </c>
      <c r="AK2335" s="241">
        <v>4</v>
      </c>
      <c r="AL2335" s="132" t="s">
        <v>929</v>
      </c>
      <c r="AM2335" s="132" t="s">
        <v>929</v>
      </c>
      <c r="AN2335" s="147" t="s">
        <v>5769</v>
      </c>
      <c r="AO2335" s="190"/>
      <c r="AR2335" s="115"/>
    </row>
    <row r="2336" spans="1:46" ht="39" customHeight="1" x14ac:dyDescent="0.3">
      <c r="A2336" s="1468">
        <v>2335</v>
      </c>
      <c r="B2336" s="161">
        <v>2</v>
      </c>
      <c r="C2336" s="358" t="s">
        <v>454</v>
      </c>
      <c r="D2336" s="282"/>
      <c r="E2336" s="282"/>
      <c r="F2336" s="282"/>
      <c r="G2336" s="447" t="s">
        <v>455</v>
      </c>
      <c r="H2336" s="262" t="s">
        <v>87</v>
      </c>
      <c r="I2336" s="364"/>
      <c r="J2336" s="245" t="s">
        <v>561</v>
      </c>
      <c r="K2336" s="197"/>
      <c r="L2336" s="256"/>
      <c r="M2336" s="256"/>
      <c r="N2336" s="245"/>
      <c r="O2336" s="950" t="s">
        <v>2587</v>
      </c>
      <c r="P2336" s="247" t="s">
        <v>1411</v>
      </c>
      <c r="Q2336" s="373" t="s">
        <v>567</v>
      </c>
      <c r="R2336" s="1503" t="s">
        <v>2586</v>
      </c>
      <c r="S2336" s="279">
        <v>31729</v>
      </c>
      <c r="T2336" s="250"/>
      <c r="U2336" s="251" t="s">
        <v>54</v>
      </c>
      <c r="V2336" s="306"/>
      <c r="W2336" s="197" t="s">
        <v>70</v>
      </c>
      <c r="X2336" s="197" t="s">
        <v>71</v>
      </c>
      <c r="Y2336" s="197"/>
      <c r="Z2336" s="246"/>
      <c r="AA2336" s="252"/>
      <c r="AB2336" s="281"/>
      <c r="AC2336" s="281"/>
      <c r="AD2336" s="281"/>
      <c r="AE2336" s="252"/>
      <c r="AF2336" s="252"/>
      <c r="AG2336" s="282"/>
      <c r="AH2336" s="282"/>
      <c r="AI2336" s="296"/>
      <c r="AJ2336" s="348" t="s">
        <v>560</v>
      </c>
      <c r="AK2336" s="241">
        <v>4</v>
      </c>
      <c r="AL2336" s="132" t="s">
        <v>929</v>
      </c>
      <c r="AM2336" s="132" t="s">
        <v>929</v>
      </c>
      <c r="AN2336" s="199"/>
      <c r="AO2336" s="190"/>
      <c r="AR2336" s="115"/>
    </row>
    <row r="2337" spans="1:46" ht="39" customHeight="1" x14ac:dyDescent="0.3">
      <c r="A2337" s="1468">
        <v>2336</v>
      </c>
      <c r="B2337" s="161">
        <v>2</v>
      </c>
      <c r="C2337" s="725" t="s">
        <v>456</v>
      </c>
      <c r="D2337" s="481"/>
      <c r="E2337" s="481"/>
      <c r="F2337" s="481"/>
      <c r="G2337" s="527" t="s">
        <v>5025</v>
      </c>
      <c r="H2337" s="262" t="s">
        <v>87</v>
      </c>
      <c r="I2337" s="492"/>
      <c r="J2337" s="245" t="s">
        <v>561</v>
      </c>
      <c r="K2337" s="216"/>
      <c r="L2337" s="216"/>
      <c r="M2337" s="281"/>
      <c r="N2337" s="216"/>
      <c r="O2337" s="1357" t="s">
        <v>3228</v>
      </c>
      <c r="P2337" s="247"/>
      <c r="Q2337" s="373" t="s">
        <v>87</v>
      </c>
      <c r="R2337" s="1503" t="s">
        <v>1406</v>
      </c>
      <c r="S2337" s="279">
        <v>30025</v>
      </c>
      <c r="T2337" s="197"/>
      <c r="U2337" s="251" t="s">
        <v>54</v>
      </c>
      <c r="V2337" s="197"/>
      <c r="W2337" s="197" t="s">
        <v>70</v>
      </c>
      <c r="X2337" s="197" t="s">
        <v>71</v>
      </c>
      <c r="Y2337" s="197"/>
      <c r="Z2337" s="246"/>
      <c r="AA2337" s="246"/>
      <c r="AB2337" s="376"/>
      <c r="AC2337" s="223"/>
      <c r="AD2337" s="281"/>
      <c r="AE2337" s="363"/>
      <c r="AF2337" s="252"/>
      <c r="AG2337" s="282"/>
      <c r="AH2337" s="376"/>
      <c r="AI2337" s="547"/>
      <c r="AJ2337" s="348" t="s">
        <v>560</v>
      </c>
      <c r="AK2337" s="471">
        <v>4</v>
      </c>
      <c r="AL2337" s="780" t="s">
        <v>929</v>
      </c>
      <c r="AM2337" s="780" t="s">
        <v>929</v>
      </c>
      <c r="AN2337" s="201"/>
      <c r="AO2337" s="194"/>
      <c r="AR2337" s="115"/>
    </row>
    <row r="2338" spans="1:46" s="827" customFormat="1" ht="39" customHeight="1" x14ac:dyDescent="0.3">
      <c r="A2338" s="1468">
        <v>2337</v>
      </c>
      <c r="B2338" s="117"/>
      <c r="C2338" s="324"/>
      <c r="D2338" s="664"/>
      <c r="E2338" s="664"/>
      <c r="F2338" s="664"/>
      <c r="G2338" s="227"/>
      <c r="H2338" s="228"/>
      <c r="I2338" s="228"/>
      <c r="J2338" s="229"/>
      <c r="K2338" s="227"/>
      <c r="L2338" s="229"/>
      <c r="M2338" s="229"/>
      <c r="N2338" s="229"/>
      <c r="O2338" s="309"/>
      <c r="P2338" s="230" t="s">
        <v>845</v>
      </c>
      <c r="Q2338" s="664"/>
      <c r="R2338" s="1209"/>
      <c r="S2338" s="279"/>
      <c r="T2338" s="232"/>
      <c r="U2338" s="250"/>
      <c r="V2338" s="232"/>
      <c r="W2338" s="232"/>
      <c r="X2338" s="232"/>
      <c r="Y2338" s="232"/>
      <c r="Z2338" s="233"/>
      <c r="AA2338" s="234"/>
      <c r="AB2338" s="235"/>
      <c r="AC2338" s="236"/>
      <c r="AD2338" s="235"/>
      <c r="AE2338" s="237"/>
      <c r="AF2338" s="233"/>
      <c r="AG2338" s="664"/>
      <c r="AH2338" s="238"/>
      <c r="AI2338" s="239"/>
      <c r="AJ2338" s="576"/>
      <c r="AK2338" s="664"/>
      <c r="AL2338" s="113"/>
      <c r="AM2338" s="113"/>
      <c r="AN2338" s="202"/>
      <c r="AO2338" s="196"/>
      <c r="AP2338" s="192"/>
      <c r="AQ2338" s="192"/>
      <c r="AR2338" s="192"/>
      <c r="AS2338" s="192"/>
      <c r="AT2338" s="192"/>
    </row>
    <row r="2339" spans="1:46" ht="39" customHeight="1" x14ac:dyDescent="0.3">
      <c r="A2339" s="1468">
        <v>2338</v>
      </c>
      <c r="B2339" s="119">
        <v>12</v>
      </c>
      <c r="C2339" s="784" t="s">
        <v>846</v>
      </c>
      <c r="D2339" s="487"/>
      <c r="E2339" s="728" t="s">
        <v>47</v>
      </c>
      <c r="F2339" s="487"/>
      <c r="G2339" s="730" t="s">
        <v>421</v>
      </c>
      <c r="H2339" s="340" t="s">
        <v>422</v>
      </c>
      <c r="I2339" s="733"/>
      <c r="J2339" s="281">
        <v>332</v>
      </c>
      <c r="K2339" s="277"/>
      <c r="L2339" s="441" t="s">
        <v>5754</v>
      </c>
      <c r="M2339" s="441" t="s">
        <v>5754</v>
      </c>
      <c r="N2339" s="441"/>
      <c r="O2339" s="277" t="s">
        <v>5753</v>
      </c>
      <c r="P2339" s="592"/>
      <c r="Q2339" s="326" t="s">
        <v>847</v>
      </c>
      <c r="R2339" s="1501" t="s">
        <v>5752</v>
      </c>
      <c r="S2339" s="279">
        <v>22421</v>
      </c>
      <c r="T2339" s="443"/>
      <c r="U2339" s="250"/>
      <c r="V2339" s="443"/>
      <c r="W2339" s="280"/>
      <c r="X2339" s="443"/>
      <c r="Y2339" s="280"/>
      <c r="Z2339" s="398"/>
      <c r="AA2339" s="494"/>
      <c r="AB2339" s="487"/>
      <c r="AC2339" s="488"/>
      <c r="AD2339" s="487"/>
      <c r="AE2339" s="494"/>
      <c r="AF2339" s="494"/>
      <c r="AG2339" s="476"/>
      <c r="AH2339" s="489"/>
      <c r="AI2339" s="495"/>
      <c r="AJ2339" s="755" t="s">
        <v>62</v>
      </c>
      <c r="AK2339" s="442">
        <v>1</v>
      </c>
      <c r="AL2339" s="175" t="s">
        <v>848</v>
      </c>
      <c r="AM2339" s="175" t="s">
        <v>848</v>
      </c>
      <c r="AN2339" s="200"/>
      <c r="AO2339" s="193"/>
      <c r="AR2339" s="115"/>
    </row>
    <row r="2340" spans="1:46" ht="39" customHeight="1" x14ac:dyDescent="0.3">
      <c r="A2340" s="1468">
        <v>2339</v>
      </c>
      <c r="B2340" s="119">
        <v>11</v>
      </c>
      <c r="C2340" s="948" t="s">
        <v>849</v>
      </c>
      <c r="D2340" s="361"/>
      <c r="E2340" s="338" t="s">
        <v>47</v>
      </c>
      <c r="F2340" s="282"/>
      <c r="G2340" s="339" t="s">
        <v>421</v>
      </c>
      <c r="H2340" s="340" t="s">
        <v>422</v>
      </c>
      <c r="I2340" s="340"/>
      <c r="J2340" s="281">
        <v>332</v>
      </c>
      <c r="K2340" s="216"/>
      <c r="L2340" s="281"/>
      <c r="M2340" s="281"/>
      <c r="N2340" s="320"/>
      <c r="O2340" s="216"/>
      <c r="P2340" s="320"/>
      <c r="Q2340" s="326"/>
      <c r="R2340" s="1494" t="s">
        <v>66</v>
      </c>
      <c r="S2340" s="279"/>
      <c r="T2340" s="250"/>
      <c r="U2340" s="250"/>
      <c r="V2340" s="299"/>
      <c r="W2340" s="197"/>
      <c r="X2340" s="197"/>
      <c r="Y2340" s="288"/>
      <c r="Z2340" s="252"/>
      <c r="AA2340" s="246"/>
      <c r="AB2340" s="282"/>
      <c r="AC2340" s="223"/>
      <c r="AD2340" s="282"/>
      <c r="AE2340" s="258"/>
      <c r="AF2340" s="258"/>
      <c r="AG2340" s="241"/>
      <c r="AH2340" s="283"/>
      <c r="AI2340" s="322"/>
      <c r="AJ2340" s="255"/>
      <c r="AK2340" s="242">
        <v>1</v>
      </c>
      <c r="AL2340" s="123" t="s">
        <v>848</v>
      </c>
      <c r="AM2340" s="123" t="s">
        <v>848</v>
      </c>
      <c r="AN2340" s="199"/>
      <c r="AO2340" s="190"/>
      <c r="AR2340" s="115"/>
    </row>
    <row r="2341" spans="1:46" ht="39" customHeight="1" x14ac:dyDescent="0.3">
      <c r="A2341" s="1468">
        <v>2340</v>
      </c>
      <c r="B2341" s="131">
        <v>6</v>
      </c>
      <c r="C2341" s="645" t="s">
        <v>286</v>
      </c>
      <c r="D2341" s="361"/>
      <c r="E2341" s="353" t="s">
        <v>47</v>
      </c>
      <c r="F2341" s="282"/>
      <c r="G2341" s="445" t="s">
        <v>287</v>
      </c>
      <c r="H2341" s="350" t="s">
        <v>153</v>
      </c>
      <c r="I2341" s="350"/>
      <c r="J2341" s="256">
        <v>400</v>
      </c>
      <c r="K2341" s="216" t="s">
        <v>158</v>
      </c>
      <c r="L2341" s="281" t="s">
        <v>1335</v>
      </c>
      <c r="M2341" s="281" t="s">
        <v>1336</v>
      </c>
      <c r="N2341" s="281"/>
      <c r="O2341" s="216" t="s">
        <v>1337</v>
      </c>
      <c r="P2341" s="387"/>
      <c r="Q2341" s="352" t="s">
        <v>153</v>
      </c>
      <c r="R2341" s="1502" t="s">
        <v>1338</v>
      </c>
      <c r="S2341" s="279">
        <v>28859</v>
      </c>
      <c r="T2341" s="250"/>
      <c r="U2341" s="250"/>
      <c r="V2341" s="250"/>
      <c r="W2341" s="197"/>
      <c r="X2341" s="197"/>
      <c r="Y2341" s="197"/>
      <c r="Z2341" s="252"/>
      <c r="AA2341" s="252"/>
      <c r="AB2341" s="282"/>
      <c r="AC2341" s="223" t="s">
        <v>946</v>
      </c>
      <c r="AD2341" s="282" t="s">
        <v>1339</v>
      </c>
      <c r="AE2341" s="252">
        <v>44328</v>
      </c>
      <c r="AF2341" s="252">
        <v>45423</v>
      </c>
      <c r="AG2341" s="361" t="s">
        <v>75</v>
      </c>
      <c r="AH2341" s="282"/>
      <c r="AI2341" s="322"/>
      <c r="AJ2341" s="858" t="s">
        <v>47</v>
      </c>
      <c r="AK2341" s="312">
        <v>2</v>
      </c>
      <c r="AL2341" s="132" t="s">
        <v>848</v>
      </c>
      <c r="AM2341" s="132" t="s">
        <v>848</v>
      </c>
      <c r="AN2341" s="199"/>
      <c r="AO2341" s="190"/>
      <c r="AR2341" s="115"/>
    </row>
    <row r="2342" spans="1:46" ht="39" customHeight="1" x14ac:dyDescent="0.3">
      <c r="A2342" s="1468">
        <v>2341</v>
      </c>
      <c r="B2342" s="128" t="s">
        <v>129</v>
      </c>
      <c r="C2342" s="647" t="s">
        <v>850</v>
      </c>
      <c r="D2342" s="648"/>
      <c r="E2342" s="344" t="s">
        <v>47</v>
      </c>
      <c r="F2342" s="344"/>
      <c r="G2342" s="345" t="s">
        <v>851</v>
      </c>
      <c r="H2342" s="346" t="s">
        <v>132</v>
      </c>
      <c r="I2342" s="346"/>
      <c r="J2342" s="256">
        <v>403</v>
      </c>
      <c r="K2342" s="216"/>
      <c r="L2342" s="281"/>
      <c r="M2342" s="281"/>
      <c r="N2342" s="281"/>
      <c r="O2342" s="216"/>
      <c r="P2342" s="320"/>
      <c r="Q2342" s="1159"/>
      <c r="R2342" s="1494" t="s">
        <v>66</v>
      </c>
      <c r="S2342" s="279"/>
      <c r="T2342" s="250"/>
      <c r="U2342" s="250"/>
      <c r="V2342" s="250"/>
      <c r="W2342" s="250"/>
      <c r="X2342" s="250"/>
      <c r="Y2342" s="197"/>
      <c r="Z2342" s="252"/>
      <c r="AA2342" s="252"/>
      <c r="AB2342" s="282"/>
      <c r="AC2342" s="223"/>
      <c r="AD2342" s="282"/>
      <c r="AE2342" s="252"/>
      <c r="AF2342" s="252"/>
      <c r="AG2342" s="282"/>
      <c r="AH2342" s="282"/>
      <c r="AI2342" s="322"/>
      <c r="AJ2342" s="303"/>
      <c r="AK2342" s="291">
        <v>3</v>
      </c>
      <c r="AL2342" s="130" t="s">
        <v>848</v>
      </c>
      <c r="AM2342" s="130" t="s">
        <v>848</v>
      </c>
      <c r="AN2342" s="199"/>
      <c r="AO2342" s="190"/>
      <c r="AR2342" s="115"/>
    </row>
    <row r="2343" spans="1:46" ht="39" customHeight="1" x14ac:dyDescent="0.3">
      <c r="A2343" s="1468">
        <v>2342</v>
      </c>
      <c r="B2343" s="117" t="s">
        <v>129</v>
      </c>
      <c r="C2343" s="649" t="s">
        <v>426</v>
      </c>
      <c r="D2343" s="361"/>
      <c r="E2343" s="282"/>
      <c r="F2343" s="282"/>
      <c r="G2343" s="447" t="s">
        <v>427</v>
      </c>
      <c r="H2343" s="262" t="s">
        <v>85</v>
      </c>
      <c r="I2343" s="357"/>
      <c r="J2343" s="245" t="s">
        <v>556</v>
      </c>
      <c r="K2343" s="305"/>
      <c r="L2343" s="288" t="s">
        <v>5723</v>
      </c>
      <c r="M2343" s="288" t="s">
        <v>5723</v>
      </c>
      <c r="N2343" s="281"/>
      <c r="O2343" s="1430" t="s">
        <v>5725</v>
      </c>
      <c r="P2343" s="305"/>
      <c r="Q2343" s="373" t="s">
        <v>87</v>
      </c>
      <c r="R2343" s="1503" t="s">
        <v>5724</v>
      </c>
      <c r="S2343" s="279">
        <v>36245</v>
      </c>
      <c r="T2343" s="306"/>
      <c r="U2343" s="250"/>
      <c r="V2343" s="250"/>
      <c r="W2343" s="401"/>
      <c r="X2343" s="306"/>
      <c r="Y2343" s="306"/>
      <c r="Z2343" s="306"/>
      <c r="AA2343" s="305"/>
      <c r="AB2343" s="305"/>
      <c r="AC2343" s="223"/>
      <c r="AD2343" s="306"/>
      <c r="AE2343" s="306"/>
      <c r="AF2343" s="306"/>
      <c r="AG2343" s="305"/>
      <c r="AH2343" s="283"/>
      <c r="AI2343" s="254"/>
      <c r="AJ2343" s="348" t="s">
        <v>560</v>
      </c>
      <c r="AK2343" s="348">
        <v>4</v>
      </c>
      <c r="AL2343" s="139" t="s">
        <v>848</v>
      </c>
      <c r="AM2343" s="139" t="s">
        <v>848</v>
      </c>
      <c r="AN2343" s="199"/>
      <c r="AO2343" s="190"/>
      <c r="AR2343" s="115"/>
    </row>
    <row r="2344" spans="1:46" ht="39" customHeight="1" x14ac:dyDescent="0.3">
      <c r="A2344" s="1468">
        <v>2343</v>
      </c>
      <c r="B2344" s="117" t="s">
        <v>129</v>
      </c>
      <c r="C2344" s="649" t="s">
        <v>426</v>
      </c>
      <c r="D2344" s="361"/>
      <c r="E2344" s="282"/>
      <c r="F2344" s="282"/>
      <c r="G2344" s="447" t="s">
        <v>427</v>
      </c>
      <c r="H2344" s="262" t="s">
        <v>85</v>
      </c>
      <c r="I2344" s="357"/>
      <c r="J2344" s="245" t="s">
        <v>556</v>
      </c>
      <c r="K2344" s="197"/>
      <c r="L2344" s="288" t="s">
        <v>5723</v>
      </c>
      <c r="M2344" s="288" t="s">
        <v>5723</v>
      </c>
      <c r="N2344" s="245"/>
      <c r="O2344" s="1416" t="s">
        <v>5722</v>
      </c>
      <c r="P2344" s="402"/>
      <c r="Q2344" s="373" t="s">
        <v>87</v>
      </c>
      <c r="R2344" s="1503" t="s">
        <v>5755</v>
      </c>
      <c r="S2344" s="279">
        <v>36983</v>
      </c>
      <c r="T2344" s="250"/>
      <c r="U2344" s="250"/>
      <c r="V2344" s="197"/>
      <c r="W2344" s="250"/>
      <c r="X2344" s="197"/>
      <c r="Y2344" s="197"/>
      <c r="Z2344" s="246"/>
      <c r="AA2344" s="252"/>
      <c r="AB2344" s="301"/>
      <c r="AC2344" s="223"/>
      <c r="AD2344" s="245"/>
      <c r="AE2344" s="494"/>
      <c r="AF2344" s="494"/>
      <c r="AG2344" s="301"/>
      <c r="AH2344" s="301"/>
      <c r="AI2344" s="254"/>
      <c r="AJ2344" s="348" t="s">
        <v>560</v>
      </c>
      <c r="AK2344" s="241">
        <v>4</v>
      </c>
      <c r="AL2344" s="122" t="s">
        <v>848</v>
      </c>
      <c r="AM2344" s="122" t="s">
        <v>848</v>
      </c>
      <c r="AN2344" s="199"/>
      <c r="AO2344" s="190"/>
      <c r="AR2344" s="115"/>
    </row>
    <row r="2345" spans="1:46" ht="39" customHeight="1" x14ac:dyDescent="0.3">
      <c r="A2345" s="1468">
        <v>2344</v>
      </c>
      <c r="B2345" s="117" t="s">
        <v>526</v>
      </c>
      <c r="C2345" s="647" t="s">
        <v>852</v>
      </c>
      <c r="D2345" s="648"/>
      <c r="E2345" s="344"/>
      <c r="F2345" s="344"/>
      <c r="G2345" s="345" t="s">
        <v>853</v>
      </c>
      <c r="H2345" s="262" t="s">
        <v>85</v>
      </c>
      <c r="I2345" s="357"/>
      <c r="J2345" s="245" t="s">
        <v>556</v>
      </c>
      <c r="K2345" s="216"/>
      <c r="L2345" s="281" t="s">
        <v>5509</v>
      </c>
      <c r="M2345" s="281" t="s">
        <v>5509</v>
      </c>
      <c r="N2345" s="281"/>
      <c r="O2345" s="1419" t="s">
        <v>5508</v>
      </c>
      <c r="P2345" s="387"/>
      <c r="Q2345" s="373" t="s">
        <v>85</v>
      </c>
      <c r="R2345" s="1503" t="s">
        <v>5507</v>
      </c>
      <c r="S2345" s="279">
        <v>33267</v>
      </c>
      <c r="T2345" s="250"/>
      <c r="U2345" s="251" t="s">
        <v>54</v>
      </c>
      <c r="V2345" s="250" t="s">
        <v>5763</v>
      </c>
      <c r="W2345" s="197" t="s">
        <v>70</v>
      </c>
      <c r="X2345" s="197" t="s">
        <v>71</v>
      </c>
      <c r="Y2345" s="979" t="s">
        <v>5729</v>
      </c>
      <c r="Z2345" s="252">
        <v>45285</v>
      </c>
      <c r="AA2345" s="252"/>
      <c r="AB2345" s="282"/>
      <c r="AC2345" s="223"/>
      <c r="AD2345" s="282"/>
      <c r="AE2345" s="252"/>
      <c r="AF2345" s="252"/>
      <c r="AG2345" s="361"/>
      <c r="AH2345" s="282"/>
      <c r="AI2345" s="322"/>
      <c r="AJ2345" s="348" t="s">
        <v>560</v>
      </c>
      <c r="AK2345" s="348">
        <v>4</v>
      </c>
      <c r="AL2345" s="139" t="s">
        <v>848</v>
      </c>
      <c r="AM2345" s="139" t="s">
        <v>848</v>
      </c>
      <c r="AN2345" s="199"/>
      <c r="AO2345" s="190"/>
      <c r="AR2345" s="115"/>
    </row>
    <row r="2346" spans="1:46" ht="39" customHeight="1" x14ac:dyDescent="0.3">
      <c r="A2346" s="1468">
        <v>2345</v>
      </c>
      <c r="B2346" s="117" t="s">
        <v>526</v>
      </c>
      <c r="C2346" s="649" t="s">
        <v>852</v>
      </c>
      <c r="D2346" s="361"/>
      <c r="E2346" s="282"/>
      <c r="F2346" s="282"/>
      <c r="G2346" s="447" t="s">
        <v>853</v>
      </c>
      <c r="H2346" s="262" t="s">
        <v>85</v>
      </c>
      <c r="I2346" s="357"/>
      <c r="J2346" s="245" t="s">
        <v>556</v>
      </c>
      <c r="K2346" s="216"/>
      <c r="L2346" s="281" t="s">
        <v>301</v>
      </c>
      <c r="M2346" s="281" t="s">
        <v>4578</v>
      </c>
      <c r="N2346" s="299"/>
      <c r="O2346" s="392" t="s">
        <v>2965</v>
      </c>
      <c r="P2346" s="300"/>
      <c r="Q2346" s="407" t="s">
        <v>85</v>
      </c>
      <c r="R2346" s="1494" t="s">
        <v>1459</v>
      </c>
      <c r="S2346" s="279"/>
      <c r="T2346" s="257"/>
      <c r="U2346" s="250" t="s">
        <v>544</v>
      </c>
      <c r="V2346" s="252">
        <v>45325</v>
      </c>
      <c r="W2346" s="401"/>
      <c r="X2346" s="401"/>
      <c r="Y2346" s="245"/>
      <c r="Z2346" s="246"/>
      <c r="AA2346" s="252"/>
      <c r="AB2346" s="288" t="s">
        <v>4538</v>
      </c>
      <c r="AC2346" s="223" t="s">
        <v>946</v>
      </c>
      <c r="AD2346" s="299"/>
      <c r="AE2346" s="252">
        <v>45098</v>
      </c>
      <c r="AF2346" s="252">
        <v>45463</v>
      </c>
      <c r="AG2346" s="299"/>
      <c r="AH2346" s="299"/>
      <c r="AI2346" s="296" t="s">
        <v>1351</v>
      </c>
      <c r="AJ2346" s="303" t="s">
        <v>136</v>
      </c>
      <c r="AK2346" s="241">
        <v>4</v>
      </c>
      <c r="AL2346" s="122" t="s">
        <v>848</v>
      </c>
      <c r="AM2346" s="122" t="s">
        <v>848</v>
      </c>
      <c r="AN2346" s="199"/>
      <c r="AO2346" s="190"/>
      <c r="AR2346" s="115"/>
    </row>
    <row r="2347" spans="1:46" ht="39" customHeight="1" x14ac:dyDescent="0.3">
      <c r="A2347" s="1468">
        <v>2346</v>
      </c>
      <c r="B2347" s="117" t="s">
        <v>526</v>
      </c>
      <c r="C2347" s="649" t="s">
        <v>852</v>
      </c>
      <c r="D2347" s="361"/>
      <c r="E2347" s="282"/>
      <c r="F2347" s="282"/>
      <c r="G2347" s="447" t="s">
        <v>853</v>
      </c>
      <c r="H2347" s="262" t="s">
        <v>85</v>
      </c>
      <c r="I2347" s="357"/>
      <c r="J2347" s="245" t="s">
        <v>556</v>
      </c>
      <c r="K2347" s="595"/>
      <c r="L2347" s="281" t="s">
        <v>1685</v>
      </c>
      <c r="M2347" s="277" t="s">
        <v>5756</v>
      </c>
      <c r="N2347" s="366"/>
      <c r="O2347" s="1433" t="s">
        <v>2992</v>
      </c>
      <c r="P2347" s="402"/>
      <c r="Q2347" s="380" t="s">
        <v>85</v>
      </c>
      <c r="R2347" s="1494" t="s">
        <v>1699</v>
      </c>
      <c r="S2347" s="279"/>
      <c r="T2347" s="197"/>
      <c r="U2347" s="250"/>
      <c r="V2347" s="250"/>
      <c r="W2347" s="401"/>
      <c r="X2347" s="401"/>
      <c r="Y2347" s="245"/>
      <c r="Z2347" s="246"/>
      <c r="AA2347" s="252"/>
      <c r="AB2347" s="288" t="s">
        <v>4539</v>
      </c>
      <c r="AC2347" s="223" t="s">
        <v>946</v>
      </c>
      <c r="AD2347" s="376"/>
      <c r="AE2347" s="252">
        <v>45111</v>
      </c>
      <c r="AF2347" s="252">
        <v>45476</v>
      </c>
      <c r="AG2347" s="241"/>
      <c r="AH2347" s="283"/>
      <c r="AI2347" s="254" t="s">
        <v>1351</v>
      </c>
      <c r="AJ2347" s="303" t="s">
        <v>136</v>
      </c>
      <c r="AK2347" s="241">
        <v>4</v>
      </c>
      <c r="AL2347" s="122" t="s">
        <v>848</v>
      </c>
      <c r="AM2347" s="122" t="s">
        <v>848</v>
      </c>
      <c r="AN2347" s="199"/>
      <c r="AO2347" s="190"/>
      <c r="AR2347" s="115"/>
    </row>
    <row r="2348" spans="1:46" ht="39" customHeight="1" x14ac:dyDescent="0.3">
      <c r="A2348" s="1468">
        <v>2347</v>
      </c>
      <c r="B2348" s="117" t="s">
        <v>523</v>
      </c>
      <c r="C2348" s="649" t="s">
        <v>854</v>
      </c>
      <c r="D2348" s="361"/>
      <c r="E2348" s="282"/>
      <c r="F2348" s="282"/>
      <c r="G2348" s="447" t="s">
        <v>429</v>
      </c>
      <c r="H2348" s="262" t="s">
        <v>87</v>
      </c>
      <c r="I2348" s="357"/>
      <c r="J2348" s="245" t="s">
        <v>561</v>
      </c>
      <c r="K2348" s="216"/>
      <c r="L2348" s="281" t="s">
        <v>4852</v>
      </c>
      <c r="M2348" s="281" t="s">
        <v>4852</v>
      </c>
      <c r="N2348" s="299"/>
      <c r="O2348" s="216" t="s">
        <v>3474</v>
      </c>
      <c r="P2348" s="387"/>
      <c r="Q2348" s="373" t="s">
        <v>132</v>
      </c>
      <c r="R2348" s="1503" t="s">
        <v>3473</v>
      </c>
      <c r="S2348" s="279">
        <v>31937</v>
      </c>
      <c r="T2348" s="257"/>
      <c r="U2348" s="251" t="s">
        <v>54</v>
      </c>
      <c r="V2348" s="299" t="s">
        <v>1033</v>
      </c>
      <c r="W2348" s="299" t="s">
        <v>70</v>
      </c>
      <c r="X2348" s="299" t="s">
        <v>71</v>
      </c>
      <c r="Y2348" s="299" t="s">
        <v>4855</v>
      </c>
      <c r="Z2348" s="289">
        <v>45086</v>
      </c>
      <c r="AA2348" s="289"/>
      <c r="AB2348" s="299"/>
      <c r="AC2348" s="223"/>
      <c r="AD2348" s="299"/>
      <c r="AE2348" s="289"/>
      <c r="AF2348" s="289"/>
      <c r="AG2348" s="299"/>
      <c r="AH2348" s="299"/>
      <c r="AI2348" s="296"/>
      <c r="AJ2348" s="348" t="s">
        <v>560</v>
      </c>
      <c r="AK2348" s="241">
        <v>4</v>
      </c>
      <c r="AL2348" s="122" t="s">
        <v>848</v>
      </c>
      <c r="AM2348" s="122" t="s">
        <v>848</v>
      </c>
      <c r="AN2348" s="199"/>
      <c r="AO2348" s="190"/>
      <c r="AR2348" s="115"/>
    </row>
    <row r="2349" spans="1:46" ht="39" customHeight="1" x14ac:dyDescent="0.3">
      <c r="A2349" s="1468">
        <v>2348</v>
      </c>
      <c r="B2349" s="117" t="s">
        <v>523</v>
      </c>
      <c r="C2349" s="649" t="s">
        <v>854</v>
      </c>
      <c r="D2349" s="361"/>
      <c r="E2349" s="282"/>
      <c r="F2349" s="282"/>
      <c r="G2349" s="447" t="s">
        <v>429</v>
      </c>
      <c r="H2349" s="262" t="s">
        <v>87</v>
      </c>
      <c r="I2349" s="357"/>
      <c r="J2349" s="245" t="s">
        <v>561</v>
      </c>
      <c r="K2349" s="1433" t="s">
        <v>50</v>
      </c>
      <c r="L2349" s="277" t="s">
        <v>4853</v>
      </c>
      <c r="M2349" s="277" t="s">
        <v>5756</v>
      </c>
      <c r="N2349" s="640"/>
      <c r="O2349" s="1433" t="s">
        <v>5379</v>
      </c>
      <c r="P2349" s="640"/>
      <c r="Q2349" s="380" t="s">
        <v>87</v>
      </c>
      <c r="R2349" s="1494" t="s">
        <v>4866</v>
      </c>
      <c r="S2349" s="279">
        <v>35529</v>
      </c>
      <c r="T2349" s="595"/>
      <c r="U2349" s="250"/>
      <c r="V2349" s="1433"/>
      <c r="W2349" s="1433"/>
      <c r="X2349" s="1433"/>
      <c r="Y2349" s="288"/>
      <c r="Z2349" s="612"/>
      <c r="AA2349" s="595"/>
      <c r="AB2349" s="288" t="s">
        <v>4882</v>
      </c>
      <c r="AC2349" s="1433" t="s">
        <v>209</v>
      </c>
      <c r="AD2349" s="288" t="s">
        <v>467</v>
      </c>
      <c r="AE2349" s="494">
        <v>45246</v>
      </c>
      <c r="AF2349" s="494">
        <v>45611</v>
      </c>
      <c r="AG2349" s="595"/>
      <c r="AH2349" s="595"/>
      <c r="AI2349" s="254" t="s">
        <v>4208</v>
      </c>
      <c r="AJ2349" s="303" t="s">
        <v>136</v>
      </c>
      <c r="AK2349" s="241">
        <v>4</v>
      </c>
      <c r="AL2349" s="122" t="s">
        <v>848</v>
      </c>
      <c r="AM2349" s="122" t="s">
        <v>848</v>
      </c>
      <c r="AN2349" s="199"/>
      <c r="AO2349" s="190"/>
      <c r="AR2349" s="115"/>
    </row>
    <row r="2350" spans="1:46" ht="39" customHeight="1" x14ac:dyDescent="0.3">
      <c r="A2350" s="1468">
        <v>2349</v>
      </c>
      <c r="B2350" s="161">
        <v>2</v>
      </c>
      <c r="C2350" s="501" t="s">
        <v>430</v>
      </c>
      <c r="D2350" s="361"/>
      <c r="E2350" s="282"/>
      <c r="F2350" s="282"/>
      <c r="G2350" s="447" t="s">
        <v>354</v>
      </c>
      <c r="H2350" s="262" t="s">
        <v>87</v>
      </c>
      <c r="I2350" s="357" t="s">
        <v>855</v>
      </c>
      <c r="J2350" s="245" t="s">
        <v>561</v>
      </c>
      <c r="K2350" s="216" t="s">
        <v>144</v>
      </c>
      <c r="L2350" s="216" t="s">
        <v>1163</v>
      </c>
      <c r="M2350" s="216" t="s">
        <v>1163</v>
      </c>
      <c r="N2350" s="245"/>
      <c r="O2350" s="216" t="s">
        <v>1328</v>
      </c>
      <c r="P2350" s="652"/>
      <c r="Q2350" s="373" t="s">
        <v>132</v>
      </c>
      <c r="R2350" s="1503" t="s">
        <v>1329</v>
      </c>
      <c r="S2350" s="279">
        <v>35404</v>
      </c>
      <c r="T2350" s="197"/>
      <c r="U2350" s="250"/>
      <c r="V2350" s="250"/>
      <c r="W2350" s="250"/>
      <c r="X2350" s="197"/>
      <c r="Y2350" s="1127"/>
      <c r="Z2350" s="246"/>
      <c r="AA2350" s="246"/>
      <c r="AB2350" s="282"/>
      <c r="AC2350" s="223" t="s">
        <v>946</v>
      </c>
      <c r="AD2350" s="282"/>
      <c r="AE2350" s="252"/>
      <c r="AF2350" s="252"/>
      <c r="AG2350" s="282" t="s">
        <v>61</v>
      </c>
      <c r="AH2350" s="282"/>
      <c r="AI2350" s="322"/>
      <c r="AJ2350" s="348" t="s">
        <v>560</v>
      </c>
      <c r="AK2350" s="348">
        <v>4</v>
      </c>
      <c r="AL2350" s="139" t="s">
        <v>848</v>
      </c>
      <c r="AM2350" s="139" t="s">
        <v>848</v>
      </c>
      <c r="AN2350" s="147" t="s">
        <v>5771</v>
      </c>
      <c r="AO2350" s="190"/>
      <c r="AR2350" s="115"/>
      <c r="AS2350" s="115"/>
      <c r="AT2350" s="115"/>
    </row>
    <row r="2351" spans="1:46" ht="39" customHeight="1" x14ac:dyDescent="0.3">
      <c r="A2351" s="1468">
        <v>2350</v>
      </c>
      <c r="B2351" s="161">
        <v>2</v>
      </c>
      <c r="C2351" s="501" t="s">
        <v>430</v>
      </c>
      <c r="D2351" s="361"/>
      <c r="E2351" s="282"/>
      <c r="F2351" s="282"/>
      <c r="G2351" s="447" t="s">
        <v>354</v>
      </c>
      <c r="H2351" s="262" t="s">
        <v>87</v>
      </c>
      <c r="I2351" s="357" t="s">
        <v>855</v>
      </c>
      <c r="J2351" s="245" t="s">
        <v>561</v>
      </c>
      <c r="K2351" s="216" t="s">
        <v>313</v>
      </c>
      <c r="L2351" s="216" t="s">
        <v>1285</v>
      </c>
      <c r="M2351" s="216" t="s">
        <v>1330</v>
      </c>
      <c r="N2351" s="245"/>
      <c r="O2351" s="216" t="s">
        <v>1331</v>
      </c>
      <c r="P2351" s="415"/>
      <c r="Q2351" s="373" t="s">
        <v>570</v>
      </c>
      <c r="R2351" s="1503" t="s">
        <v>1332</v>
      </c>
      <c r="S2351" s="279">
        <v>37796</v>
      </c>
      <c r="T2351" s="250" t="s">
        <v>471</v>
      </c>
      <c r="U2351" s="251" t="s">
        <v>54</v>
      </c>
      <c r="V2351" s="250" t="s">
        <v>2793</v>
      </c>
      <c r="W2351" s="197" t="s">
        <v>56</v>
      </c>
      <c r="X2351" s="197" t="s">
        <v>57</v>
      </c>
      <c r="Y2351" s="197" t="s">
        <v>2609</v>
      </c>
      <c r="Z2351" s="246">
        <v>45139</v>
      </c>
      <c r="AA2351" s="252"/>
      <c r="AB2351" s="281" t="s">
        <v>1333</v>
      </c>
      <c r="AC2351" s="223" t="s">
        <v>946</v>
      </c>
      <c r="AD2351" s="224" t="s">
        <v>1334</v>
      </c>
      <c r="AE2351" s="306">
        <v>44378</v>
      </c>
      <c r="AF2351" s="306"/>
      <c r="AG2351" s="282" t="s">
        <v>61</v>
      </c>
      <c r="AH2351" s="283"/>
      <c r="AI2351" s="307"/>
      <c r="AJ2351" s="348" t="s">
        <v>560</v>
      </c>
      <c r="AK2351" s="348">
        <v>4</v>
      </c>
      <c r="AL2351" s="139" t="s">
        <v>848</v>
      </c>
      <c r="AM2351" s="139" t="s">
        <v>848</v>
      </c>
      <c r="AN2351" s="147" t="s">
        <v>5771</v>
      </c>
      <c r="AO2351" s="190"/>
      <c r="AR2351" s="115"/>
      <c r="AS2351" s="115"/>
      <c r="AT2351" s="115"/>
    </row>
    <row r="2352" spans="1:46" ht="39" customHeight="1" x14ac:dyDescent="0.3">
      <c r="A2352" s="1468">
        <v>2351</v>
      </c>
      <c r="B2352" s="117"/>
      <c r="C2352" s="649" t="s">
        <v>856</v>
      </c>
      <c r="D2352" s="361"/>
      <c r="E2352" s="282"/>
      <c r="F2352" s="282"/>
      <c r="G2352" s="447" t="s">
        <v>857</v>
      </c>
      <c r="H2352" s="357" t="s">
        <v>74</v>
      </c>
      <c r="I2352" s="357"/>
      <c r="J2352" s="281"/>
      <c r="K2352" s="1433"/>
      <c r="L2352" s="277"/>
      <c r="M2352" s="277"/>
      <c r="N2352" s="640"/>
      <c r="O2352" s="1433"/>
      <c r="P2352" s="640"/>
      <c r="Q2352" s="380"/>
      <c r="R2352" s="1494" t="s">
        <v>66</v>
      </c>
      <c r="S2352" s="279"/>
      <c r="T2352" s="595"/>
      <c r="U2352" s="250"/>
      <c r="V2352" s="1433"/>
      <c r="W2352" s="1433"/>
      <c r="X2352" s="1433"/>
      <c r="Y2352" s="288"/>
      <c r="Z2352" s="612"/>
      <c r="AA2352" s="595"/>
      <c r="AB2352" s="288"/>
      <c r="AC2352" s="1433"/>
      <c r="AD2352" s="288"/>
      <c r="AE2352" s="494"/>
      <c r="AF2352" s="494"/>
      <c r="AG2352" s="595"/>
      <c r="AH2352" s="595"/>
      <c r="AI2352" s="254"/>
      <c r="AJ2352" s="303"/>
      <c r="AK2352" s="241" t="s">
        <v>74</v>
      </c>
      <c r="AL2352" s="122" t="s">
        <v>848</v>
      </c>
      <c r="AM2352" s="122" t="s">
        <v>848</v>
      </c>
      <c r="AN2352" s="199"/>
      <c r="AO2352" s="190"/>
      <c r="AR2352" s="115"/>
    </row>
    <row r="2353" spans="1:44" ht="39" customHeight="1" x14ac:dyDescent="0.3">
      <c r="A2353" s="1468">
        <v>2352</v>
      </c>
      <c r="B2353" s="117"/>
      <c r="C2353" s="649" t="s">
        <v>858</v>
      </c>
      <c r="D2353" s="361"/>
      <c r="E2353" s="282"/>
      <c r="F2353" s="282"/>
      <c r="G2353" s="447" t="s">
        <v>859</v>
      </c>
      <c r="H2353" s="357" t="s">
        <v>74</v>
      </c>
      <c r="I2353" s="357"/>
      <c r="J2353" s="281"/>
      <c r="K2353" s="197"/>
      <c r="L2353" s="299"/>
      <c r="M2353" s="299"/>
      <c r="N2353" s="245"/>
      <c r="O2353" s="1433"/>
      <c r="P2353" s="706"/>
      <c r="Q2353" s="594"/>
      <c r="R2353" s="1494" t="s">
        <v>66</v>
      </c>
      <c r="S2353" s="279"/>
      <c r="T2353" s="289"/>
      <c r="U2353" s="250"/>
      <c r="V2353" s="197"/>
      <c r="W2353" s="197"/>
      <c r="X2353" s="401"/>
      <c r="Y2353" s="197"/>
      <c r="Z2353" s="246"/>
      <c r="AA2353" s="281"/>
      <c r="AB2353" s="307"/>
      <c r="AC2353" s="223"/>
      <c r="AD2353" s="245"/>
      <c r="AE2353" s="252"/>
      <c r="AF2353" s="252"/>
      <c r="AG2353" s="241"/>
      <c r="AH2353" s="253"/>
      <c r="AI2353" s="284"/>
      <c r="AJ2353" s="303"/>
      <c r="AK2353" s="241" t="s">
        <v>74</v>
      </c>
      <c r="AL2353" s="122" t="s">
        <v>848</v>
      </c>
      <c r="AM2353" s="122" t="s">
        <v>848</v>
      </c>
      <c r="AN2353" s="199"/>
      <c r="AO2353" s="190"/>
      <c r="AR2353" s="115"/>
    </row>
    <row r="2354" spans="1:44" ht="39" customHeight="1" x14ac:dyDescent="0.3">
      <c r="A2354" s="1468">
        <v>2353</v>
      </c>
      <c r="B2354" s="117"/>
      <c r="C2354" s="649" t="s">
        <v>860</v>
      </c>
      <c r="D2354" s="361"/>
      <c r="E2354" s="282"/>
      <c r="F2354" s="282"/>
      <c r="G2354" s="447" t="s">
        <v>861</v>
      </c>
      <c r="H2354" s="357" t="s">
        <v>74</v>
      </c>
      <c r="I2354" s="357"/>
      <c r="J2354" s="281"/>
      <c r="K2354" s="216"/>
      <c r="L2354" s="281"/>
      <c r="M2354" s="281"/>
      <c r="N2354" s="281"/>
      <c r="O2354" s="216"/>
      <c r="P2354" s="320"/>
      <c r="Q2354" s="1159"/>
      <c r="R2354" s="1494" t="s">
        <v>66</v>
      </c>
      <c r="S2354" s="279"/>
      <c r="T2354" s="250"/>
      <c r="U2354" s="250"/>
      <c r="V2354" s="250"/>
      <c r="W2354" s="250"/>
      <c r="X2354" s="250"/>
      <c r="Y2354" s="197"/>
      <c r="Z2354" s="653"/>
      <c r="AA2354" s="252"/>
      <c r="AB2354" s="282"/>
      <c r="AC2354" s="223"/>
      <c r="AD2354" s="282"/>
      <c r="AE2354" s="252"/>
      <c r="AF2354" s="252"/>
      <c r="AG2354" s="361"/>
      <c r="AH2354" s="282"/>
      <c r="AI2354" s="322"/>
      <c r="AJ2354" s="303"/>
      <c r="AK2354" s="241" t="s">
        <v>74</v>
      </c>
      <c r="AL2354" s="122" t="s">
        <v>848</v>
      </c>
      <c r="AM2354" s="122" t="s">
        <v>848</v>
      </c>
      <c r="AN2354" s="199"/>
      <c r="AO2354" s="190"/>
      <c r="AR2354" s="115"/>
    </row>
    <row r="2355" spans="1:44" ht="39" customHeight="1" x14ac:dyDescent="0.3">
      <c r="A2355" s="1468">
        <v>2354</v>
      </c>
      <c r="B2355" s="117"/>
      <c r="C2355" s="649" t="s">
        <v>862</v>
      </c>
      <c r="D2355" s="361"/>
      <c r="E2355" s="282"/>
      <c r="F2355" s="282"/>
      <c r="G2355" s="447" t="s">
        <v>863</v>
      </c>
      <c r="H2355" s="357" t="s">
        <v>74</v>
      </c>
      <c r="I2355" s="357"/>
      <c r="J2355" s="281"/>
      <c r="K2355" s="216"/>
      <c r="L2355" s="281"/>
      <c r="M2355" s="281"/>
      <c r="N2355" s="281"/>
      <c r="O2355" s="216"/>
      <c r="P2355" s="320"/>
      <c r="Q2355" s="1159" t="s">
        <v>74</v>
      </c>
      <c r="R2355" s="1494" t="s">
        <v>66</v>
      </c>
      <c r="S2355" s="279"/>
      <c r="T2355" s="250"/>
      <c r="U2355" s="250"/>
      <c r="V2355" s="250"/>
      <c r="W2355" s="250"/>
      <c r="X2355" s="250"/>
      <c r="Y2355" s="197"/>
      <c r="Z2355" s="252"/>
      <c r="AA2355" s="252"/>
      <c r="AB2355" s="282"/>
      <c r="AC2355" s="223"/>
      <c r="AD2355" s="282"/>
      <c r="AE2355" s="252"/>
      <c r="AF2355" s="252"/>
      <c r="AG2355" s="241"/>
      <c r="AH2355" s="282"/>
      <c r="AI2355" s="322"/>
      <c r="AJ2355" s="303"/>
      <c r="AK2355" s="241" t="s">
        <v>74</v>
      </c>
      <c r="AL2355" s="122" t="s">
        <v>848</v>
      </c>
      <c r="AM2355" s="122" t="s">
        <v>848</v>
      </c>
      <c r="AN2355" s="199"/>
      <c r="AO2355" s="190"/>
      <c r="AR2355" s="115"/>
    </row>
    <row r="2356" spans="1:44" ht="39" customHeight="1" x14ac:dyDescent="0.3">
      <c r="A2356" s="1468">
        <v>2355</v>
      </c>
      <c r="B2356" s="117"/>
      <c r="C2356" s="649" t="s">
        <v>862</v>
      </c>
      <c r="D2356" s="361"/>
      <c r="E2356" s="282"/>
      <c r="F2356" s="282"/>
      <c r="G2356" s="447" t="s">
        <v>863</v>
      </c>
      <c r="H2356" s="357" t="s">
        <v>74</v>
      </c>
      <c r="I2356" s="357"/>
      <c r="J2356" s="281"/>
      <c r="K2356" s="216"/>
      <c r="L2356" s="281"/>
      <c r="M2356" s="281" t="s">
        <v>220</v>
      </c>
      <c r="N2356" s="281"/>
      <c r="O2356" s="216"/>
      <c r="P2356" s="320"/>
      <c r="Q2356" s="1159" t="s">
        <v>74</v>
      </c>
      <c r="R2356" s="1494" t="s">
        <v>1344</v>
      </c>
      <c r="S2356" s="279">
        <v>37034</v>
      </c>
      <c r="T2356" s="250"/>
      <c r="U2356" s="250"/>
      <c r="V2356" s="250"/>
      <c r="W2356" s="250"/>
      <c r="X2356" s="250"/>
      <c r="Y2356" s="197"/>
      <c r="Z2356" s="252"/>
      <c r="AA2356" s="252"/>
      <c r="AB2356" s="282"/>
      <c r="AC2356" s="223" t="s">
        <v>1345</v>
      </c>
      <c r="AD2356" s="282"/>
      <c r="AE2356" s="252"/>
      <c r="AF2356" s="252"/>
      <c r="AG2356" s="241" t="s">
        <v>75</v>
      </c>
      <c r="AH2356" s="282"/>
      <c r="AI2356" s="322"/>
      <c r="AJ2356" s="303" t="s">
        <v>146</v>
      </c>
      <c r="AK2356" s="241" t="s">
        <v>74</v>
      </c>
      <c r="AL2356" s="122" t="s">
        <v>848</v>
      </c>
      <c r="AM2356" s="122" t="s">
        <v>848</v>
      </c>
      <c r="AN2356" s="199"/>
      <c r="AO2356" s="190"/>
      <c r="AR2356" s="115"/>
    </row>
    <row r="2357" spans="1:44" ht="39" customHeight="1" x14ac:dyDescent="0.3">
      <c r="A2357" s="1468">
        <v>2356</v>
      </c>
      <c r="B2357" s="117"/>
      <c r="C2357" s="649" t="s">
        <v>864</v>
      </c>
      <c r="D2357" s="361"/>
      <c r="E2357" s="282"/>
      <c r="F2357" s="282"/>
      <c r="G2357" s="447"/>
      <c r="H2357" s="357" t="s">
        <v>74</v>
      </c>
      <c r="I2357" s="357"/>
      <c r="J2357" s="281"/>
      <c r="K2357" s="216"/>
      <c r="L2357" s="281"/>
      <c r="M2357" s="281"/>
      <c r="N2357" s="281"/>
      <c r="O2357" s="216"/>
      <c r="P2357" s="320"/>
      <c r="Q2357" s="1159" t="s">
        <v>74</v>
      </c>
      <c r="R2357" s="1494" t="s">
        <v>66</v>
      </c>
      <c r="S2357" s="279"/>
      <c r="T2357" s="252"/>
      <c r="U2357" s="250"/>
      <c r="V2357" s="250"/>
      <c r="W2357" s="250"/>
      <c r="X2357" s="250"/>
      <c r="Y2357" s="197"/>
      <c r="Z2357" s="252"/>
      <c r="AA2357" s="252"/>
      <c r="AB2357" s="282"/>
      <c r="AC2357" s="223"/>
      <c r="AD2357" s="282"/>
      <c r="AE2357" s="252"/>
      <c r="AF2357" s="252"/>
      <c r="AG2357" s="361"/>
      <c r="AH2357" s="282"/>
      <c r="AI2357" s="322"/>
      <c r="AJ2357" s="303"/>
      <c r="AK2357" s="241" t="s">
        <v>74</v>
      </c>
      <c r="AL2357" s="122" t="s">
        <v>848</v>
      </c>
      <c r="AM2357" s="122" t="s">
        <v>848</v>
      </c>
      <c r="AN2357" s="199"/>
      <c r="AO2357" s="190"/>
      <c r="AR2357" s="115"/>
    </row>
    <row r="2358" spans="1:44" ht="39" customHeight="1" x14ac:dyDescent="0.3">
      <c r="A2358" s="1468">
        <v>2357</v>
      </c>
      <c r="B2358" s="117"/>
      <c r="C2358" s="1040" t="s">
        <v>864</v>
      </c>
      <c r="D2358" s="717"/>
      <c r="E2358" s="481"/>
      <c r="F2358" s="481"/>
      <c r="G2358" s="527"/>
      <c r="H2358" s="473" t="s">
        <v>74</v>
      </c>
      <c r="I2358" s="473"/>
      <c r="J2358" s="438"/>
      <c r="K2358" s="265"/>
      <c r="L2358" s="438"/>
      <c r="M2358" s="438"/>
      <c r="N2358" s="438"/>
      <c r="O2358" s="265"/>
      <c r="P2358" s="739"/>
      <c r="Q2358" s="1500" t="s">
        <v>74</v>
      </c>
      <c r="R2358" s="1494" t="s">
        <v>66</v>
      </c>
      <c r="S2358" s="279"/>
      <c r="T2358" s="395"/>
      <c r="U2358" s="250"/>
      <c r="V2358" s="414"/>
      <c r="W2358" s="414"/>
      <c r="X2358" s="414"/>
      <c r="Y2358" s="268"/>
      <c r="Z2358" s="395"/>
      <c r="AA2358" s="395"/>
      <c r="AB2358" s="481"/>
      <c r="AC2358" s="474"/>
      <c r="AD2358" s="481"/>
      <c r="AE2358" s="395"/>
      <c r="AF2358" s="395"/>
      <c r="AG2358" s="717"/>
      <c r="AH2358" s="481"/>
      <c r="AI2358" s="1041"/>
      <c r="AJ2358" s="470"/>
      <c r="AK2358" s="471" t="s">
        <v>74</v>
      </c>
      <c r="AL2358" s="749" t="s">
        <v>848</v>
      </c>
      <c r="AM2358" s="749" t="s">
        <v>848</v>
      </c>
      <c r="AN2358" s="201"/>
      <c r="AO2358" s="194"/>
      <c r="AR2358" s="115"/>
    </row>
    <row r="2359" spans="1:44" ht="39" customHeight="1" x14ac:dyDescent="0.3">
      <c r="A2359" s="1468">
        <v>2358</v>
      </c>
      <c r="B2359" s="987"/>
      <c r="C2359" s="1043"/>
      <c r="D2359" s="546"/>
      <c r="E2359" s="535"/>
      <c r="F2359" s="535"/>
      <c r="G2359" s="536"/>
      <c r="H2359" s="537"/>
      <c r="I2359" s="537"/>
      <c r="J2359" s="538"/>
      <c r="K2359" s="309"/>
      <c r="L2359" s="538"/>
      <c r="M2359" s="538"/>
      <c r="N2359" s="649"/>
      <c r="O2359" s="309"/>
      <c r="P2359" s="1045" t="s">
        <v>2573</v>
      </c>
      <c r="Q2359" s="235"/>
      <c r="R2359" s="1209"/>
      <c r="S2359" s="279"/>
      <c r="T2359" s="310"/>
      <c r="U2359" s="250"/>
      <c r="V2359" s="318"/>
      <c r="W2359" s="318"/>
      <c r="X2359" s="318"/>
      <c r="Y2359" s="232"/>
      <c r="Z2359" s="310"/>
      <c r="AA2359" s="310"/>
      <c r="AB2359" s="535"/>
      <c r="AC2359" s="236"/>
      <c r="AD2359" s="535"/>
      <c r="AE2359" s="310"/>
      <c r="AF2359" s="310"/>
      <c r="AG2359" s="546"/>
      <c r="AH2359" s="535"/>
      <c r="AI2359" s="1044"/>
      <c r="AJ2359" s="576"/>
      <c r="AK2359" s="664"/>
      <c r="AL2359" s="113"/>
      <c r="AM2359" s="113"/>
      <c r="AN2359" s="202"/>
      <c r="AO2359" s="196"/>
      <c r="AR2359" s="115"/>
    </row>
    <row r="2360" spans="1:44" ht="39" customHeight="1" x14ac:dyDescent="0.3">
      <c r="A2360" s="1468">
        <v>2359</v>
      </c>
      <c r="B2360" s="595"/>
      <c r="C2360" s="1280"/>
      <c r="D2360" s="595"/>
      <c r="E2360" s="595"/>
      <c r="F2360" s="595"/>
      <c r="G2360" s="392"/>
      <c r="H2360" s="392"/>
      <c r="I2360" s="595"/>
      <c r="J2360" s="595"/>
      <c r="K2360" s="197"/>
      <c r="L2360" s="276"/>
      <c r="M2360" s="276"/>
      <c r="N2360" s="276"/>
      <c r="O2360" s="216"/>
      <c r="P2360" s="300"/>
      <c r="Q2360" s="326"/>
      <c r="R2360" s="1494"/>
      <c r="S2360" s="279"/>
      <c r="T2360" s="280"/>
      <c r="U2360" s="250"/>
      <c r="V2360" s="250"/>
      <c r="W2360" s="250"/>
      <c r="X2360" s="289"/>
      <c r="Y2360" s="288"/>
      <c r="Z2360" s="252"/>
      <c r="AA2360" s="252"/>
      <c r="AB2360" s="276"/>
      <c r="AC2360" s="488"/>
      <c r="AD2360" s="276"/>
      <c r="AE2360" s="494"/>
      <c r="AF2360" s="494"/>
      <c r="AG2360" s="476"/>
      <c r="AH2360" s="871"/>
      <c r="AI2360" s="721"/>
      <c r="AJ2360" s="755"/>
      <c r="AK2360" s="242"/>
      <c r="AL2360" s="1405"/>
      <c r="AM2360" s="1401"/>
      <c r="AN2360" s="199"/>
      <c r="AO2360" s="190"/>
    </row>
    <row r="2361" spans="1:44" ht="39" customHeight="1" x14ac:dyDescent="0.3">
      <c r="A2361" s="1468">
        <v>2360</v>
      </c>
      <c r="B2361" s="595"/>
      <c r="C2361" s="611" t="s">
        <v>305</v>
      </c>
      <c r="D2361" s="595"/>
      <c r="E2361" s="595"/>
      <c r="F2361" s="595"/>
      <c r="G2361" s="392"/>
      <c r="H2361" s="392"/>
      <c r="I2361" s="595"/>
      <c r="J2361" s="595"/>
      <c r="K2361" s="197" t="s">
        <v>50</v>
      </c>
      <c r="L2361" s="216"/>
      <c r="M2361" s="216"/>
      <c r="N2361" s="245"/>
      <c r="O2361" s="1256" t="s">
        <v>3202</v>
      </c>
      <c r="P2361" s="304"/>
      <c r="Q2361" s="326" t="s">
        <v>83</v>
      </c>
      <c r="R2361" s="1501" t="s">
        <v>1954</v>
      </c>
      <c r="S2361" s="279">
        <v>34535</v>
      </c>
      <c r="T2361" s="443"/>
      <c r="U2361" s="251" t="s">
        <v>54</v>
      </c>
      <c r="V2361" s="276" t="s">
        <v>3950</v>
      </c>
      <c r="W2361" s="197" t="s">
        <v>3951</v>
      </c>
      <c r="X2361" s="197" t="s">
        <v>4844</v>
      </c>
      <c r="Y2361" s="197"/>
      <c r="Z2361" s="246">
        <v>45223</v>
      </c>
      <c r="AA2361" s="246"/>
      <c r="AB2361" s="281"/>
      <c r="AC2361" s="223"/>
      <c r="AD2361" s="250"/>
      <c r="AE2361" s="258"/>
      <c r="AF2361" s="258"/>
      <c r="AG2361" s="241"/>
      <c r="AH2361" s="283"/>
      <c r="AI2361" s="254"/>
      <c r="AJ2361" s="755" t="s">
        <v>62</v>
      </c>
      <c r="AK2361" s="242">
        <v>1</v>
      </c>
      <c r="AL2361" s="122" t="s">
        <v>916</v>
      </c>
      <c r="AM2361" s="122" t="s">
        <v>916</v>
      </c>
      <c r="AN2361" s="199"/>
      <c r="AO2361" s="190"/>
    </row>
    <row r="2362" spans="1:44" ht="39" customHeight="1" x14ac:dyDescent="0.3">
      <c r="A2362" s="1468">
        <v>2361</v>
      </c>
      <c r="B2362" s="595"/>
      <c r="C2362" s="611" t="s">
        <v>305</v>
      </c>
      <c r="D2362" s="595"/>
      <c r="E2362" s="595"/>
      <c r="F2362" s="595"/>
      <c r="G2362" s="392"/>
      <c r="H2362" s="392"/>
      <c r="I2362" s="595"/>
      <c r="J2362" s="595"/>
      <c r="K2362" s="197" t="s">
        <v>50</v>
      </c>
      <c r="L2362" s="281" t="s">
        <v>2789</v>
      </c>
      <c r="M2362" s="281" t="s">
        <v>2789</v>
      </c>
      <c r="N2362" s="809"/>
      <c r="O2362" s="216" t="s">
        <v>3372</v>
      </c>
      <c r="P2362" s="372"/>
      <c r="Q2362" s="326" t="s">
        <v>119</v>
      </c>
      <c r="R2362" s="1501" t="s">
        <v>3371</v>
      </c>
      <c r="S2362" s="279">
        <v>35220</v>
      </c>
      <c r="T2362" s="344"/>
      <c r="U2362" s="250"/>
      <c r="V2362" s="250"/>
      <c r="W2362" s="197" t="s">
        <v>5128</v>
      </c>
      <c r="X2362" s="197"/>
      <c r="Y2362" s="288"/>
      <c r="Z2362" s="252"/>
      <c r="AA2362" s="252"/>
      <c r="AB2362" s="282"/>
      <c r="AC2362" s="223"/>
      <c r="AD2362" s="282"/>
      <c r="AE2362" s="494"/>
      <c r="AF2362" s="494"/>
      <c r="AG2362" s="241"/>
      <c r="AH2362" s="465"/>
      <c r="AI2362" s="466"/>
      <c r="AJ2362" s="755" t="s">
        <v>62</v>
      </c>
      <c r="AK2362" s="242">
        <v>1</v>
      </c>
      <c r="AL2362" s="122" t="s">
        <v>4052</v>
      </c>
      <c r="AM2362" s="122" t="s">
        <v>916</v>
      </c>
      <c r="AN2362" s="199"/>
      <c r="AO2362" s="190"/>
    </row>
    <row r="2363" spans="1:44" ht="39" customHeight="1" x14ac:dyDescent="0.3">
      <c r="A2363" s="1468">
        <v>2362</v>
      </c>
      <c r="B2363" s="595"/>
      <c r="C2363" s="260" t="s">
        <v>142</v>
      </c>
      <c r="D2363" s="241"/>
      <c r="E2363" s="241"/>
      <c r="F2363" s="241"/>
      <c r="G2363" s="261" t="s">
        <v>143</v>
      </c>
      <c r="H2363" s="262" t="s">
        <v>74</v>
      </c>
      <c r="I2363" s="262"/>
      <c r="J2363" s="256"/>
      <c r="K2363" s="216" t="s">
        <v>158</v>
      </c>
      <c r="L2363" s="256"/>
      <c r="M2363" s="256" t="s">
        <v>159</v>
      </c>
      <c r="N2363" s="256"/>
      <c r="O2363" s="216"/>
      <c r="P2363" s="287"/>
      <c r="Q2363" s="663" t="s">
        <v>74</v>
      </c>
      <c r="R2363" s="1494" t="s">
        <v>160</v>
      </c>
      <c r="S2363" s="279">
        <v>31426</v>
      </c>
      <c r="T2363" s="197"/>
      <c r="U2363" s="250"/>
      <c r="V2363" s="197" t="s">
        <v>5405</v>
      </c>
      <c r="W2363" s="197" t="s">
        <v>2381</v>
      </c>
      <c r="X2363" s="197" t="s">
        <v>5397</v>
      </c>
      <c r="Y2363" s="197" t="s">
        <v>5404</v>
      </c>
      <c r="Z2363" s="246">
        <v>45134</v>
      </c>
      <c r="AA2363" s="246">
        <v>46144</v>
      </c>
      <c r="AB2363" s="241"/>
      <c r="AC2363" s="223" t="s">
        <v>1345</v>
      </c>
      <c r="AD2363" s="241"/>
      <c r="AE2363" s="246"/>
      <c r="AF2363" s="246"/>
      <c r="AG2363" s="241" t="s">
        <v>75</v>
      </c>
      <c r="AH2363" s="253"/>
      <c r="AI2363" s="254"/>
      <c r="AJ2363" s="253" t="s">
        <v>146</v>
      </c>
      <c r="AK2363" s="241" t="s">
        <v>74</v>
      </c>
      <c r="AL2363" s="122" t="s">
        <v>4029</v>
      </c>
      <c r="AM2363" s="122" t="s">
        <v>916</v>
      </c>
      <c r="AN2363" s="199"/>
      <c r="AO2363" s="190"/>
    </row>
    <row r="2364" spans="1:44" ht="39" customHeight="1" x14ac:dyDescent="0.3">
      <c r="A2364" s="1468">
        <v>2363</v>
      </c>
      <c r="B2364" s="595"/>
      <c r="C2364" s="1280" t="s">
        <v>5761</v>
      </c>
      <c r="D2364" s="595"/>
      <c r="E2364" s="595"/>
      <c r="F2364" s="595"/>
      <c r="G2364" s="1419"/>
      <c r="H2364" s="262"/>
      <c r="I2364" s="595"/>
      <c r="J2364" s="245"/>
      <c r="K2364" s="305"/>
      <c r="L2364" s="299" t="s">
        <v>1860</v>
      </c>
      <c r="M2364" s="299" t="s">
        <v>4965</v>
      </c>
      <c r="N2364" s="281"/>
      <c r="O2364" s="1419" t="s">
        <v>3319</v>
      </c>
      <c r="P2364" s="305" t="s">
        <v>1828</v>
      </c>
      <c r="Q2364" s="326" t="s">
        <v>2053</v>
      </c>
      <c r="R2364" s="1501" t="s">
        <v>1958</v>
      </c>
      <c r="S2364" s="279">
        <v>27469</v>
      </c>
      <c r="T2364" s="306"/>
      <c r="U2364" s="250"/>
      <c r="V2364" s="250"/>
      <c r="W2364" s="401"/>
      <c r="X2364" s="306"/>
      <c r="Y2364" s="306"/>
      <c r="Z2364" s="306"/>
      <c r="AA2364" s="305"/>
      <c r="AB2364" s="305"/>
      <c r="AC2364" s="223"/>
      <c r="AD2364" s="306"/>
      <c r="AE2364" s="306"/>
      <c r="AF2364" s="306"/>
      <c r="AG2364" s="305"/>
      <c r="AH2364" s="283"/>
      <c r="AI2364" s="254"/>
      <c r="AJ2364" s="755" t="s">
        <v>62</v>
      </c>
      <c r="AK2364" s="241">
        <v>1</v>
      </c>
      <c r="AL2364" s="122" t="s">
        <v>916</v>
      </c>
      <c r="AM2364" s="122" t="s">
        <v>916</v>
      </c>
      <c r="AN2364" s="199"/>
      <c r="AO2364" s="190"/>
    </row>
    <row r="2365" spans="1:44" ht="39" customHeight="1" x14ac:dyDescent="0.3">
      <c r="A2365" s="1468">
        <v>2364</v>
      </c>
      <c r="B2365" s="595"/>
      <c r="C2365" s="611" t="s">
        <v>5758</v>
      </c>
      <c r="D2365" s="595"/>
      <c r="E2365" s="595"/>
      <c r="F2365" s="595"/>
      <c r="G2365" s="1435"/>
      <c r="H2365" s="1435"/>
      <c r="I2365" s="595"/>
      <c r="J2365" s="595"/>
      <c r="K2365" s="296" t="s">
        <v>158</v>
      </c>
      <c r="L2365" s="257" t="s">
        <v>1256</v>
      </c>
      <c r="M2365" s="257" t="s">
        <v>1250</v>
      </c>
      <c r="N2365" s="256"/>
      <c r="O2365" s="216" t="s">
        <v>1267</v>
      </c>
      <c r="P2365" s="555"/>
      <c r="Q2365" s="1499" t="s">
        <v>570</v>
      </c>
      <c r="R2365" s="1503" t="s">
        <v>1268</v>
      </c>
      <c r="S2365" s="279">
        <v>36862</v>
      </c>
      <c r="T2365" s="250" t="s">
        <v>471</v>
      </c>
      <c r="U2365" s="251" t="s">
        <v>54</v>
      </c>
      <c r="V2365" s="197"/>
      <c r="W2365" s="250" t="s">
        <v>56</v>
      </c>
      <c r="X2365" s="197" t="s">
        <v>475</v>
      </c>
      <c r="Y2365" s="197"/>
      <c r="Z2365" s="246"/>
      <c r="AA2365" s="374"/>
      <c r="AB2365" s="250" t="s">
        <v>1262</v>
      </c>
      <c r="AC2365" s="223" t="s">
        <v>946</v>
      </c>
      <c r="AD2365" s="299" t="s">
        <v>1269</v>
      </c>
      <c r="AE2365" s="246">
        <v>44511</v>
      </c>
      <c r="AF2365" s="246">
        <v>45240</v>
      </c>
      <c r="AG2365" s="241" t="s">
        <v>61</v>
      </c>
      <c r="AH2365" s="253"/>
      <c r="AI2365" s="254"/>
      <c r="AJ2365" s="348" t="s">
        <v>560</v>
      </c>
      <c r="AK2365" s="241">
        <v>4</v>
      </c>
      <c r="AL2365" s="122" t="s">
        <v>916</v>
      </c>
      <c r="AM2365" s="122" t="s">
        <v>916</v>
      </c>
      <c r="AN2365" s="199"/>
      <c r="AO2365" s="190"/>
    </row>
    <row r="2366" spans="1:44" ht="39" customHeight="1" x14ac:dyDescent="0.3">
      <c r="A2366" s="1468">
        <v>2365</v>
      </c>
      <c r="B2366" s="595"/>
      <c r="C2366" s="611" t="s">
        <v>5742</v>
      </c>
      <c r="D2366" s="595"/>
      <c r="E2366" s="595"/>
      <c r="F2366" s="595"/>
      <c r="G2366" s="1435"/>
      <c r="H2366" s="1435"/>
      <c r="I2366" s="595"/>
      <c r="J2366" s="595"/>
      <c r="K2366" s="296"/>
      <c r="L2366" s="257"/>
      <c r="M2366" s="257"/>
      <c r="N2366" s="256"/>
      <c r="O2366" s="216" t="s">
        <v>5741</v>
      </c>
      <c r="P2366" s="555"/>
      <c r="Q2366" s="1499" t="s">
        <v>85</v>
      </c>
      <c r="R2366" s="1503" t="s">
        <v>5740</v>
      </c>
      <c r="S2366" s="279">
        <v>37330</v>
      </c>
      <c r="T2366" s="250"/>
      <c r="U2366" s="251" t="s">
        <v>391</v>
      </c>
      <c r="V2366" s="197" t="s">
        <v>6054</v>
      </c>
      <c r="W2366" s="250" t="s">
        <v>5831</v>
      </c>
      <c r="X2366" s="197" t="s">
        <v>2002</v>
      </c>
      <c r="Y2366" s="197" t="s">
        <v>6166</v>
      </c>
      <c r="Z2366" s="246">
        <v>45315</v>
      </c>
      <c r="AA2366" s="374"/>
      <c r="AB2366" s="250"/>
      <c r="AC2366" s="223"/>
      <c r="AD2366" s="299"/>
      <c r="AE2366" s="246"/>
      <c r="AF2366" s="246"/>
      <c r="AG2366" s="241"/>
      <c r="AH2366" s="253"/>
      <c r="AI2366" s="254"/>
      <c r="AJ2366" s="348" t="s">
        <v>560</v>
      </c>
      <c r="AK2366" s="241">
        <v>4</v>
      </c>
      <c r="AL2366" s="122" t="s">
        <v>916</v>
      </c>
      <c r="AM2366" s="122" t="s">
        <v>916</v>
      </c>
      <c r="AN2366" s="199"/>
      <c r="AO2366" s="190"/>
    </row>
    <row r="2367" spans="1:44" ht="39" customHeight="1" x14ac:dyDescent="0.3">
      <c r="A2367" s="1468">
        <v>2366</v>
      </c>
      <c r="B2367" s="595"/>
      <c r="C2367" s="1280" t="s">
        <v>5761</v>
      </c>
      <c r="D2367" s="595"/>
      <c r="E2367" s="595"/>
      <c r="F2367" s="595"/>
      <c r="G2367" s="1459"/>
      <c r="H2367" s="262"/>
      <c r="I2367" s="595"/>
      <c r="J2367" s="245"/>
      <c r="K2367" s="305"/>
      <c r="L2367" s="299" t="s">
        <v>1824</v>
      </c>
      <c r="M2367" s="299" t="s">
        <v>1824</v>
      </c>
      <c r="N2367" s="281"/>
      <c r="O2367" s="1459" t="s">
        <v>3303</v>
      </c>
      <c r="P2367" s="305" t="s">
        <v>1828</v>
      </c>
      <c r="Q2367" s="326" t="s">
        <v>2053</v>
      </c>
      <c r="R2367" s="1501" t="s">
        <v>1845</v>
      </c>
      <c r="S2367" s="279">
        <v>33320</v>
      </c>
      <c r="T2367" s="306"/>
      <c r="U2367" s="251" t="s">
        <v>54</v>
      </c>
      <c r="V2367" s="250" t="s">
        <v>1922</v>
      </c>
      <c r="W2367" s="401" t="s">
        <v>56</v>
      </c>
      <c r="X2367" s="306" t="s">
        <v>57</v>
      </c>
      <c r="Y2367" s="306" t="s">
        <v>1933</v>
      </c>
      <c r="Z2367" s="306">
        <v>45133</v>
      </c>
      <c r="AA2367" s="305"/>
      <c r="AB2367" s="305"/>
      <c r="AC2367" s="223"/>
      <c r="AD2367" s="306"/>
      <c r="AE2367" s="306"/>
      <c r="AF2367" s="306"/>
      <c r="AG2367" s="305"/>
      <c r="AH2367" s="283"/>
      <c r="AI2367" s="254"/>
      <c r="AJ2367" s="755" t="s">
        <v>62</v>
      </c>
      <c r="AK2367" s="241">
        <v>1</v>
      </c>
      <c r="AL2367" s="122" t="s">
        <v>916</v>
      </c>
      <c r="AM2367" s="122" t="s">
        <v>916</v>
      </c>
      <c r="AN2367" s="199"/>
      <c r="AO2367" s="190"/>
    </row>
    <row r="2368" spans="1:44" ht="39" customHeight="1" x14ac:dyDescent="0.3">
      <c r="A2368" s="1468">
        <v>2367</v>
      </c>
      <c r="B2368" s="595"/>
      <c r="C2368" s="611" t="s">
        <v>5837</v>
      </c>
      <c r="D2368" s="595"/>
      <c r="E2368" s="595"/>
      <c r="F2368" s="595"/>
      <c r="G2368" s="1459"/>
      <c r="H2368" s="1459"/>
      <c r="I2368" s="595"/>
      <c r="J2368" s="595"/>
      <c r="K2368" s="296"/>
      <c r="L2368" s="257" t="s">
        <v>5821</v>
      </c>
      <c r="M2368" s="257" t="s">
        <v>5821</v>
      </c>
      <c r="N2368" s="256"/>
      <c r="O2368" s="216" t="s">
        <v>2839</v>
      </c>
      <c r="P2368" s="555" t="s">
        <v>1828</v>
      </c>
      <c r="Q2368" s="1499" t="s">
        <v>85</v>
      </c>
      <c r="R2368" s="1503" t="s">
        <v>2838</v>
      </c>
      <c r="S2368" s="279">
        <v>29954</v>
      </c>
      <c r="T2368" s="250"/>
      <c r="U2368" s="251" t="s">
        <v>54</v>
      </c>
      <c r="V2368" s="197" t="s">
        <v>3959</v>
      </c>
      <c r="W2368" s="250" t="s">
        <v>70</v>
      </c>
      <c r="X2368" s="197" t="s">
        <v>71</v>
      </c>
      <c r="Y2368" s="197" t="s">
        <v>4351</v>
      </c>
      <c r="Z2368" s="246">
        <v>45226</v>
      </c>
      <c r="AA2368" s="374"/>
      <c r="AB2368" s="250"/>
      <c r="AC2368" s="223"/>
      <c r="AD2368" s="299"/>
      <c r="AE2368" s="246"/>
      <c r="AF2368" s="246"/>
      <c r="AG2368" s="241"/>
      <c r="AH2368" s="253"/>
      <c r="AI2368" s="254"/>
      <c r="AJ2368" s="348" t="s">
        <v>560</v>
      </c>
      <c r="AK2368" s="241">
        <v>4</v>
      </c>
      <c r="AL2368" s="122" t="s">
        <v>5838</v>
      </c>
      <c r="AM2368" s="122" t="s">
        <v>916</v>
      </c>
      <c r="AN2368" s="199"/>
      <c r="AO2368" s="190"/>
    </row>
    <row r="2369" spans="1:41" ht="39" customHeight="1" x14ac:dyDescent="0.3">
      <c r="A2369" s="1468">
        <v>2368</v>
      </c>
      <c r="B2369" s="595"/>
      <c r="C2369" s="611" t="s">
        <v>5861</v>
      </c>
      <c r="D2369" s="595"/>
      <c r="E2369" s="595" t="s">
        <v>47</v>
      </c>
      <c r="F2369" s="595" t="s">
        <v>362</v>
      </c>
      <c r="G2369" s="1463" t="s">
        <v>389</v>
      </c>
      <c r="H2369" s="1463" t="s">
        <v>132</v>
      </c>
      <c r="I2369" s="595"/>
      <c r="J2369" s="1463">
        <v>403</v>
      </c>
      <c r="K2369" s="296"/>
      <c r="L2369" s="257" t="s">
        <v>3482</v>
      </c>
      <c r="M2369" s="257" t="s">
        <v>3482</v>
      </c>
      <c r="N2369" s="256"/>
      <c r="O2369" s="216" t="s">
        <v>3501</v>
      </c>
      <c r="P2369" s="555" t="s">
        <v>1828</v>
      </c>
      <c r="Q2369" s="1499" t="s">
        <v>87</v>
      </c>
      <c r="R2369" s="1503" t="s">
        <v>3500</v>
      </c>
      <c r="S2369" s="279">
        <v>32036</v>
      </c>
      <c r="T2369" s="250"/>
      <c r="U2369" s="251" t="s">
        <v>54</v>
      </c>
      <c r="V2369" s="197" t="s">
        <v>4003</v>
      </c>
      <c r="W2369" s="250" t="s">
        <v>70</v>
      </c>
      <c r="X2369" s="197" t="s">
        <v>71</v>
      </c>
      <c r="Y2369" s="197" t="s">
        <v>4574</v>
      </c>
      <c r="Z2369" s="246">
        <v>45227</v>
      </c>
      <c r="AA2369" s="374"/>
      <c r="AB2369" s="250"/>
      <c r="AC2369" s="223"/>
      <c r="AD2369" s="299"/>
      <c r="AE2369" s="246"/>
      <c r="AF2369" s="246"/>
      <c r="AG2369" s="241"/>
      <c r="AH2369" s="253"/>
      <c r="AI2369" s="254"/>
      <c r="AJ2369" s="348" t="s">
        <v>560</v>
      </c>
      <c r="AK2369" s="241">
        <v>4</v>
      </c>
      <c r="AL2369" s="122" t="s">
        <v>5863</v>
      </c>
      <c r="AM2369" s="122" t="s">
        <v>916</v>
      </c>
      <c r="AN2369" s="199"/>
      <c r="AO2369" s="190"/>
    </row>
    <row r="2370" spans="1:41" ht="39" customHeight="1" x14ac:dyDescent="0.3">
      <c r="A2370" s="1468">
        <v>2369</v>
      </c>
      <c r="B2370" s="595"/>
      <c r="C2370" s="611" t="s">
        <v>5862</v>
      </c>
      <c r="D2370" s="595"/>
      <c r="E2370" s="595"/>
      <c r="F2370" s="595"/>
      <c r="G2370" s="1463"/>
      <c r="H2370" s="1463"/>
      <c r="I2370" s="595"/>
      <c r="J2370" s="1463"/>
      <c r="K2370" s="296"/>
      <c r="L2370" s="257" t="s">
        <v>4055</v>
      </c>
      <c r="M2370" s="257" t="s">
        <v>4055</v>
      </c>
      <c r="N2370" s="256"/>
      <c r="O2370" s="216" t="s">
        <v>4065</v>
      </c>
      <c r="P2370" s="555" t="s">
        <v>1828</v>
      </c>
      <c r="Q2370" s="1499" t="s">
        <v>87</v>
      </c>
      <c r="R2370" s="1503" t="s">
        <v>4064</v>
      </c>
      <c r="S2370" s="279">
        <v>33507</v>
      </c>
      <c r="T2370" s="250"/>
      <c r="U2370" s="251" t="s">
        <v>54</v>
      </c>
      <c r="V2370" s="197" t="s">
        <v>5857</v>
      </c>
      <c r="W2370" s="250" t="s">
        <v>5848</v>
      </c>
      <c r="X2370" s="197" t="s">
        <v>5906</v>
      </c>
      <c r="Y2370" s="197" t="s">
        <v>5844</v>
      </c>
      <c r="Z2370" s="246">
        <v>45300</v>
      </c>
      <c r="AA2370" s="374"/>
      <c r="AB2370" s="250"/>
      <c r="AC2370" s="223"/>
      <c r="AD2370" s="299"/>
      <c r="AE2370" s="246"/>
      <c r="AF2370" s="246"/>
      <c r="AG2370" s="241"/>
      <c r="AH2370" s="253"/>
      <c r="AI2370" s="254"/>
      <c r="AJ2370" s="348" t="s">
        <v>560</v>
      </c>
      <c r="AK2370" s="241">
        <v>4</v>
      </c>
      <c r="AL2370" s="122" t="s">
        <v>5838</v>
      </c>
      <c r="AM2370" s="122" t="s">
        <v>916</v>
      </c>
      <c r="AN2370" s="199"/>
      <c r="AO2370" s="190"/>
    </row>
    <row r="2371" spans="1:41" ht="39" customHeight="1" x14ac:dyDescent="0.3">
      <c r="A2371" s="1468">
        <v>2370</v>
      </c>
      <c r="B2371" s="595"/>
      <c r="C2371" s="611" t="s">
        <v>353</v>
      </c>
      <c r="D2371" s="595"/>
      <c r="E2371" s="595"/>
      <c r="F2371" s="595"/>
      <c r="G2371" s="1463"/>
      <c r="H2371" s="1463"/>
      <c r="I2371" s="595"/>
      <c r="J2371" s="1463"/>
      <c r="K2371" s="296"/>
      <c r="L2371" s="257" t="s">
        <v>1925</v>
      </c>
      <c r="M2371" s="257" t="s">
        <v>1925</v>
      </c>
      <c r="N2371" s="256"/>
      <c r="O2371" s="216" t="s">
        <v>3197</v>
      </c>
      <c r="P2371" s="555"/>
      <c r="Q2371" s="1499" t="s">
        <v>293</v>
      </c>
      <c r="R2371" s="1503" t="s">
        <v>1926</v>
      </c>
      <c r="S2371" s="279">
        <v>33142</v>
      </c>
      <c r="T2371" s="250"/>
      <c r="U2371" s="250"/>
      <c r="V2371" s="197"/>
      <c r="W2371" s="250"/>
      <c r="X2371" s="197"/>
      <c r="Y2371" s="197"/>
      <c r="Z2371" s="246"/>
      <c r="AA2371" s="374"/>
      <c r="AB2371" s="250"/>
      <c r="AC2371" s="223"/>
      <c r="AD2371" s="299"/>
      <c r="AE2371" s="246"/>
      <c r="AF2371" s="246"/>
      <c r="AG2371" s="241"/>
      <c r="AH2371" s="253"/>
      <c r="AI2371" s="254"/>
      <c r="AJ2371" s="348" t="s">
        <v>560</v>
      </c>
      <c r="AK2371" s="241">
        <v>4</v>
      </c>
      <c r="AL2371" s="122" t="s">
        <v>5838</v>
      </c>
      <c r="AM2371" s="122" t="s">
        <v>916</v>
      </c>
      <c r="AN2371" s="199"/>
      <c r="AO2371" s="190"/>
    </row>
    <row r="2372" spans="1:41" ht="39" customHeight="1" x14ac:dyDescent="0.3">
      <c r="A2372" s="1468">
        <v>2371</v>
      </c>
      <c r="B2372" s="595"/>
      <c r="C2372" s="611" t="s">
        <v>5872</v>
      </c>
      <c r="D2372" s="595"/>
      <c r="E2372" s="595"/>
      <c r="F2372" s="595"/>
      <c r="G2372" s="1463"/>
      <c r="H2372" s="1463"/>
      <c r="I2372" s="595"/>
      <c r="J2372" s="1463"/>
      <c r="K2372" s="296"/>
      <c r="L2372" s="257" t="s">
        <v>5875</v>
      </c>
      <c r="M2372" s="257" t="s">
        <v>5875</v>
      </c>
      <c r="N2372" s="256"/>
      <c r="O2372" s="216" t="s">
        <v>5876</v>
      </c>
      <c r="P2372" s="555"/>
      <c r="Q2372" s="326" t="s">
        <v>5873</v>
      </c>
      <c r="R2372" s="1501" t="s">
        <v>5874</v>
      </c>
      <c r="S2372" s="279">
        <v>31955</v>
      </c>
      <c r="T2372" s="250"/>
      <c r="U2372" s="251" t="s">
        <v>2866</v>
      </c>
      <c r="V2372" s="197" t="s">
        <v>6136</v>
      </c>
      <c r="W2372" s="250" t="s">
        <v>2381</v>
      </c>
      <c r="X2372" s="197" t="s">
        <v>2002</v>
      </c>
      <c r="Y2372" s="197" t="s">
        <v>6164</v>
      </c>
      <c r="Z2372" s="246">
        <v>45320</v>
      </c>
      <c r="AA2372" s="246">
        <v>45324</v>
      </c>
      <c r="AB2372" s="250"/>
      <c r="AC2372" s="223"/>
      <c r="AD2372" s="299"/>
      <c r="AE2372" s="246"/>
      <c r="AF2372" s="246"/>
      <c r="AG2372" s="241"/>
      <c r="AH2372" s="253"/>
      <c r="AI2372" s="254"/>
      <c r="AJ2372" s="755" t="s">
        <v>62</v>
      </c>
      <c r="AK2372" s="1463">
        <v>1</v>
      </c>
      <c r="AL2372" s="122" t="s">
        <v>5838</v>
      </c>
      <c r="AM2372" s="122" t="s">
        <v>916</v>
      </c>
      <c r="AN2372" s="199"/>
      <c r="AO2372" s="190"/>
    </row>
    <row r="2373" spans="1:41" ht="39" customHeight="1" x14ac:dyDescent="0.3">
      <c r="A2373" s="1468">
        <v>2372</v>
      </c>
      <c r="B2373" s="595"/>
      <c r="C2373" s="611" t="s">
        <v>5889</v>
      </c>
      <c r="D2373" s="595"/>
      <c r="E2373" s="595"/>
      <c r="F2373" s="595"/>
      <c r="G2373" s="1463"/>
      <c r="H2373" s="1463"/>
      <c r="I2373" s="595"/>
      <c r="J2373" s="1463"/>
      <c r="K2373" s="296"/>
      <c r="L2373" s="257"/>
      <c r="M2373" s="257"/>
      <c r="N2373" s="256"/>
      <c r="O2373" s="216" t="s">
        <v>5888</v>
      </c>
      <c r="P2373" s="555"/>
      <c r="Q2373" s="1499" t="s">
        <v>2067</v>
      </c>
      <c r="R2373" s="1503" t="s">
        <v>5887</v>
      </c>
      <c r="S2373" s="279">
        <v>32868</v>
      </c>
      <c r="T2373" s="250"/>
      <c r="U2373" s="197"/>
      <c r="V2373" s="197"/>
      <c r="W2373" s="250" t="s">
        <v>4076</v>
      </c>
      <c r="X2373" s="197"/>
      <c r="Y2373" s="197"/>
      <c r="Z2373" s="246"/>
      <c r="AA2373" s="374"/>
      <c r="AB2373" s="250"/>
      <c r="AC2373" s="223"/>
      <c r="AD2373" s="299"/>
      <c r="AE2373" s="246"/>
      <c r="AF2373" s="246"/>
      <c r="AG2373" s="241"/>
      <c r="AH2373" s="253"/>
      <c r="AI2373" s="254"/>
      <c r="AJ2373" s="348" t="s">
        <v>560</v>
      </c>
      <c r="AK2373" s="241">
        <v>4</v>
      </c>
      <c r="AL2373" s="122" t="s">
        <v>916</v>
      </c>
      <c r="AM2373" s="122" t="s">
        <v>916</v>
      </c>
      <c r="AN2373" s="199"/>
      <c r="AO2373" s="190"/>
    </row>
    <row r="2374" spans="1:41" ht="39" customHeight="1" x14ac:dyDescent="0.3">
      <c r="A2374" s="1468">
        <v>2373</v>
      </c>
      <c r="B2374" s="595"/>
      <c r="C2374" s="532" t="s">
        <v>284</v>
      </c>
      <c r="D2374" s="282"/>
      <c r="E2374" s="353"/>
      <c r="F2374" s="282"/>
      <c r="G2374" s="445"/>
      <c r="H2374" s="350"/>
      <c r="I2374" s="595"/>
      <c r="J2374" s="281"/>
      <c r="K2374" s="595"/>
      <c r="L2374" s="1463"/>
      <c r="M2374" s="1463"/>
      <c r="N2374" s="595"/>
      <c r="O2374" s="1463" t="s">
        <v>3226</v>
      </c>
      <c r="P2374" s="1463" t="s">
        <v>1411</v>
      </c>
      <c r="Q2374" s="352" t="s">
        <v>153</v>
      </c>
      <c r="R2374" s="1502" t="s">
        <v>1404</v>
      </c>
      <c r="S2374" s="279">
        <v>33430</v>
      </c>
      <c r="T2374" s="595"/>
      <c r="U2374" s="251" t="s">
        <v>54</v>
      </c>
      <c r="V2374" s="197" t="s">
        <v>2365</v>
      </c>
      <c r="W2374" s="197" t="s">
        <v>70</v>
      </c>
      <c r="X2374" s="197" t="s">
        <v>71</v>
      </c>
      <c r="Y2374" s="595"/>
      <c r="Z2374" s="595"/>
      <c r="AA2374" s="595"/>
      <c r="AB2374" s="1289"/>
      <c r="AC2374" s="595"/>
      <c r="AD2374" s="658"/>
      <c r="AE2374" s="494"/>
      <c r="AF2374" s="494"/>
      <c r="AG2374" s="595"/>
      <c r="AH2374" s="595"/>
      <c r="AI2374" s="1463"/>
      <c r="AJ2374" s="1463" t="s">
        <v>47</v>
      </c>
      <c r="AK2374" s="1463">
        <v>2</v>
      </c>
      <c r="AL2374" s="122" t="s">
        <v>916</v>
      </c>
      <c r="AM2374" s="122" t="s">
        <v>916</v>
      </c>
      <c r="AN2374" s="199"/>
      <c r="AO2374" s="190"/>
    </row>
    <row r="2375" spans="1:41" ht="39" customHeight="1" x14ac:dyDescent="0.3">
      <c r="A2375" s="1468">
        <v>2374</v>
      </c>
      <c r="B2375" s="595"/>
      <c r="C2375" s="611" t="s">
        <v>305</v>
      </c>
      <c r="D2375" s="595"/>
      <c r="E2375" s="595"/>
      <c r="F2375" s="595"/>
      <c r="G2375" s="1476"/>
      <c r="H2375" s="1476"/>
      <c r="I2375" s="595"/>
      <c r="J2375" s="595"/>
      <c r="K2375" s="216" t="s">
        <v>158</v>
      </c>
      <c r="L2375" s="197" t="s">
        <v>1185</v>
      </c>
      <c r="M2375" s="197" t="s">
        <v>1185</v>
      </c>
      <c r="N2375" s="245"/>
      <c r="O2375" s="216" t="s">
        <v>1186</v>
      </c>
      <c r="P2375" s="247"/>
      <c r="Q2375" s="978" t="s">
        <v>2053</v>
      </c>
      <c r="R2375" s="995" t="s">
        <v>1187</v>
      </c>
      <c r="S2375" s="279">
        <v>37369</v>
      </c>
      <c r="T2375" s="250"/>
      <c r="U2375" s="251" t="s">
        <v>54</v>
      </c>
      <c r="V2375" s="197" t="s">
        <v>141</v>
      </c>
      <c r="W2375" s="197" t="s">
        <v>56</v>
      </c>
      <c r="X2375" s="197" t="s">
        <v>57</v>
      </c>
      <c r="Y2375" s="197" t="s">
        <v>951</v>
      </c>
      <c r="Z2375" s="246">
        <v>44851</v>
      </c>
      <c r="AA2375" s="252"/>
      <c r="AB2375" s="245" t="s">
        <v>1188</v>
      </c>
      <c r="AC2375" s="223" t="s">
        <v>1189</v>
      </c>
      <c r="AD2375" s="299" t="s">
        <v>1190</v>
      </c>
      <c r="AE2375" s="246">
        <v>44384</v>
      </c>
      <c r="AF2375" s="246"/>
      <c r="AG2375" s="241" t="s">
        <v>61</v>
      </c>
      <c r="AH2375" s="245"/>
      <c r="AI2375" s="284"/>
      <c r="AJ2375" s="755" t="s">
        <v>62</v>
      </c>
      <c r="AK2375" s="1476">
        <v>1</v>
      </c>
      <c r="AL2375" s="122" t="s">
        <v>916</v>
      </c>
      <c r="AM2375" s="122" t="s">
        <v>916</v>
      </c>
      <c r="AN2375" s="199"/>
      <c r="AO2375" s="190"/>
    </row>
    <row r="2376" spans="1:41" ht="39" customHeight="1" x14ac:dyDescent="0.3">
      <c r="A2376" s="1468">
        <v>2375</v>
      </c>
      <c r="B2376" s="595"/>
      <c r="C2376" s="611" t="s">
        <v>305</v>
      </c>
      <c r="D2376" s="595"/>
      <c r="E2376" s="595"/>
      <c r="F2376" s="595"/>
      <c r="G2376" s="1476"/>
      <c r="H2376" s="1476"/>
      <c r="I2376" s="595"/>
      <c r="J2376" s="595"/>
      <c r="K2376" s="197" t="s">
        <v>1014</v>
      </c>
      <c r="L2376" s="216" t="s">
        <v>1015</v>
      </c>
      <c r="M2376" s="216" t="s">
        <v>1016</v>
      </c>
      <c r="N2376" s="245"/>
      <c r="O2376" s="1476" t="s">
        <v>1017</v>
      </c>
      <c r="P2376" s="304"/>
      <c r="Q2376" s="326" t="s">
        <v>83</v>
      </c>
      <c r="R2376" s="1501" t="s">
        <v>1018</v>
      </c>
      <c r="S2376" s="279">
        <v>35244</v>
      </c>
      <c r="T2376" s="443"/>
      <c r="U2376" s="251" t="s">
        <v>54</v>
      </c>
      <c r="V2376" s="276" t="s">
        <v>207</v>
      </c>
      <c r="W2376" s="197" t="s">
        <v>56</v>
      </c>
      <c r="X2376" s="197" t="s">
        <v>57</v>
      </c>
      <c r="Y2376" s="197" t="s">
        <v>58</v>
      </c>
      <c r="Z2376" s="246">
        <v>44844</v>
      </c>
      <c r="AA2376" s="246"/>
      <c r="AB2376" s="281"/>
      <c r="AC2376" s="223" t="s">
        <v>946</v>
      </c>
      <c r="AD2376" s="250" t="s">
        <v>1019</v>
      </c>
      <c r="AE2376" s="258">
        <v>43639</v>
      </c>
      <c r="AF2376" s="258">
        <v>45465</v>
      </c>
      <c r="AG2376" s="241" t="s">
        <v>61</v>
      </c>
      <c r="AH2376" s="283"/>
      <c r="AI2376" s="254"/>
      <c r="AJ2376" s="755" t="s">
        <v>62</v>
      </c>
      <c r="AK2376" s="1476">
        <v>1</v>
      </c>
      <c r="AL2376" s="122" t="s">
        <v>5915</v>
      </c>
      <c r="AM2376" s="122" t="s">
        <v>916</v>
      </c>
      <c r="AN2376" s="199"/>
      <c r="AO2376" s="190"/>
    </row>
    <row r="2377" spans="1:41" ht="39" customHeight="1" x14ac:dyDescent="0.3">
      <c r="A2377" s="1468">
        <v>2376</v>
      </c>
      <c r="B2377" s="595"/>
      <c r="C2377" s="611" t="s">
        <v>305</v>
      </c>
      <c r="D2377" s="595"/>
      <c r="E2377" s="595"/>
      <c r="F2377" s="595"/>
      <c r="G2377" s="1476"/>
      <c r="H2377" s="1476"/>
      <c r="I2377" s="595"/>
      <c r="J2377" s="595"/>
      <c r="K2377" s="197" t="s">
        <v>6215</v>
      </c>
      <c r="L2377" s="216" t="s">
        <v>1074</v>
      </c>
      <c r="M2377" s="216" t="s">
        <v>1016</v>
      </c>
      <c r="N2377" s="245"/>
      <c r="O2377" s="1476" t="s">
        <v>3321</v>
      </c>
      <c r="P2377" s="304"/>
      <c r="Q2377" s="326" t="s">
        <v>119</v>
      </c>
      <c r="R2377" s="1501" t="s">
        <v>1076</v>
      </c>
      <c r="S2377" s="279">
        <v>35906</v>
      </c>
      <c r="T2377" s="443"/>
      <c r="U2377" s="251" t="s">
        <v>54</v>
      </c>
      <c r="V2377" s="276" t="s">
        <v>1002</v>
      </c>
      <c r="W2377" s="197" t="s">
        <v>1003</v>
      </c>
      <c r="X2377" s="197" t="s">
        <v>900</v>
      </c>
      <c r="Y2377" s="197" t="s">
        <v>1004</v>
      </c>
      <c r="Z2377" s="246">
        <v>45062</v>
      </c>
      <c r="AA2377" s="246"/>
      <c r="AB2377" s="281" t="s">
        <v>1028</v>
      </c>
      <c r="AC2377" s="223" t="s">
        <v>946</v>
      </c>
      <c r="AD2377" s="250" t="s">
        <v>1024</v>
      </c>
      <c r="AE2377" s="258">
        <v>43384</v>
      </c>
      <c r="AF2377" s="258">
        <v>46226</v>
      </c>
      <c r="AG2377" s="241" t="s">
        <v>61</v>
      </c>
      <c r="AH2377" s="283"/>
      <c r="AI2377" s="254"/>
      <c r="AJ2377" s="755" t="s">
        <v>62</v>
      </c>
      <c r="AK2377" s="1476">
        <v>1</v>
      </c>
      <c r="AL2377" s="122" t="s">
        <v>5915</v>
      </c>
      <c r="AM2377" s="122" t="s">
        <v>916</v>
      </c>
      <c r="AN2377" s="199"/>
      <c r="AO2377" s="190"/>
    </row>
    <row r="2378" spans="1:41" ht="39" customHeight="1" x14ac:dyDescent="0.3">
      <c r="A2378" s="1468">
        <v>2377</v>
      </c>
      <c r="B2378" s="595"/>
      <c r="C2378" s="611" t="s">
        <v>344</v>
      </c>
      <c r="D2378" s="595"/>
      <c r="E2378" s="595"/>
      <c r="F2378" s="595"/>
      <c r="G2378" s="1476"/>
      <c r="H2378" s="1476"/>
      <c r="I2378" s="595"/>
      <c r="J2378" s="595"/>
      <c r="K2378" s="197"/>
      <c r="L2378" s="216" t="s">
        <v>982</v>
      </c>
      <c r="M2378" s="216"/>
      <c r="N2378" s="245"/>
      <c r="O2378" s="1476" t="s">
        <v>1101</v>
      </c>
      <c r="P2378" s="304"/>
      <c r="Q2378" s="326" t="s">
        <v>2053</v>
      </c>
      <c r="R2378" s="1501" t="s">
        <v>1102</v>
      </c>
      <c r="S2378" s="279">
        <v>37130</v>
      </c>
      <c r="T2378" s="443"/>
      <c r="U2378" s="250"/>
      <c r="V2378" s="245"/>
      <c r="W2378" s="197" t="s">
        <v>6066</v>
      </c>
      <c r="X2378" s="197"/>
      <c r="Y2378" s="197"/>
      <c r="Z2378" s="246"/>
      <c r="AA2378" s="246"/>
      <c r="AB2378" s="281"/>
      <c r="AC2378" s="223" t="s">
        <v>946</v>
      </c>
      <c r="AD2378" s="250"/>
      <c r="AE2378" s="258"/>
      <c r="AF2378" s="258"/>
      <c r="AG2378" s="241" t="s">
        <v>61</v>
      </c>
      <c r="AH2378" s="283"/>
      <c r="AI2378" s="254"/>
      <c r="AJ2378" s="755" t="s">
        <v>62</v>
      </c>
      <c r="AK2378" s="1476">
        <v>1</v>
      </c>
      <c r="AL2378" s="122" t="s">
        <v>5838</v>
      </c>
      <c r="AM2378" s="122" t="s">
        <v>916</v>
      </c>
      <c r="AN2378" s="199"/>
      <c r="AO2378" s="190"/>
    </row>
    <row r="2379" spans="1:41" ht="39" customHeight="1" x14ac:dyDescent="0.3">
      <c r="A2379" s="1468">
        <v>2378</v>
      </c>
      <c r="B2379" s="595"/>
      <c r="C2379" s="611" t="s">
        <v>6121</v>
      </c>
      <c r="D2379" s="595"/>
      <c r="E2379" s="595"/>
      <c r="F2379" s="595"/>
      <c r="G2379" s="1530"/>
      <c r="H2379" s="1530"/>
      <c r="I2379" s="595"/>
      <c r="J2379" s="595"/>
      <c r="K2379" s="197"/>
      <c r="L2379" s="216" t="s">
        <v>6120</v>
      </c>
      <c r="M2379" s="216" t="s">
        <v>6120</v>
      </c>
      <c r="N2379" s="245"/>
      <c r="O2379" s="1530" t="s">
        <v>6119</v>
      </c>
      <c r="P2379" s="304"/>
      <c r="Q2379" s="326" t="s">
        <v>119</v>
      </c>
      <c r="R2379" s="1501" t="s">
        <v>6118</v>
      </c>
      <c r="S2379" s="279">
        <v>36833</v>
      </c>
      <c r="T2379" s="443"/>
      <c r="U2379" s="250"/>
      <c r="V2379" s="245"/>
      <c r="W2379" s="197"/>
      <c r="X2379" s="197"/>
      <c r="Y2379" s="197"/>
      <c r="Z2379" s="246"/>
      <c r="AA2379" s="246"/>
      <c r="AB2379" s="281"/>
      <c r="AC2379" s="223"/>
      <c r="AD2379" s="250"/>
      <c r="AE2379" s="258"/>
      <c r="AF2379" s="258"/>
      <c r="AG2379" s="241"/>
      <c r="AH2379" s="283"/>
      <c r="AI2379" s="254"/>
      <c r="AJ2379" s="755" t="s">
        <v>62</v>
      </c>
      <c r="AK2379" s="1530">
        <v>1</v>
      </c>
      <c r="AL2379" s="122" t="s">
        <v>916</v>
      </c>
      <c r="AM2379" s="122" t="s">
        <v>916</v>
      </c>
      <c r="AN2379" s="199"/>
      <c r="AO2379" s="190"/>
    </row>
    <row r="2380" spans="1:41" ht="39" customHeight="1" x14ac:dyDescent="0.3">
      <c r="A2380" s="1468">
        <v>2379</v>
      </c>
      <c r="B2380" s="595"/>
      <c r="C2380" s="611" t="s">
        <v>305</v>
      </c>
      <c r="D2380" s="595"/>
      <c r="E2380" s="595"/>
      <c r="F2380" s="595"/>
      <c r="G2380" s="1530"/>
      <c r="H2380" s="1530"/>
      <c r="I2380" s="595"/>
      <c r="J2380" s="595"/>
      <c r="K2380" s="197"/>
      <c r="L2380" s="216" t="s">
        <v>6120</v>
      </c>
      <c r="M2380" s="216" t="s">
        <v>6120</v>
      </c>
      <c r="N2380" s="245"/>
      <c r="O2380" s="1530" t="s">
        <v>6123</v>
      </c>
      <c r="P2380" s="304"/>
      <c r="Q2380" s="326" t="s">
        <v>2053</v>
      </c>
      <c r="R2380" s="1501" t="s">
        <v>6122</v>
      </c>
      <c r="S2380" s="279">
        <v>32975</v>
      </c>
      <c r="T2380" s="443"/>
      <c r="U2380" s="250"/>
      <c r="V2380" s="245"/>
      <c r="W2380" s="197"/>
      <c r="X2380" s="197"/>
      <c r="Y2380" s="197"/>
      <c r="Z2380" s="246"/>
      <c r="AA2380" s="246"/>
      <c r="AB2380" s="281"/>
      <c r="AC2380" s="223"/>
      <c r="AD2380" s="250"/>
      <c r="AE2380" s="258"/>
      <c r="AF2380" s="258"/>
      <c r="AG2380" s="241"/>
      <c r="AH2380" s="283"/>
      <c r="AI2380" s="254"/>
      <c r="AJ2380" s="755" t="s">
        <v>62</v>
      </c>
      <c r="AK2380" s="1530">
        <v>1</v>
      </c>
      <c r="AL2380" s="122" t="s">
        <v>916</v>
      </c>
      <c r="AM2380" s="122" t="s">
        <v>916</v>
      </c>
      <c r="AN2380" s="199"/>
      <c r="AO2380" s="190"/>
    </row>
    <row r="2381" spans="1:41" ht="39" customHeight="1" x14ac:dyDescent="0.3">
      <c r="A2381" s="1468">
        <v>2380</v>
      </c>
      <c r="B2381" s="595"/>
      <c r="C2381" s="611" t="s">
        <v>321</v>
      </c>
      <c r="D2381" s="595"/>
      <c r="E2381" s="595"/>
      <c r="F2381" s="595"/>
      <c r="G2381" s="1530"/>
      <c r="H2381" s="1530"/>
      <c r="I2381" s="595"/>
      <c r="J2381" s="595"/>
      <c r="K2381" s="197"/>
      <c r="L2381" s="216" t="s">
        <v>6090</v>
      </c>
      <c r="M2381" s="216" t="s">
        <v>6090</v>
      </c>
      <c r="N2381" s="245"/>
      <c r="O2381" s="1530" t="s">
        <v>6127</v>
      </c>
      <c r="P2381" s="304"/>
      <c r="Q2381" s="1499" t="s">
        <v>2067</v>
      </c>
      <c r="R2381" s="1503" t="s">
        <v>6126</v>
      </c>
      <c r="S2381" s="279"/>
      <c r="T2381" s="443"/>
      <c r="U2381" s="250"/>
      <c r="V2381" s="245"/>
      <c r="W2381" s="197"/>
      <c r="X2381" s="197"/>
      <c r="Y2381" s="197"/>
      <c r="Z2381" s="246"/>
      <c r="AA2381" s="246"/>
      <c r="AB2381" s="281"/>
      <c r="AC2381" s="223"/>
      <c r="AD2381" s="250"/>
      <c r="AE2381" s="258"/>
      <c r="AF2381" s="258"/>
      <c r="AG2381" s="241"/>
      <c r="AH2381" s="283"/>
      <c r="AI2381" s="254"/>
      <c r="AJ2381" s="348" t="s">
        <v>560</v>
      </c>
      <c r="AK2381" s="241">
        <v>4</v>
      </c>
      <c r="AL2381" s="122" t="s">
        <v>916</v>
      </c>
      <c r="AM2381" s="122" t="s">
        <v>916</v>
      </c>
      <c r="AN2381" s="199"/>
      <c r="AO2381" s="190"/>
    </row>
    <row r="2382" spans="1:41" ht="39" customHeight="1" x14ac:dyDescent="0.3">
      <c r="A2382" s="1468">
        <v>2381</v>
      </c>
      <c r="B2382" s="595"/>
      <c r="C2382" s="611" t="s">
        <v>6121</v>
      </c>
      <c r="D2382" s="595"/>
      <c r="E2382" s="595"/>
      <c r="F2382" s="595"/>
      <c r="G2382" s="1530"/>
      <c r="H2382" s="1530"/>
      <c r="I2382" s="595"/>
      <c r="J2382" s="595"/>
      <c r="K2382" s="197"/>
      <c r="L2382" s="216" t="s">
        <v>6130</v>
      </c>
      <c r="M2382" s="216" t="s">
        <v>6130</v>
      </c>
      <c r="N2382" s="245"/>
      <c r="O2382" s="1530" t="s">
        <v>6129</v>
      </c>
      <c r="P2382" s="304"/>
      <c r="Q2382" s="326" t="s">
        <v>83</v>
      </c>
      <c r="R2382" s="1501" t="s">
        <v>6128</v>
      </c>
      <c r="S2382" s="279">
        <v>33610</v>
      </c>
      <c r="T2382" s="443"/>
      <c r="U2382" s="250" t="s">
        <v>178</v>
      </c>
      <c r="V2382" s="245" t="s">
        <v>6131</v>
      </c>
      <c r="W2382" s="197" t="s">
        <v>5391</v>
      </c>
      <c r="X2382" s="197" t="s">
        <v>6133</v>
      </c>
      <c r="Y2382" s="197" t="s">
        <v>6134</v>
      </c>
      <c r="Z2382" s="246">
        <v>45327</v>
      </c>
      <c r="AA2382" s="246">
        <v>45356</v>
      </c>
      <c r="AB2382" s="281"/>
      <c r="AC2382" s="223"/>
      <c r="AD2382" s="250"/>
      <c r="AE2382" s="258"/>
      <c r="AF2382" s="258"/>
      <c r="AG2382" s="241"/>
      <c r="AH2382" s="283"/>
      <c r="AI2382" s="254"/>
      <c r="AJ2382" s="755" t="s">
        <v>62</v>
      </c>
      <c r="AK2382" s="1532">
        <v>1</v>
      </c>
      <c r="AL2382" s="122" t="s">
        <v>916</v>
      </c>
      <c r="AM2382" s="122" t="s">
        <v>916</v>
      </c>
      <c r="AN2382" s="199"/>
      <c r="AO2382" s="190"/>
    </row>
    <row r="2383" spans="1:41" ht="39" customHeight="1" x14ac:dyDescent="0.3">
      <c r="A2383" s="1468">
        <v>2382</v>
      </c>
      <c r="B2383" s="595"/>
      <c r="C2383" s="1264" t="s">
        <v>6202</v>
      </c>
      <c r="D2383" s="595"/>
      <c r="E2383" s="595"/>
      <c r="F2383" s="595"/>
      <c r="G2383" s="1530"/>
      <c r="H2383" s="1530"/>
      <c r="I2383" s="595"/>
      <c r="J2383" s="595"/>
      <c r="K2383" s="197"/>
      <c r="L2383" s="216" t="s">
        <v>6193</v>
      </c>
      <c r="M2383" s="216" t="s">
        <v>6193</v>
      </c>
      <c r="N2383" s="245"/>
      <c r="O2383" s="1530" t="s">
        <v>6204</v>
      </c>
      <c r="P2383" s="304"/>
      <c r="Q2383" s="326" t="s">
        <v>78</v>
      </c>
      <c r="R2383" s="1501" t="s">
        <v>6203</v>
      </c>
      <c r="S2383" s="279"/>
      <c r="T2383" s="443"/>
      <c r="U2383" s="250" t="s">
        <v>54</v>
      </c>
      <c r="V2383" s="245" t="s">
        <v>6226</v>
      </c>
      <c r="W2383" s="197" t="s">
        <v>56</v>
      </c>
      <c r="X2383" s="197" t="s">
        <v>57</v>
      </c>
      <c r="Y2383" s="1461" t="s">
        <v>4631</v>
      </c>
      <c r="Z2383" s="246">
        <v>45327</v>
      </c>
      <c r="AA2383" s="246"/>
      <c r="AB2383" s="281"/>
      <c r="AC2383" s="223"/>
      <c r="AD2383" s="250"/>
      <c r="AE2383" s="258"/>
      <c r="AF2383" s="258"/>
      <c r="AG2383" s="241"/>
      <c r="AH2383" s="283"/>
      <c r="AI2383" s="254"/>
      <c r="AJ2383" s="755" t="s">
        <v>62</v>
      </c>
      <c r="AK2383" s="1544">
        <v>1</v>
      </c>
      <c r="AL2383" s="1531" t="s">
        <v>5863</v>
      </c>
      <c r="AM2383" s="122" t="s">
        <v>916</v>
      </c>
      <c r="AN2383" s="199"/>
      <c r="AO2383" s="190"/>
    </row>
    <row r="2384" spans="1:41" ht="39" customHeight="1" x14ac:dyDescent="0.3">
      <c r="A2384" s="1468">
        <v>2383</v>
      </c>
      <c r="B2384" s="595"/>
      <c r="C2384" s="611"/>
      <c r="D2384" s="595"/>
      <c r="E2384" s="595"/>
      <c r="F2384" s="595"/>
      <c r="G2384" s="1530"/>
      <c r="H2384" s="1530"/>
      <c r="I2384" s="595"/>
      <c r="J2384" s="595"/>
      <c r="K2384" s="216"/>
      <c r="L2384" s="282"/>
      <c r="M2384" s="282"/>
      <c r="N2384" s="245"/>
      <c r="O2384" s="216"/>
      <c r="P2384" s="247"/>
      <c r="Q2384" s="978"/>
      <c r="R2384" s="259"/>
      <c r="S2384" s="279"/>
      <c r="T2384" s="250"/>
      <c r="U2384" s="250"/>
      <c r="V2384" s="250"/>
      <c r="W2384" s="1544"/>
      <c r="X2384" s="1544"/>
      <c r="Y2384" s="1126"/>
      <c r="Z2384" s="252"/>
      <c r="AA2384" s="252"/>
      <c r="AB2384" s="281"/>
      <c r="AC2384" s="223"/>
      <c r="AD2384" s="281"/>
      <c r="AE2384" s="494"/>
      <c r="AF2384" s="494"/>
      <c r="AG2384" s="241"/>
      <c r="AH2384" s="283"/>
      <c r="AI2384" s="296"/>
      <c r="AJ2384" s="755"/>
      <c r="AK2384" s="1530"/>
      <c r="AL2384" s="122"/>
      <c r="AM2384" s="122"/>
      <c r="AN2384" s="199"/>
      <c r="AO2384" s="190"/>
    </row>
    <row r="2385" spans="1:41" ht="39" customHeight="1" x14ac:dyDescent="0.3">
      <c r="A2385" s="1468">
        <v>2384</v>
      </c>
      <c r="B2385" s="595"/>
      <c r="C2385" s="611"/>
      <c r="D2385" s="595"/>
      <c r="E2385" s="595"/>
      <c r="F2385" s="595"/>
      <c r="G2385" s="1530"/>
      <c r="H2385" s="1530"/>
      <c r="I2385" s="595"/>
      <c r="J2385" s="595"/>
      <c r="K2385" s="197"/>
      <c r="L2385" s="216"/>
      <c r="M2385" s="216"/>
      <c r="N2385" s="245"/>
      <c r="O2385" s="1530"/>
      <c r="P2385" s="304"/>
      <c r="Q2385" s="326"/>
      <c r="R2385" s="1501"/>
      <c r="S2385" s="279"/>
      <c r="T2385" s="443"/>
      <c r="U2385" s="250"/>
      <c r="V2385" s="245"/>
      <c r="W2385" s="197"/>
      <c r="X2385" s="197"/>
      <c r="Y2385" s="197"/>
      <c r="Z2385" s="246"/>
      <c r="AA2385" s="246"/>
      <c r="AB2385" s="281"/>
      <c r="AC2385" s="223"/>
      <c r="AD2385" s="250"/>
      <c r="AE2385" s="258"/>
      <c r="AF2385" s="258"/>
      <c r="AG2385" s="241"/>
      <c r="AH2385" s="283"/>
      <c r="AI2385" s="254"/>
      <c r="AJ2385" s="755"/>
      <c r="AK2385" s="1530"/>
      <c r="AL2385" s="1531"/>
      <c r="AM2385" s="1531"/>
      <c r="AN2385" s="199"/>
      <c r="AO2385" s="190"/>
    </row>
    <row r="2386" spans="1:41" ht="39" customHeight="1" x14ac:dyDescent="0.3">
      <c r="A2386" s="1468">
        <v>2385</v>
      </c>
      <c r="B2386" s="595"/>
      <c r="C2386" s="611"/>
      <c r="D2386" s="595"/>
      <c r="E2386" s="595"/>
      <c r="F2386" s="595"/>
      <c r="G2386" s="1530"/>
      <c r="H2386" s="1530"/>
      <c r="I2386" s="595"/>
      <c r="J2386" s="595"/>
      <c r="K2386" s="197"/>
      <c r="L2386" s="216"/>
      <c r="M2386" s="216"/>
      <c r="N2386" s="245"/>
      <c r="O2386" s="1530"/>
      <c r="P2386" s="304"/>
      <c r="Q2386" s="326"/>
      <c r="R2386" s="1501"/>
      <c r="S2386" s="279"/>
      <c r="T2386" s="443"/>
      <c r="U2386" s="250"/>
      <c r="V2386" s="245"/>
      <c r="W2386" s="197"/>
      <c r="X2386" s="197"/>
      <c r="Y2386" s="197"/>
      <c r="Z2386" s="246"/>
      <c r="AA2386" s="246"/>
      <c r="AB2386" s="281"/>
      <c r="AC2386" s="223"/>
      <c r="AD2386" s="250"/>
      <c r="AE2386" s="258"/>
      <c r="AF2386" s="258"/>
      <c r="AG2386" s="241"/>
      <c r="AH2386" s="283"/>
      <c r="AI2386" s="254"/>
      <c r="AJ2386" s="755"/>
      <c r="AK2386" s="1530"/>
      <c r="AL2386" s="1531"/>
      <c r="AM2386" s="1531"/>
      <c r="AN2386" s="199"/>
      <c r="AO2386" s="190"/>
    </row>
    <row r="2387" spans="1:41" ht="39" customHeight="1" x14ac:dyDescent="0.3">
      <c r="A2387" s="1468">
        <v>2386</v>
      </c>
      <c r="B2387" s="595"/>
      <c r="C2387" s="611"/>
      <c r="D2387" s="595"/>
      <c r="E2387" s="595"/>
      <c r="F2387" s="595"/>
      <c r="G2387" s="1530"/>
      <c r="H2387" s="1530"/>
      <c r="I2387" s="595"/>
      <c r="J2387" s="595"/>
      <c r="K2387" s="197"/>
      <c r="L2387" s="216"/>
      <c r="M2387" s="216"/>
      <c r="N2387" s="245"/>
      <c r="O2387" s="1530"/>
      <c r="P2387" s="304"/>
      <c r="Q2387" s="326"/>
      <c r="R2387" s="1501"/>
      <c r="S2387" s="279"/>
      <c r="T2387" s="443"/>
      <c r="U2387" s="250"/>
      <c r="V2387" s="245"/>
      <c r="W2387" s="197"/>
      <c r="X2387" s="197"/>
      <c r="Y2387" s="197"/>
      <c r="Z2387" s="246"/>
      <c r="AA2387" s="246"/>
      <c r="AB2387" s="281"/>
      <c r="AC2387" s="223"/>
      <c r="AD2387" s="250"/>
      <c r="AE2387" s="258"/>
      <c r="AF2387" s="258"/>
      <c r="AG2387" s="241"/>
      <c r="AH2387" s="283"/>
      <c r="AI2387" s="254"/>
      <c r="AJ2387" s="755"/>
      <c r="AK2387" s="1530"/>
      <c r="AL2387" s="1531"/>
      <c r="AM2387" s="1531"/>
      <c r="AN2387" s="199"/>
      <c r="AO2387" s="190"/>
    </row>
    <row r="2388" spans="1:41" ht="39" customHeight="1" x14ac:dyDescent="0.3">
      <c r="A2388" s="1468">
        <v>2387</v>
      </c>
      <c r="B2388" s="595"/>
      <c r="C2388" s="611"/>
      <c r="D2388" s="595"/>
      <c r="E2388" s="595"/>
      <c r="F2388" s="595"/>
      <c r="G2388" s="1530"/>
      <c r="H2388" s="1530"/>
      <c r="I2388" s="595"/>
      <c r="J2388" s="595"/>
      <c r="K2388" s="197"/>
      <c r="L2388" s="216"/>
      <c r="M2388" s="216"/>
      <c r="N2388" s="245"/>
      <c r="O2388" s="1530"/>
      <c r="P2388" s="304"/>
      <c r="Q2388" s="326"/>
      <c r="R2388" s="1501"/>
      <c r="S2388" s="279"/>
      <c r="T2388" s="443"/>
      <c r="U2388" s="250"/>
      <c r="V2388" s="245"/>
      <c r="W2388" s="197"/>
      <c r="X2388" s="197"/>
      <c r="Y2388" s="197"/>
      <c r="Z2388" s="246"/>
      <c r="AA2388" s="246"/>
      <c r="AB2388" s="281"/>
      <c r="AC2388" s="223"/>
      <c r="AD2388" s="250"/>
      <c r="AE2388" s="258"/>
      <c r="AF2388" s="258"/>
      <c r="AG2388" s="241"/>
      <c r="AH2388" s="283"/>
      <c r="AI2388" s="254"/>
      <c r="AJ2388" s="755"/>
      <c r="AK2388" s="1530"/>
      <c r="AL2388" s="1531"/>
      <c r="AM2388" s="1531"/>
      <c r="AN2388" s="199"/>
      <c r="AO2388" s="190"/>
    </row>
    <row r="2389" spans="1:41" ht="39" customHeight="1" x14ac:dyDescent="0.3">
      <c r="A2389" s="1468">
        <v>2388</v>
      </c>
      <c r="B2389" s="595"/>
      <c r="C2389" s="611"/>
      <c r="D2389" s="595"/>
      <c r="E2389" s="595"/>
      <c r="F2389" s="595"/>
      <c r="G2389" s="1530"/>
      <c r="H2389" s="1530"/>
      <c r="I2389" s="595"/>
      <c r="J2389" s="595"/>
      <c r="K2389" s="197"/>
      <c r="L2389" s="216"/>
      <c r="M2389" s="216"/>
      <c r="N2389" s="245"/>
      <c r="O2389" s="1530"/>
      <c r="P2389" s="304"/>
      <c r="Q2389" s="326"/>
      <c r="R2389" s="1501"/>
      <c r="S2389" s="279"/>
      <c r="T2389" s="443"/>
      <c r="U2389" s="250"/>
      <c r="V2389" s="245"/>
      <c r="W2389" s="197"/>
      <c r="X2389" s="197"/>
      <c r="Y2389" s="197"/>
      <c r="Z2389" s="246"/>
      <c r="AA2389" s="246"/>
      <c r="AB2389" s="281"/>
      <c r="AC2389" s="223"/>
      <c r="AD2389" s="250"/>
      <c r="AE2389" s="258"/>
      <c r="AF2389" s="258"/>
      <c r="AG2389" s="241"/>
      <c r="AH2389" s="283"/>
      <c r="AI2389" s="254"/>
      <c r="AJ2389" s="755"/>
      <c r="AK2389" s="1530"/>
      <c r="AL2389" s="1531"/>
      <c r="AM2389" s="1531"/>
      <c r="AN2389" s="199"/>
      <c r="AO2389" s="190"/>
    </row>
    <row r="2390" spans="1:41" ht="39" customHeight="1" x14ac:dyDescent="0.3">
      <c r="R2390" s="1209"/>
      <c r="S2390" s="1209"/>
      <c r="T2390" s="1209"/>
      <c r="U2390" s="1209"/>
      <c r="V2390" s="1209"/>
    </row>
    <row r="2391" spans="1:41" ht="39" customHeight="1" x14ac:dyDescent="0.3">
      <c r="R2391" s="1209"/>
      <c r="S2391" s="1209"/>
      <c r="T2391" s="1209"/>
      <c r="U2391" s="1209"/>
      <c r="V2391" s="1209"/>
    </row>
    <row r="2392" spans="1:41" ht="39" customHeight="1" x14ac:dyDescent="0.3">
      <c r="R2392" s="1209"/>
      <c r="S2392" s="1209"/>
      <c r="T2392" s="1209"/>
      <c r="U2392" s="1209"/>
      <c r="V2392" s="1209"/>
    </row>
    <row r="2393" spans="1:41" ht="39" customHeight="1" x14ac:dyDescent="0.3">
      <c r="R2393" s="1209"/>
      <c r="S2393" s="1209"/>
      <c r="T2393" s="1209"/>
      <c r="U2393" s="1209"/>
      <c r="V2393" s="1209"/>
    </row>
    <row r="2394" spans="1:41" ht="39" customHeight="1" x14ac:dyDescent="0.3">
      <c r="R2394" s="1209"/>
      <c r="S2394" s="1209"/>
      <c r="T2394" s="1209"/>
      <c r="U2394" s="1209"/>
      <c r="V2394" s="1209"/>
    </row>
    <row r="2395" spans="1:41" ht="39" customHeight="1" x14ac:dyDescent="0.3">
      <c r="R2395" s="1209"/>
      <c r="S2395" s="1209"/>
      <c r="T2395" s="1209"/>
      <c r="U2395" s="1209"/>
      <c r="V2395" s="1209"/>
    </row>
    <row r="2396" spans="1:41" ht="39" customHeight="1" x14ac:dyDescent="0.3">
      <c r="R2396" s="1209"/>
      <c r="S2396" s="1209"/>
      <c r="T2396" s="1209"/>
      <c r="U2396" s="1209"/>
      <c r="V2396" s="1209"/>
    </row>
    <row r="2397" spans="1:41" ht="39" customHeight="1" x14ac:dyDescent="0.3">
      <c r="R2397" s="1209"/>
    </row>
    <row r="2398" spans="1:41" ht="39" customHeight="1" x14ac:dyDescent="0.3">
      <c r="R2398" s="1209"/>
    </row>
    <row r="2399" spans="1:41" ht="39" customHeight="1" x14ac:dyDescent="0.3">
      <c r="R2399" s="1209"/>
    </row>
    <row r="2400" spans="1:41" ht="39" customHeight="1" x14ac:dyDescent="0.3">
      <c r="R2400" s="1209"/>
    </row>
    <row r="2401" spans="18:18" ht="39" customHeight="1" x14ac:dyDescent="0.3">
      <c r="R2401" s="1209"/>
    </row>
    <row r="2402" spans="18:18" ht="39" customHeight="1" x14ac:dyDescent="0.3">
      <c r="R2402" s="1209"/>
    </row>
    <row r="2403" spans="18:18" ht="39" customHeight="1" x14ac:dyDescent="0.3">
      <c r="R2403" s="1209"/>
    </row>
    <row r="2404" spans="18:18" ht="39" customHeight="1" x14ac:dyDescent="0.3">
      <c r="R2404" s="1209"/>
    </row>
    <row r="2405" spans="18:18" ht="39" customHeight="1" x14ac:dyDescent="0.3">
      <c r="R2405" s="1209"/>
    </row>
    <row r="2406" spans="18:18" ht="39" customHeight="1" x14ac:dyDescent="0.3">
      <c r="R2406" s="1209"/>
    </row>
    <row r="2407" spans="18:18" ht="39" customHeight="1" x14ac:dyDescent="0.3">
      <c r="R2407" s="1209"/>
    </row>
    <row r="2408" spans="18:18" ht="39" customHeight="1" x14ac:dyDescent="0.3">
      <c r="R2408" s="1209"/>
    </row>
    <row r="2409" spans="18:18" ht="39" customHeight="1" x14ac:dyDescent="0.3">
      <c r="R2409" s="1209"/>
    </row>
    <row r="2410" spans="18:18" ht="39" customHeight="1" x14ac:dyDescent="0.3">
      <c r="R2410" s="1209"/>
    </row>
    <row r="2411" spans="18:18" ht="39" customHeight="1" x14ac:dyDescent="0.3">
      <c r="R2411" s="1209"/>
    </row>
    <row r="2412" spans="18:18" ht="39" customHeight="1" x14ac:dyDescent="0.3">
      <c r="R2412" s="1209"/>
    </row>
    <row r="2413" spans="18:18" ht="39" customHeight="1" x14ac:dyDescent="0.3">
      <c r="R2413" s="1209"/>
    </row>
    <row r="2414" spans="18:18" ht="39" customHeight="1" x14ac:dyDescent="0.3">
      <c r="R2414" s="1209"/>
    </row>
    <row r="2415" spans="18:18" ht="39" customHeight="1" x14ac:dyDescent="0.3">
      <c r="R2415" s="1209"/>
    </row>
    <row r="2416" spans="18:18" ht="39" customHeight="1" x14ac:dyDescent="0.3">
      <c r="R2416" s="1209"/>
    </row>
    <row r="2417" spans="18:18" ht="39" customHeight="1" x14ac:dyDescent="0.3">
      <c r="R2417" s="1209"/>
    </row>
    <row r="2418" spans="18:18" ht="39" customHeight="1" x14ac:dyDescent="0.3">
      <c r="R2418" s="1209"/>
    </row>
    <row r="2419" spans="18:18" ht="39" customHeight="1" x14ac:dyDescent="0.3">
      <c r="R2419" s="1209"/>
    </row>
    <row r="2420" spans="18:18" ht="39" customHeight="1" x14ac:dyDescent="0.3">
      <c r="R2420" s="1209"/>
    </row>
    <row r="2421" spans="18:18" ht="39" customHeight="1" x14ac:dyDescent="0.3">
      <c r="R2421" s="1209"/>
    </row>
    <row r="2422" spans="18:18" ht="39" customHeight="1" x14ac:dyDescent="0.3">
      <c r="R2422" s="1209"/>
    </row>
    <row r="2423" spans="18:18" ht="39" customHeight="1" x14ac:dyDescent="0.3">
      <c r="R2423" s="1209"/>
    </row>
    <row r="2424" spans="18:18" ht="39" customHeight="1" x14ac:dyDescent="0.3">
      <c r="R2424" s="1209"/>
    </row>
    <row r="2425" spans="18:18" ht="39" customHeight="1" x14ac:dyDescent="0.3">
      <c r="R2425" s="1209"/>
    </row>
    <row r="2426" spans="18:18" ht="39" customHeight="1" x14ac:dyDescent="0.3">
      <c r="R2426" s="1209"/>
    </row>
    <row r="2427" spans="18:18" ht="39" customHeight="1" x14ac:dyDescent="0.3">
      <c r="R2427" s="1209"/>
    </row>
    <row r="2428" spans="18:18" ht="39" customHeight="1" x14ac:dyDescent="0.3">
      <c r="R2428" s="1209"/>
    </row>
    <row r="2429" spans="18:18" ht="39" customHeight="1" x14ac:dyDescent="0.3">
      <c r="R2429" s="1209"/>
    </row>
    <row r="2430" spans="18:18" ht="39" customHeight="1" x14ac:dyDescent="0.3">
      <c r="R2430" s="1209"/>
    </row>
    <row r="2431" spans="18:18" ht="39" customHeight="1" x14ac:dyDescent="0.3">
      <c r="R2431" s="1209"/>
    </row>
    <row r="2432" spans="18:18" ht="39" customHeight="1" x14ac:dyDescent="0.3">
      <c r="R2432" s="1209"/>
    </row>
    <row r="2433" spans="18:20" ht="39" customHeight="1" x14ac:dyDescent="0.3">
      <c r="R2433" s="1209"/>
    </row>
    <row r="2434" spans="18:20" ht="39" customHeight="1" x14ac:dyDescent="0.3">
      <c r="R2434" s="1209"/>
    </row>
    <row r="2435" spans="18:20" ht="39" customHeight="1" x14ac:dyDescent="0.3">
      <c r="R2435" s="1209"/>
    </row>
    <row r="2436" spans="18:20" ht="39" customHeight="1" x14ac:dyDescent="0.3">
      <c r="R2436" s="1209"/>
    </row>
    <row r="2437" spans="18:20" ht="39" customHeight="1" x14ac:dyDescent="0.3">
      <c r="R2437" s="1209"/>
      <c r="T2437" s="1209"/>
    </row>
    <row r="2438" spans="18:20" ht="39" customHeight="1" x14ac:dyDescent="0.3">
      <c r="R2438" s="1209"/>
    </row>
    <row r="2439" spans="18:20" ht="39" customHeight="1" x14ac:dyDescent="0.3">
      <c r="R2439" s="1209"/>
    </row>
    <row r="2440" spans="18:20" ht="39" customHeight="1" x14ac:dyDescent="0.3">
      <c r="R2440" s="1209"/>
    </row>
    <row r="2441" spans="18:20" ht="39" customHeight="1" x14ac:dyDescent="0.3">
      <c r="R2441" s="1209"/>
    </row>
    <row r="2442" spans="18:20" ht="39" customHeight="1" x14ac:dyDescent="0.3">
      <c r="R2442" s="1209"/>
    </row>
    <row r="2443" spans="18:20" ht="39" customHeight="1" x14ac:dyDescent="0.3">
      <c r="R2443" s="1209"/>
    </row>
    <row r="2444" spans="18:20" ht="39" customHeight="1" x14ac:dyDescent="0.3">
      <c r="R2444" s="1209"/>
    </row>
    <row r="2445" spans="18:20" ht="39" customHeight="1" x14ac:dyDescent="0.3">
      <c r="R2445" s="1209"/>
    </row>
    <row r="2446" spans="18:20" ht="39" customHeight="1" x14ac:dyDescent="0.3">
      <c r="R2446" s="1209"/>
    </row>
    <row r="2447" spans="18:20" ht="39" customHeight="1" x14ac:dyDescent="0.3">
      <c r="R2447" s="1209"/>
    </row>
    <row r="2448" spans="18:20" ht="39" customHeight="1" x14ac:dyDescent="0.3">
      <c r="R2448" s="1209"/>
    </row>
    <row r="2449" spans="18:18" ht="39" customHeight="1" x14ac:dyDescent="0.3">
      <c r="R2449" s="1209"/>
    </row>
    <row r="2450" spans="18:18" ht="39" customHeight="1" x14ac:dyDescent="0.3">
      <c r="R2450" s="1209"/>
    </row>
    <row r="2451" spans="18:18" ht="39" customHeight="1" x14ac:dyDescent="0.3">
      <c r="R2451" s="1209"/>
    </row>
    <row r="2452" spans="18:18" ht="39" customHeight="1" x14ac:dyDescent="0.3">
      <c r="R2452" s="1209"/>
    </row>
    <row r="2453" spans="18:18" ht="39" customHeight="1" x14ac:dyDescent="0.3">
      <c r="R2453" s="1209"/>
    </row>
    <row r="2454" spans="18:18" ht="39" customHeight="1" x14ac:dyDescent="0.3">
      <c r="R2454" s="1209"/>
    </row>
    <row r="2455" spans="18:18" ht="39" customHeight="1" x14ac:dyDescent="0.3">
      <c r="R2455" s="1209"/>
    </row>
    <row r="2456" spans="18:18" ht="39" customHeight="1" x14ac:dyDescent="0.3">
      <c r="R2456" s="1209"/>
    </row>
    <row r="2457" spans="18:18" ht="39" customHeight="1" x14ac:dyDescent="0.3">
      <c r="R2457" s="1209"/>
    </row>
    <row r="2458" spans="18:18" ht="39" customHeight="1" x14ac:dyDescent="0.3">
      <c r="R2458" s="1209"/>
    </row>
    <row r="2459" spans="18:18" ht="39" customHeight="1" x14ac:dyDescent="0.3">
      <c r="R2459" s="1209"/>
    </row>
    <row r="2460" spans="18:18" ht="39" customHeight="1" x14ac:dyDescent="0.3">
      <c r="R2460" s="1209"/>
    </row>
    <row r="2461" spans="18:18" ht="39" customHeight="1" x14ac:dyDescent="0.3">
      <c r="R2461" s="1209"/>
    </row>
    <row r="2462" spans="18:18" ht="39" customHeight="1" x14ac:dyDescent="0.3">
      <c r="R2462" s="1209"/>
    </row>
    <row r="2463" spans="18:18" ht="39" customHeight="1" x14ac:dyDescent="0.3">
      <c r="R2463" s="1209"/>
    </row>
    <row r="2464" spans="18:18" ht="39" customHeight="1" x14ac:dyDescent="0.3">
      <c r="R2464" s="1209"/>
    </row>
    <row r="2465" spans="18:18" ht="39" customHeight="1" x14ac:dyDescent="0.3">
      <c r="R2465" s="1209"/>
    </row>
    <row r="2466" spans="18:18" ht="39" customHeight="1" x14ac:dyDescent="0.3">
      <c r="R2466" s="1209"/>
    </row>
    <row r="2467" spans="18:18" ht="39" customHeight="1" x14ac:dyDescent="0.3">
      <c r="R2467" s="1209"/>
    </row>
    <row r="2468" spans="18:18" ht="39" customHeight="1" x14ac:dyDescent="0.3">
      <c r="R2468" s="1209"/>
    </row>
    <row r="2469" spans="18:18" ht="39" customHeight="1" x14ac:dyDescent="0.3">
      <c r="R2469" s="1209"/>
    </row>
    <row r="2470" spans="18:18" ht="39" customHeight="1" x14ac:dyDescent="0.3">
      <c r="R2470" s="1209"/>
    </row>
    <row r="2471" spans="18:18" ht="39" customHeight="1" x14ac:dyDescent="0.3">
      <c r="R2471" s="1209"/>
    </row>
    <row r="2472" spans="18:18" ht="39" customHeight="1" x14ac:dyDescent="0.3">
      <c r="R2472" s="1209"/>
    </row>
    <row r="2473" spans="18:18" ht="39" customHeight="1" x14ac:dyDescent="0.3">
      <c r="R2473" s="1209"/>
    </row>
    <row r="2474" spans="18:18" ht="39" customHeight="1" x14ac:dyDescent="0.3">
      <c r="R2474" s="1209"/>
    </row>
    <row r="2475" spans="18:18" ht="39" customHeight="1" x14ac:dyDescent="0.3">
      <c r="R2475" s="1209"/>
    </row>
    <row r="2476" spans="18:18" ht="39" customHeight="1" x14ac:dyDescent="0.3">
      <c r="R2476" s="1209"/>
    </row>
    <row r="2477" spans="18:18" ht="39" customHeight="1" x14ac:dyDescent="0.3">
      <c r="R2477" s="1209"/>
    </row>
    <row r="2478" spans="18:18" ht="39" customHeight="1" x14ac:dyDescent="0.3">
      <c r="R2478" s="1209"/>
    </row>
    <row r="2479" spans="18:18" ht="39" customHeight="1" x14ac:dyDescent="0.3">
      <c r="R2479" s="1209"/>
    </row>
    <row r="2480" spans="18:18" ht="39" customHeight="1" x14ac:dyDescent="0.3">
      <c r="R2480" s="1209"/>
    </row>
    <row r="2481" spans="18:18" ht="39" customHeight="1" x14ac:dyDescent="0.3">
      <c r="R2481" s="1209"/>
    </row>
    <row r="2482" spans="18:18" ht="39" customHeight="1" x14ac:dyDescent="0.3">
      <c r="R2482" s="1209"/>
    </row>
    <row r="2483" spans="18:18" ht="39" customHeight="1" x14ac:dyDescent="0.3">
      <c r="R2483" s="1209"/>
    </row>
    <row r="2484" spans="18:18" ht="39" customHeight="1" x14ac:dyDescent="0.3">
      <c r="R2484" s="1209"/>
    </row>
    <row r="2485" spans="18:18" ht="39" customHeight="1" x14ac:dyDescent="0.3">
      <c r="R2485" s="1209"/>
    </row>
    <row r="2486" spans="18:18" ht="39" customHeight="1" x14ac:dyDescent="0.3">
      <c r="R2486" s="1209"/>
    </row>
    <row r="2487" spans="18:18" ht="39" customHeight="1" x14ac:dyDescent="0.3">
      <c r="R2487" s="1209"/>
    </row>
    <row r="2488" spans="18:18" ht="39" customHeight="1" x14ac:dyDescent="0.3">
      <c r="R2488" s="1209"/>
    </row>
    <row r="2489" spans="18:18" ht="39" customHeight="1" x14ac:dyDescent="0.3">
      <c r="R2489" s="1209"/>
    </row>
    <row r="2490" spans="18:18" ht="39" customHeight="1" x14ac:dyDescent="0.3">
      <c r="R2490" s="1209"/>
    </row>
    <row r="2491" spans="18:18" ht="39" customHeight="1" x14ac:dyDescent="0.3">
      <c r="R2491" s="1209"/>
    </row>
    <row r="2492" spans="18:18" ht="39" customHeight="1" x14ac:dyDescent="0.3">
      <c r="R2492" s="1209"/>
    </row>
    <row r="2493" spans="18:18" ht="39" customHeight="1" x14ac:dyDescent="0.3">
      <c r="R2493" s="1209"/>
    </row>
    <row r="2494" spans="18:18" ht="39" customHeight="1" x14ac:dyDescent="0.3">
      <c r="R2494" s="1209"/>
    </row>
    <row r="2495" spans="18:18" ht="39" customHeight="1" x14ac:dyDescent="0.3">
      <c r="R2495" s="1209"/>
    </row>
    <row r="2496" spans="18:18" ht="39" customHeight="1" x14ac:dyDescent="0.3">
      <c r="R2496" s="1209"/>
    </row>
    <row r="2497" spans="18:18" ht="39" customHeight="1" x14ac:dyDescent="0.3">
      <c r="R2497" s="1209"/>
    </row>
    <row r="2498" spans="18:18" ht="39" customHeight="1" x14ac:dyDescent="0.3">
      <c r="R2498" s="1209"/>
    </row>
    <row r="2499" spans="18:18" ht="39" customHeight="1" x14ac:dyDescent="0.3">
      <c r="R2499" s="1209"/>
    </row>
    <row r="2500" spans="18:18" ht="39" customHeight="1" x14ac:dyDescent="0.3">
      <c r="R2500" s="1209"/>
    </row>
    <row r="2501" spans="18:18" ht="39" customHeight="1" x14ac:dyDescent="0.3">
      <c r="R2501" s="1209"/>
    </row>
    <row r="2502" spans="18:18" ht="39" customHeight="1" x14ac:dyDescent="0.3">
      <c r="R2502" s="1209"/>
    </row>
    <row r="2503" spans="18:18" ht="39" customHeight="1" x14ac:dyDescent="0.3">
      <c r="R2503" s="1209"/>
    </row>
    <row r="2504" spans="18:18" ht="39" customHeight="1" x14ac:dyDescent="0.3">
      <c r="R2504" s="1209"/>
    </row>
    <row r="2505" spans="18:18" ht="39" customHeight="1" x14ac:dyDescent="0.3">
      <c r="R2505" s="1209"/>
    </row>
    <row r="2506" spans="18:18" ht="39" customHeight="1" x14ac:dyDescent="0.3">
      <c r="R2506" s="1209"/>
    </row>
    <row r="2507" spans="18:18" ht="39" customHeight="1" x14ac:dyDescent="0.3">
      <c r="R2507" s="1209"/>
    </row>
    <row r="2508" spans="18:18" ht="39" customHeight="1" x14ac:dyDescent="0.3">
      <c r="R2508" s="1209"/>
    </row>
    <row r="2509" spans="18:18" ht="39" customHeight="1" x14ac:dyDescent="0.3">
      <c r="R2509" s="1209"/>
    </row>
    <row r="2510" spans="18:18" ht="39" customHeight="1" x14ac:dyDescent="0.3">
      <c r="R2510" s="1209"/>
    </row>
    <row r="2511" spans="18:18" ht="39" customHeight="1" x14ac:dyDescent="0.3">
      <c r="R2511" s="1209"/>
    </row>
    <row r="2512" spans="18:18" ht="39" customHeight="1" x14ac:dyDescent="0.3">
      <c r="R2512" s="1209"/>
    </row>
    <row r="2513" spans="18:18" ht="39" customHeight="1" x14ac:dyDescent="0.3">
      <c r="R2513" s="1209"/>
    </row>
    <row r="2514" spans="18:18" ht="39" customHeight="1" x14ac:dyDescent="0.3">
      <c r="R2514" s="1209"/>
    </row>
    <row r="2515" spans="18:18" ht="39" customHeight="1" x14ac:dyDescent="0.3">
      <c r="R2515" s="1209"/>
    </row>
    <row r="2516" spans="18:18" ht="39" customHeight="1" x14ac:dyDescent="0.3">
      <c r="R2516" s="1209"/>
    </row>
    <row r="2517" spans="18:18" ht="39" customHeight="1" x14ac:dyDescent="0.3">
      <c r="R2517" s="1209"/>
    </row>
    <row r="2518" spans="18:18" ht="39" customHeight="1" x14ac:dyDescent="0.3">
      <c r="R2518" s="1209"/>
    </row>
    <row r="2519" spans="18:18" ht="39" customHeight="1" x14ac:dyDescent="0.3">
      <c r="R2519" s="1209"/>
    </row>
    <row r="2520" spans="18:18" ht="39" customHeight="1" x14ac:dyDescent="0.3">
      <c r="R2520" s="1209"/>
    </row>
    <row r="2521" spans="18:18" ht="39" customHeight="1" x14ac:dyDescent="0.3">
      <c r="R2521" s="1209"/>
    </row>
    <row r="2522" spans="18:18" ht="39" customHeight="1" x14ac:dyDescent="0.3">
      <c r="R2522" s="1209"/>
    </row>
    <row r="2523" spans="18:18" ht="39" customHeight="1" x14ac:dyDescent="0.3">
      <c r="R2523" s="1209"/>
    </row>
    <row r="2524" spans="18:18" ht="39" customHeight="1" x14ac:dyDescent="0.3">
      <c r="R2524" s="1209"/>
    </row>
    <row r="2525" spans="18:18" ht="39" customHeight="1" x14ac:dyDescent="0.3">
      <c r="R2525" s="1209"/>
    </row>
    <row r="2526" spans="18:18" ht="39" customHeight="1" x14ac:dyDescent="0.3">
      <c r="R2526" s="1209"/>
    </row>
    <row r="2527" spans="18:18" ht="39" customHeight="1" x14ac:dyDescent="0.3">
      <c r="R2527" s="1209"/>
    </row>
    <row r="2528" spans="18:18" ht="39" customHeight="1" x14ac:dyDescent="0.3">
      <c r="R2528" s="1209"/>
    </row>
    <row r="2529" spans="18:18" ht="39" customHeight="1" x14ac:dyDescent="0.3">
      <c r="R2529" s="1209"/>
    </row>
    <row r="2530" spans="18:18" ht="39" customHeight="1" x14ac:dyDescent="0.3">
      <c r="R2530" s="1209"/>
    </row>
    <row r="2531" spans="18:18" ht="39" customHeight="1" x14ac:dyDescent="0.3">
      <c r="R2531" s="1209"/>
    </row>
    <row r="2532" spans="18:18" ht="39" customHeight="1" x14ac:dyDescent="0.3">
      <c r="R2532" s="1209"/>
    </row>
    <row r="2533" spans="18:18" ht="39" customHeight="1" x14ac:dyDescent="0.3">
      <c r="R2533" s="1209"/>
    </row>
    <row r="2534" spans="18:18" ht="39" customHeight="1" x14ac:dyDescent="0.3">
      <c r="R2534" s="1209"/>
    </row>
    <row r="2535" spans="18:18" ht="39" customHeight="1" x14ac:dyDescent="0.3">
      <c r="R2535" s="1209"/>
    </row>
    <row r="2536" spans="18:18" ht="39" customHeight="1" x14ac:dyDescent="0.3">
      <c r="R2536" s="1209"/>
    </row>
    <row r="2537" spans="18:18" ht="39" customHeight="1" x14ac:dyDescent="0.3">
      <c r="R2537" s="1209"/>
    </row>
    <row r="2538" spans="18:18" ht="39" customHeight="1" x14ac:dyDescent="0.3">
      <c r="R2538" s="1209"/>
    </row>
    <row r="2539" spans="18:18" ht="39" customHeight="1" x14ac:dyDescent="0.3">
      <c r="R2539" s="1209"/>
    </row>
    <row r="2540" spans="18:18" ht="39" customHeight="1" x14ac:dyDescent="0.3">
      <c r="R2540" s="1209"/>
    </row>
    <row r="2541" spans="18:18" ht="39" customHeight="1" x14ac:dyDescent="0.3">
      <c r="R2541" s="1209"/>
    </row>
    <row r="2542" spans="18:18" ht="39" customHeight="1" x14ac:dyDescent="0.3">
      <c r="R2542" s="1209"/>
    </row>
    <row r="2543" spans="18:18" ht="39" customHeight="1" x14ac:dyDescent="0.3">
      <c r="R2543" s="1209"/>
    </row>
    <row r="2544" spans="18:18" ht="39" customHeight="1" x14ac:dyDescent="0.3">
      <c r="R2544" s="1209"/>
    </row>
    <row r="2545" spans="18:18" ht="39" customHeight="1" x14ac:dyDescent="0.3">
      <c r="R2545" s="1209"/>
    </row>
    <row r="2546" spans="18:18" ht="39" customHeight="1" x14ac:dyDescent="0.3">
      <c r="R2546" s="1209"/>
    </row>
    <row r="2547" spans="18:18" ht="39" customHeight="1" x14ac:dyDescent="0.3">
      <c r="R2547" s="1209"/>
    </row>
    <row r="2548" spans="18:18" ht="39" customHeight="1" x14ac:dyDescent="0.3">
      <c r="R2548" s="1209"/>
    </row>
    <row r="2549" spans="18:18" ht="39" customHeight="1" x14ac:dyDescent="0.3">
      <c r="R2549" s="1209"/>
    </row>
    <row r="2550" spans="18:18" ht="39" customHeight="1" x14ac:dyDescent="0.3">
      <c r="R2550" s="1209"/>
    </row>
    <row r="2551" spans="18:18" ht="39" customHeight="1" x14ac:dyDescent="0.3">
      <c r="R2551" s="1209"/>
    </row>
    <row r="2552" spans="18:18" ht="39" customHeight="1" x14ac:dyDescent="0.3">
      <c r="R2552" s="1209"/>
    </row>
    <row r="2553" spans="18:18" ht="39" customHeight="1" x14ac:dyDescent="0.3">
      <c r="R2553" s="1209"/>
    </row>
    <row r="2554" spans="18:18" ht="39" customHeight="1" x14ac:dyDescent="0.3">
      <c r="R2554" s="1209"/>
    </row>
    <row r="2555" spans="18:18" ht="39" customHeight="1" x14ac:dyDescent="0.3">
      <c r="R2555" s="1209"/>
    </row>
    <row r="2556" spans="18:18" ht="39" customHeight="1" x14ac:dyDescent="0.3">
      <c r="R2556" s="1209"/>
    </row>
    <row r="2557" spans="18:18" ht="39" customHeight="1" x14ac:dyDescent="0.3">
      <c r="R2557" s="1209"/>
    </row>
    <row r="2558" spans="18:18" ht="39" customHeight="1" x14ac:dyDescent="0.3">
      <c r="R2558" s="1209"/>
    </row>
    <row r="2559" spans="18:18" ht="39" customHeight="1" x14ac:dyDescent="0.3">
      <c r="R2559" s="1209"/>
    </row>
    <row r="2560" spans="18:18" ht="39" customHeight="1" x14ac:dyDescent="0.3">
      <c r="R2560" s="1209"/>
    </row>
    <row r="2561" spans="18:18" ht="39" customHeight="1" x14ac:dyDescent="0.3">
      <c r="R2561" s="1209"/>
    </row>
    <row r="2562" spans="18:18" ht="39" customHeight="1" x14ac:dyDescent="0.3">
      <c r="R2562" s="1209"/>
    </row>
    <row r="2563" spans="18:18" ht="39" customHeight="1" x14ac:dyDescent="0.3">
      <c r="R2563" s="1209"/>
    </row>
    <row r="2564" spans="18:18" ht="39" customHeight="1" x14ac:dyDescent="0.3">
      <c r="R2564" s="1209"/>
    </row>
    <row r="2565" spans="18:18" ht="39" customHeight="1" x14ac:dyDescent="0.3">
      <c r="R2565" s="1209"/>
    </row>
    <row r="2566" spans="18:18" ht="39" customHeight="1" x14ac:dyDescent="0.3">
      <c r="R2566" s="1209"/>
    </row>
    <row r="2567" spans="18:18" ht="39" customHeight="1" x14ac:dyDescent="0.3">
      <c r="R2567" s="1209"/>
    </row>
    <row r="2568" spans="18:18" ht="39" customHeight="1" x14ac:dyDescent="0.3">
      <c r="R2568" s="1209"/>
    </row>
    <row r="2569" spans="18:18" ht="39" customHeight="1" x14ac:dyDescent="0.3">
      <c r="R2569" s="1209"/>
    </row>
    <row r="2570" spans="18:18" ht="39" customHeight="1" x14ac:dyDescent="0.3">
      <c r="R2570" s="1209"/>
    </row>
    <row r="2571" spans="18:18" ht="39" customHeight="1" x14ac:dyDescent="0.3">
      <c r="R2571" s="1209"/>
    </row>
    <row r="2572" spans="18:18" ht="39" customHeight="1" x14ac:dyDescent="0.3">
      <c r="R2572" s="1209"/>
    </row>
    <row r="2573" spans="18:18" ht="39" customHeight="1" x14ac:dyDescent="0.3">
      <c r="R2573" s="1209"/>
    </row>
    <row r="2574" spans="18:18" ht="39" customHeight="1" x14ac:dyDescent="0.3">
      <c r="R2574" s="1209"/>
    </row>
    <row r="2575" spans="18:18" ht="39" customHeight="1" x14ac:dyDescent="0.3">
      <c r="R2575" s="1209"/>
    </row>
    <row r="2576" spans="18:18" ht="39" customHeight="1" x14ac:dyDescent="0.3">
      <c r="R2576" s="1209"/>
    </row>
    <row r="2577" spans="18:18" ht="39" customHeight="1" x14ac:dyDescent="0.3">
      <c r="R2577" s="1209"/>
    </row>
    <row r="2578" spans="18:18" ht="39" customHeight="1" x14ac:dyDescent="0.3">
      <c r="R2578" s="1209"/>
    </row>
    <row r="2579" spans="18:18" ht="39" customHeight="1" x14ac:dyDescent="0.3">
      <c r="R2579" s="1209"/>
    </row>
    <row r="2580" spans="18:18" ht="39" customHeight="1" x14ac:dyDescent="0.3">
      <c r="R2580" s="1209"/>
    </row>
    <row r="2581" spans="18:18" ht="39" customHeight="1" x14ac:dyDescent="0.3">
      <c r="R2581" s="1209"/>
    </row>
    <row r="2582" spans="18:18" ht="39" customHeight="1" x14ac:dyDescent="0.3">
      <c r="R2582" s="1209"/>
    </row>
    <row r="2583" spans="18:18" ht="39" customHeight="1" x14ac:dyDescent="0.3">
      <c r="R2583" s="1209"/>
    </row>
    <row r="2584" spans="18:18" ht="39" customHeight="1" x14ac:dyDescent="0.3">
      <c r="R2584" s="1209"/>
    </row>
    <row r="2585" spans="18:18" ht="39" customHeight="1" x14ac:dyDescent="0.3">
      <c r="R2585" s="1209"/>
    </row>
    <row r="2586" spans="18:18" ht="39" customHeight="1" x14ac:dyDescent="0.3">
      <c r="R2586" s="1209"/>
    </row>
    <row r="2587" spans="18:18" ht="39" customHeight="1" x14ac:dyDescent="0.3">
      <c r="R2587" s="1209"/>
    </row>
    <row r="2588" spans="18:18" ht="39" customHeight="1" x14ac:dyDescent="0.3">
      <c r="R2588" s="1209"/>
    </row>
    <row r="2589" spans="18:18" ht="39" customHeight="1" x14ac:dyDescent="0.3">
      <c r="R2589" s="1209"/>
    </row>
    <row r="2590" spans="18:18" ht="39" customHeight="1" x14ac:dyDescent="0.3">
      <c r="R2590" s="1209"/>
    </row>
    <row r="2591" spans="18:18" ht="39" customHeight="1" x14ac:dyDescent="0.3">
      <c r="R2591" s="1209"/>
    </row>
    <row r="2592" spans="18:18" ht="39" customHeight="1" x14ac:dyDescent="0.3">
      <c r="R2592" s="1209"/>
    </row>
    <row r="2593" spans="18:18" ht="39" customHeight="1" x14ac:dyDescent="0.3">
      <c r="R2593" s="1209"/>
    </row>
    <row r="2594" spans="18:18" ht="39" customHeight="1" x14ac:dyDescent="0.3">
      <c r="R2594" s="1209"/>
    </row>
    <row r="2595" spans="18:18" ht="39" customHeight="1" x14ac:dyDescent="0.3">
      <c r="R2595" s="1209"/>
    </row>
    <row r="2596" spans="18:18" ht="39" customHeight="1" x14ac:dyDescent="0.3">
      <c r="R2596" s="1209"/>
    </row>
    <row r="2597" spans="18:18" ht="39" customHeight="1" x14ac:dyDescent="0.3">
      <c r="R2597" s="1209"/>
    </row>
    <row r="2598" spans="18:18" ht="39" customHeight="1" x14ac:dyDescent="0.3">
      <c r="R2598" s="1209"/>
    </row>
    <row r="2599" spans="18:18" ht="39" customHeight="1" x14ac:dyDescent="0.3">
      <c r="R2599" s="1209"/>
    </row>
    <row r="2600" spans="18:18" ht="39" customHeight="1" x14ac:dyDescent="0.3">
      <c r="R2600" s="1209"/>
    </row>
    <row r="2601" spans="18:18" ht="39" customHeight="1" x14ac:dyDescent="0.3">
      <c r="R2601" s="1209"/>
    </row>
    <row r="2602" spans="18:18" ht="39" customHeight="1" x14ac:dyDescent="0.3">
      <c r="R2602" s="1209"/>
    </row>
    <row r="2603" spans="18:18" ht="39" customHeight="1" x14ac:dyDescent="0.3">
      <c r="R2603" s="1209"/>
    </row>
    <row r="2604" spans="18:18" ht="39" customHeight="1" x14ac:dyDescent="0.3">
      <c r="R2604" s="1209"/>
    </row>
    <row r="2605" spans="18:18" ht="39" customHeight="1" x14ac:dyDescent="0.3">
      <c r="R2605" s="1209"/>
    </row>
    <row r="2606" spans="18:18" ht="39" customHeight="1" x14ac:dyDescent="0.3">
      <c r="R2606" s="1209"/>
    </row>
    <row r="2607" spans="18:18" ht="39" customHeight="1" x14ac:dyDescent="0.3">
      <c r="R2607" s="1209"/>
    </row>
    <row r="2608" spans="18:18" ht="39" customHeight="1" x14ac:dyDescent="0.3">
      <c r="R2608" s="1209"/>
    </row>
    <row r="2609" spans="18:18" ht="39" customHeight="1" x14ac:dyDescent="0.3">
      <c r="R2609" s="1209"/>
    </row>
    <row r="2610" spans="18:18" ht="39" customHeight="1" x14ac:dyDescent="0.3">
      <c r="R2610" s="1209"/>
    </row>
    <row r="2611" spans="18:18" ht="39" customHeight="1" x14ac:dyDescent="0.3">
      <c r="R2611" s="1209"/>
    </row>
    <row r="2612" spans="18:18" ht="39" customHeight="1" x14ac:dyDescent="0.3">
      <c r="R2612" s="1209"/>
    </row>
    <row r="2613" spans="18:18" ht="39" customHeight="1" x14ac:dyDescent="0.3">
      <c r="R2613" s="1209"/>
    </row>
    <row r="2614" spans="18:18" ht="39" customHeight="1" x14ac:dyDescent="0.3">
      <c r="R2614" s="1209"/>
    </row>
    <row r="2615" spans="18:18" ht="39" customHeight="1" x14ac:dyDescent="0.3">
      <c r="R2615" s="1209"/>
    </row>
    <row r="2616" spans="18:18" ht="39" customHeight="1" x14ac:dyDescent="0.3">
      <c r="R2616" s="1209"/>
    </row>
    <row r="2617" spans="18:18" ht="39" customHeight="1" x14ac:dyDescent="0.3">
      <c r="R2617" s="1209"/>
    </row>
    <row r="2618" spans="18:18" ht="39" customHeight="1" x14ac:dyDescent="0.3">
      <c r="R2618" s="1209"/>
    </row>
    <row r="2619" spans="18:18" ht="39" customHeight="1" x14ac:dyDescent="0.3">
      <c r="R2619" s="1209"/>
    </row>
    <row r="2620" spans="18:18" ht="39" customHeight="1" x14ac:dyDescent="0.3">
      <c r="R2620" s="1209"/>
    </row>
    <row r="2621" spans="18:18" ht="39" customHeight="1" x14ac:dyDescent="0.3">
      <c r="R2621" s="1209"/>
    </row>
    <row r="2622" spans="18:18" ht="39" customHeight="1" x14ac:dyDescent="0.3">
      <c r="R2622" s="1209"/>
    </row>
    <row r="2623" spans="18:18" ht="39" customHeight="1" x14ac:dyDescent="0.3">
      <c r="R2623" s="1209"/>
    </row>
    <row r="2624" spans="18:18" ht="39" customHeight="1" x14ac:dyDescent="0.3">
      <c r="R2624" s="1209"/>
    </row>
    <row r="2625" spans="18:18" ht="39" customHeight="1" x14ac:dyDescent="0.3">
      <c r="R2625" s="1209"/>
    </row>
    <row r="2626" spans="18:18" ht="39" customHeight="1" x14ac:dyDescent="0.3">
      <c r="R2626" s="1209"/>
    </row>
    <row r="2627" spans="18:18" ht="39" customHeight="1" x14ac:dyDescent="0.3">
      <c r="R2627" s="1209"/>
    </row>
    <row r="2628" spans="18:18" ht="39" customHeight="1" x14ac:dyDescent="0.3">
      <c r="R2628" s="1209"/>
    </row>
    <row r="2629" spans="18:18" ht="39" customHeight="1" x14ac:dyDescent="0.3">
      <c r="R2629" s="1209"/>
    </row>
    <row r="2630" spans="18:18" ht="39" customHeight="1" x14ac:dyDescent="0.3">
      <c r="R2630" s="1209"/>
    </row>
    <row r="2631" spans="18:18" ht="39" customHeight="1" x14ac:dyDescent="0.3">
      <c r="R2631" s="1209"/>
    </row>
    <row r="2632" spans="18:18" ht="39" customHeight="1" x14ac:dyDescent="0.3">
      <c r="R2632" s="1209"/>
    </row>
    <row r="2633" spans="18:18" ht="39" customHeight="1" x14ac:dyDescent="0.3">
      <c r="R2633" s="1209"/>
    </row>
    <row r="2634" spans="18:18" ht="39" customHeight="1" x14ac:dyDescent="0.3">
      <c r="R2634" s="1209"/>
    </row>
    <row r="2635" spans="18:18" ht="39" customHeight="1" x14ac:dyDescent="0.3">
      <c r="R2635" s="1209"/>
    </row>
    <row r="2636" spans="18:18" ht="39" customHeight="1" x14ac:dyDescent="0.3">
      <c r="R2636" s="1209"/>
    </row>
    <row r="2637" spans="18:18" ht="39" customHeight="1" x14ac:dyDescent="0.3">
      <c r="R2637" s="1209"/>
    </row>
    <row r="2638" spans="18:18" ht="39" customHeight="1" x14ac:dyDescent="0.3">
      <c r="R2638" s="1209"/>
    </row>
    <row r="2639" spans="18:18" ht="39" customHeight="1" x14ac:dyDescent="0.3">
      <c r="R2639" s="1209"/>
    </row>
    <row r="2640" spans="18:18" ht="39" customHeight="1" x14ac:dyDescent="0.3">
      <c r="R2640" s="1209"/>
    </row>
    <row r="2641" spans="18:18" ht="39" customHeight="1" x14ac:dyDescent="0.3">
      <c r="R2641" s="1209"/>
    </row>
    <row r="2642" spans="18:18" ht="39" customHeight="1" x14ac:dyDescent="0.3">
      <c r="R2642" s="1209"/>
    </row>
    <row r="2643" spans="18:18" ht="39" customHeight="1" x14ac:dyDescent="0.3">
      <c r="R2643" s="1209"/>
    </row>
    <row r="2644" spans="18:18" ht="39" customHeight="1" x14ac:dyDescent="0.3">
      <c r="R2644" s="1209"/>
    </row>
    <row r="2645" spans="18:18" ht="39" customHeight="1" x14ac:dyDescent="0.3">
      <c r="R2645" s="1209"/>
    </row>
    <row r="2646" spans="18:18" ht="39" customHeight="1" x14ac:dyDescent="0.3">
      <c r="R2646" s="1209"/>
    </row>
    <row r="2647" spans="18:18" ht="39" customHeight="1" x14ac:dyDescent="0.3">
      <c r="R2647" s="1209"/>
    </row>
    <row r="2648" spans="18:18" ht="39" customHeight="1" x14ac:dyDescent="0.3">
      <c r="R2648" s="1209"/>
    </row>
    <row r="2649" spans="18:18" ht="39" customHeight="1" x14ac:dyDescent="0.3">
      <c r="R2649" s="1209"/>
    </row>
    <row r="2650" spans="18:18" ht="39" customHeight="1" x14ac:dyDescent="0.3">
      <c r="R2650" s="1209"/>
    </row>
    <row r="2651" spans="18:18" ht="39" customHeight="1" x14ac:dyDescent="0.3">
      <c r="R2651" s="1209"/>
    </row>
    <row r="2652" spans="18:18" ht="39" customHeight="1" x14ac:dyDescent="0.3">
      <c r="R2652" s="1209"/>
    </row>
    <row r="2653" spans="18:18" ht="39" customHeight="1" x14ac:dyDescent="0.3">
      <c r="R2653" s="1209"/>
    </row>
    <row r="2654" spans="18:18" ht="39" customHeight="1" x14ac:dyDescent="0.3">
      <c r="R2654" s="1209"/>
    </row>
    <row r="2655" spans="18:18" ht="39" customHeight="1" x14ac:dyDescent="0.3">
      <c r="R2655" s="1209"/>
    </row>
    <row r="2656" spans="18:18" ht="39" customHeight="1" x14ac:dyDescent="0.3">
      <c r="R2656" s="1209"/>
    </row>
    <row r="2657" spans="18:18" ht="39" customHeight="1" x14ac:dyDescent="0.3">
      <c r="R2657" s="1209"/>
    </row>
    <row r="2658" spans="18:18" ht="39" customHeight="1" x14ac:dyDescent="0.3">
      <c r="R2658" s="1209"/>
    </row>
    <row r="2659" spans="18:18" ht="39" customHeight="1" x14ac:dyDescent="0.3">
      <c r="R2659" s="1209"/>
    </row>
    <row r="2660" spans="18:18" ht="39" customHeight="1" x14ac:dyDescent="0.3">
      <c r="R2660" s="1209"/>
    </row>
    <row r="2661" spans="18:18" ht="39" customHeight="1" x14ac:dyDescent="0.3">
      <c r="R2661" s="1209"/>
    </row>
    <row r="2662" spans="18:18" ht="39" customHeight="1" x14ac:dyDescent="0.3">
      <c r="R2662" s="1209"/>
    </row>
    <row r="2663" spans="18:18" ht="39" customHeight="1" x14ac:dyDescent="0.3">
      <c r="R2663" s="1209"/>
    </row>
    <row r="2664" spans="18:18" ht="39" customHeight="1" x14ac:dyDescent="0.3">
      <c r="R2664" s="1209"/>
    </row>
    <row r="2665" spans="18:18" ht="39" customHeight="1" x14ac:dyDescent="0.3">
      <c r="R2665" s="1209"/>
    </row>
    <row r="2666" spans="18:18" ht="39" customHeight="1" x14ac:dyDescent="0.3">
      <c r="R2666" s="1209"/>
    </row>
    <row r="2667" spans="18:18" ht="39" customHeight="1" x14ac:dyDescent="0.3">
      <c r="R2667" s="1209"/>
    </row>
    <row r="2668" spans="18:18" ht="39" customHeight="1" x14ac:dyDescent="0.3">
      <c r="R2668" s="1209"/>
    </row>
    <row r="2669" spans="18:18" ht="39" customHeight="1" x14ac:dyDescent="0.3">
      <c r="R2669" s="1209"/>
    </row>
    <row r="2670" spans="18:18" ht="39" customHeight="1" x14ac:dyDescent="0.3">
      <c r="R2670" s="1209"/>
    </row>
    <row r="2671" spans="18:18" ht="39" customHeight="1" x14ac:dyDescent="0.3">
      <c r="R2671" s="1209"/>
    </row>
    <row r="2672" spans="18:18" ht="39" customHeight="1" x14ac:dyDescent="0.3">
      <c r="R2672" s="1209"/>
    </row>
    <row r="2673" spans="18:18" ht="39" customHeight="1" x14ac:dyDescent="0.3">
      <c r="R2673" s="1209"/>
    </row>
    <row r="2674" spans="18:18" ht="39" customHeight="1" x14ac:dyDescent="0.3">
      <c r="R2674" s="1209"/>
    </row>
    <row r="2675" spans="18:18" ht="39" customHeight="1" x14ac:dyDescent="0.3">
      <c r="R2675" s="1209"/>
    </row>
    <row r="2676" spans="18:18" ht="39" customHeight="1" x14ac:dyDescent="0.3">
      <c r="R2676" s="1209"/>
    </row>
    <row r="2677" spans="18:18" ht="39" customHeight="1" x14ac:dyDescent="0.3">
      <c r="R2677" s="1209"/>
    </row>
    <row r="2678" spans="18:18" ht="39" customHeight="1" x14ac:dyDescent="0.3">
      <c r="R2678" s="1209"/>
    </row>
    <row r="2679" spans="18:18" ht="39" customHeight="1" x14ac:dyDescent="0.3">
      <c r="R2679" s="1209"/>
    </row>
    <row r="2680" spans="18:18" ht="39" customHeight="1" x14ac:dyDescent="0.3">
      <c r="R2680" s="1209"/>
    </row>
    <row r="2681" spans="18:18" ht="39" customHeight="1" x14ac:dyDescent="0.3">
      <c r="R2681" s="1209"/>
    </row>
    <row r="2682" spans="18:18" ht="39" customHeight="1" x14ac:dyDescent="0.3">
      <c r="R2682" s="1209"/>
    </row>
    <row r="2683" spans="18:18" ht="39" customHeight="1" x14ac:dyDescent="0.3">
      <c r="R2683" s="1209"/>
    </row>
    <row r="2684" spans="18:18" ht="39" customHeight="1" x14ac:dyDescent="0.3">
      <c r="R2684" s="1209"/>
    </row>
    <row r="2685" spans="18:18" ht="39" customHeight="1" x14ac:dyDescent="0.3">
      <c r="R2685" s="1209"/>
    </row>
    <row r="2686" spans="18:18" ht="39" customHeight="1" x14ac:dyDescent="0.3">
      <c r="R2686" s="1209"/>
    </row>
    <row r="2687" spans="18:18" ht="39" customHeight="1" x14ac:dyDescent="0.3">
      <c r="R2687" s="1209"/>
    </row>
    <row r="2688" spans="18:18" ht="39" customHeight="1" x14ac:dyDescent="0.3">
      <c r="R2688" s="1209"/>
    </row>
    <row r="2689" spans="18:18" ht="39" customHeight="1" x14ac:dyDescent="0.3">
      <c r="R2689" s="1209"/>
    </row>
    <row r="2690" spans="18:18" ht="39" customHeight="1" x14ac:dyDescent="0.3">
      <c r="R2690" s="1209"/>
    </row>
    <row r="2691" spans="18:18" ht="39" customHeight="1" x14ac:dyDescent="0.3">
      <c r="R2691" s="1209"/>
    </row>
    <row r="2692" spans="18:18" ht="39" customHeight="1" x14ac:dyDescent="0.3">
      <c r="R2692" s="1209"/>
    </row>
    <row r="2693" spans="18:18" ht="39" customHeight="1" x14ac:dyDescent="0.3">
      <c r="R2693" s="1209"/>
    </row>
    <row r="2694" spans="18:18" ht="39" customHeight="1" x14ac:dyDescent="0.3">
      <c r="R2694" s="1209"/>
    </row>
    <row r="2695" spans="18:18" ht="39" customHeight="1" x14ac:dyDescent="0.3">
      <c r="R2695" s="1209"/>
    </row>
    <row r="2696" spans="18:18" ht="39" customHeight="1" x14ac:dyDescent="0.3">
      <c r="R2696" s="1209"/>
    </row>
    <row r="2697" spans="18:18" ht="39" customHeight="1" x14ac:dyDescent="0.3">
      <c r="R2697" s="1209"/>
    </row>
    <row r="2698" spans="18:18" ht="39" customHeight="1" x14ac:dyDescent="0.3">
      <c r="R2698" s="1209"/>
    </row>
    <row r="2699" spans="18:18" ht="39" customHeight="1" x14ac:dyDescent="0.3">
      <c r="R2699" s="1209"/>
    </row>
    <row r="2700" spans="18:18" ht="39" customHeight="1" x14ac:dyDescent="0.3">
      <c r="R2700" s="1209"/>
    </row>
    <row r="2701" spans="18:18" ht="39" customHeight="1" x14ac:dyDescent="0.3">
      <c r="R2701" s="1209"/>
    </row>
    <row r="2702" spans="18:18" ht="39" customHeight="1" x14ac:dyDescent="0.3">
      <c r="R2702" s="1209"/>
    </row>
    <row r="2703" spans="18:18" ht="39" customHeight="1" x14ac:dyDescent="0.3">
      <c r="R2703" s="1209"/>
    </row>
    <row r="2704" spans="18:18" ht="39" customHeight="1" x14ac:dyDescent="0.3">
      <c r="R2704" s="1209"/>
    </row>
    <row r="2705" spans="18:18" ht="39" customHeight="1" x14ac:dyDescent="0.3">
      <c r="R2705" s="1209"/>
    </row>
    <row r="2706" spans="18:18" ht="39" customHeight="1" x14ac:dyDescent="0.3">
      <c r="R2706" s="1209"/>
    </row>
    <row r="2707" spans="18:18" ht="39" customHeight="1" x14ac:dyDescent="0.3">
      <c r="R2707" s="1209"/>
    </row>
    <row r="2708" spans="18:18" ht="39" customHeight="1" x14ac:dyDescent="0.3">
      <c r="R2708" s="1209"/>
    </row>
    <row r="2709" spans="18:18" ht="39" customHeight="1" x14ac:dyDescent="0.3">
      <c r="R2709" s="1209"/>
    </row>
    <row r="2710" spans="18:18" ht="39" customHeight="1" x14ac:dyDescent="0.3">
      <c r="R2710" s="1209"/>
    </row>
    <row r="2711" spans="18:18" ht="39" customHeight="1" x14ac:dyDescent="0.3">
      <c r="R2711" s="1209"/>
    </row>
    <row r="2712" spans="18:18" ht="39" customHeight="1" x14ac:dyDescent="0.3">
      <c r="R2712" s="1209"/>
    </row>
    <row r="2713" spans="18:18" ht="39" customHeight="1" x14ac:dyDescent="0.3">
      <c r="R2713" s="1209"/>
    </row>
    <row r="2714" spans="18:18" ht="39" customHeight="1" x14ac:dyDescent="0.3">
      <c r="R2714" s="1209"/>
    </row>
    <row r="2715" spans="18:18" ht="39" customHeight="1" x14ac:dyDescent="0.3">
      <c r="R2715" s="1209"/>
    </row>
    <row r="2716" spans="18:18" ht="39" customHeight="1" x14ac:dyDescent="0.3">
      <c r="R2716" s="1209"/>
    </row>
    <row r="2717" spans="18:18" ht="39" customHeight="1" x14ac:dyDescent="0.3">
      <c r="R2717" s="1209"/>
    </row>
    <row r="2718" spans="18:18" ht="39" customHeight="1" x14ac:dyDescent="0.3">
      <c r="R2718" s="1209"/>
    </row>
    <row r="2719" spans="18:18" ht="39" customHeight="1" x14ac:dyDescent="0.3">
      <c r="R2719" s="1209"/>
    </row>
    <row r="2720" spans="18:18" ht="39" customHeight="1" x14ac:dyDescent="0.3">
      <c r="R2720" s="1209"/>
    </row>
    <row r="2721" spans="18:18" ht="39" customHeight="1" x14ac:dyDescent="0.3">
      <c r="R2721" s="1209"/>
    </row>
    <row r="2722" spans="18:18" ht="39" customHeight="1" x14ac:dyDescent="0.3">
      <c r="R2722" s="1209"/>
    </row>
    <row r="2723" spans="18:18" ht="39" customHeight="1" x14ac:dyDescent="0.3">
      <c r="R2723" s="1209"/>
    </row>
    <row r="2724" spans="18:18" ht="39" customHeight="1" x14ac:dyDescent="0.3">
      <c r="R2724" s="1209"/>
    </row>
    <row r="2725" spans="18:18" ht="39" customHeight="1" x14ac:dyDescent="0.3">
      <c r="R2725" s="1209"/>
    </row>
    <row r="2726" spans="18:18" ht="39" customHeight="1" x14ac:dyDescent="0.3">
      <c r="R2726" s="1209"/>
    </row>
    <row r="2727" spans="18:18" ht="39" customHeight="1" x14ac:dyDescent="0.3">
      <c r="R2727" s="1209"/>
    </row>
    <row r="2728" spans="18:18" ht="39" customHeight="1" x14ac:dyDescent="0.3">
      <c r="R2728" s="1209"/>
    </row>
    <row r="2729" spans="18:18" ht="39" customHeight="1" x14ac:dyDescent="0.3">
      <c r="R2729" s="1209"/>
    </row>
    <row r="2730" spans="18:18" ht="39" customHeight="1" x14ac:dyDescent="0.3">
      <c r="R2730" s="1209"/>
    </row>
    <row r="2731" spans="18:18" ht="39" customHeight="1" x14ac:dyDescent="0.3">
      <c r="R2731" s="1209"/>
    </row>
    <row r="2732" spans="18:18" ht="39" customHeight="1" x14ac:dyDescent="0.3">
      <c r="R2732" s="1209"/>
    </row>
    <row r="2733" spans="18:18" ht="39" customHeight="1" x14ac:dyDescent="0.3">
      <c r="R2733" s="1209"/>
    </row>
    <row r="2734" spans="18:18" ht="39" customHeight="1" x14ac:dyDescent="0.3">
      <c r="R2734" s="1209"/>
    </row>
    <row r="2735" spans="18:18" ht="39" customHeight="1" x14ac:dyDescent="0.3">
      <c r="R2735" s="1209"/>
    </row>
    <row r="2736" spans="18:18" ht="39" customHeight="1" x14ac:dyDescent="0.3">
      <c r="R2736" s="1209"/>
    </row>
    <row r="2737" spans="18:18" ht="39" customHeight="1" x14ac:dyDescent="0.3">
      <c r="R2737" s="1209"/>
    </row>
    <row r="2738" spans="18:18" ht="39" customHeight="1" x14ac:dyDescent="0.3">
      <c r="R2738" s="1209"/>
    </row>
    <row r="2739" spans="18:18" ht="39" customHeight="1" x14ac:dyDescent="0.3">
      <c r="R2739" s="1209"/>
    </row>
    <row r="2740" spans="18:18" ht="39" customHeight="1" x14ac:dyDescent="0.3">
      <c r="R2740" s="1209"/>
    </row>
    <row r="2741" spans="18:18" ht="39" customHeight="1" x14ac:dyDescent="0.3">
      <c r="R2741" s="1209"/>
    </row>
    <row r="2742" spans="18:18" ht="39" customHeight="1" x14ac:dyDescent="0.3">
      <c r="R2742" s="1209"/>
    </row>
    <row r="2743" spans="18:18" ht="39" customHeight="1" x14ac:dyDescent="0.3">
      <c r="R2743" s="1209"/>
    </row>
    <row r="2744" spans="18:18" ht="39" customHeight="1" x14ac:dyDescent="0.3">
      <c r="R2744" s="1209"/>
    </row>
    <row r="2745" spans="18:18" ht="39" customHeight="1" x14ac:dyDescent="0.3">
      <c r="R2745" s="1209"/>
    </row>
    <row r="2746" spans="18:18" ht="39" customHeight="1" x14ac:dyDescent="0.3">
      <c r="R2746" s="1209"/>
    </row>
    <row r="2747" spans="18:18" ht="39" customHeight="1" x14ac:dyDescent="0.3">
      <c r="R2747" s="1209"/>
    </row>
    <row r="2748" spans="18:18" ht="39" customHeight="1" x14ac:dyDescent="0.3">
      <c r="R2748" s="1209"/>
    </row>
    <row r="2749" spans="18:18" ht="39" customHeight="1" x14ac:dyDescent="0.3">
      <c r="R2749" s="1209"/>
    </row>
    <row r="2750" spans="18:18" ht="39" customHeight="1" x14ac:dyDescent="0.3">
      <c r="R2750" s="1209"/>
    </row>
    <row r="2751" spans="18:18" ht="39" customHeight="1" x14ac:dyDescent="0.3">
      <c r="R2751" s="1209"/>
    </row>
    <row r="2752" spans="18:18" ht="39" customHeight="1" x14ac:dyDescent="0.3">
      <c r="R2752" s="1209"/>
    </row>
    <row r="2753" spans="18:18" ht="39" customHeight="1" x14ac:dyDescent="0.3">
      <c r="R2753" s="1209"/>
    </row>
    <row r="2754" spans="18:18" ht="39" customHeight="1" x14ac:dyDescent="0.3">
      <c r="R2754" s="1209"/>
    </row>
    <row r="2755" spans="18:18" ht="39" customHeight="1" x14ac:dyDescent="0.3">
      <c r="R2755" s="1209"/>
    </row>
    <row r="2756" spans="18:18" ht="39" customHeight="1" x14ac:dyDescent="0.3">
      <c r="R2756" s="1209"/>
    </row>
    <row r="2757" spans="18:18" ht="39" customHeight="1" x14ac:dyDescent="0.3">
      <c r="R2757" s="1209"/>
    </row>
    <row r="2758" spans="18:18" ht="39" customHeight="1" x14ac:dyDescent="0.3">
      <c r="R2758" s="1209"/>
    </row>
    <row r="2759" spans="18:18" ht="39" customHeight="1" x14ac:dyDescent="0.3">
      <c r="R2759" s="1209"/>
    </row>
    <row r="2760" spans="18:18" ht="39" customHeight="1" x14ac:dyDescent="0.3">
      <c r="R2760" s="1209"/>
    </row>
    <row r="2761" spans="18:18" ht="39" customHeight="1" x14ac:dyDescent="0.3">
      <c r="R2761" s="1209"/>
    </row>
    <row r="2762" spans="18:18" ht="39" customHeight="1" x14ac:dyDescent="0.3">
      <c r="R2762" s="1209"/>
    </row>
    <row r="2763" spans="18:18" ht="39" customHeight="1" x14ac:dyDescent="0.3">
      <c r="R2763" s="1209"/>
    </row>
    <row r="2764" spans="18:18" ht="39" customHeight="1" x14ac:dyDescent="0.3">
      <c r="R2764" s="1209"/>
    </row>
    <row r="2765" spans="18:18" ht="39" customHeight="1" x14ac:dyDescent="0.3">
      <c r="R2765" s="1209"/>
    </row>
    <row r="2766" spans="18:18" ht="39" customHeight="1" x14ac:dyDescent="0.3">
      <c r="R2766" s="1209"/>
    </row>
    <row r="2767" spans="18:18" ht="39" customHeight="1" x14ac:dyDescent="0.3">
      <c r="R2767" s="1209"/>
    </row>
    <row r="2768" spans="18:18" ht="39" customHeight="1" x14ac:dyDescent="0.3">
      <c r="R2768" s="1209"/>
    </row>
    <row r="2769" spans="18:18" ht="39" customHeight="1" x14ac:dyDescent="0.3">
      <c r="R2769" s="1209"/>
    </row>
    <row r="2770" spans="18:18" ht="39" customHeight="1" x14ac:dyDescent="0.3">
      <c r="R2770" s="1209"/>
    </row>
    <row r="2771" spans="18:18" ht="39" customHeight="1" x14ac:dyDescent="0.3">
      <c r="R2771" s="1209"/>
    </row>
    <row r="2772" spans="18:18" ht="39" customHeight="1" x14ac:dyDescent="0.3">
      <c r="R2772" s="1209"/>
    </row>
    <row r="2773" spans="18:18" ht="39" customHeight="1" x14ac:dyDescent="0.3">
      <c r="R2773" s="1209"/>
    </row>
    <row r="2774" spans="18:18" ht="39" customHeight="1" x14ac:dyDescent="0.3">
      <c r="R2774" s="1209"/>
    </row>
    <row r="2775" spans="18:18" ht="39" customHeight="1" x14ac:dyDescent="0.3">
      <c r="R2775" s="1209"/>
    </row>
    <row r="2776" spans="18:18" ht="39" customHeight="1" x14ac:dyDescent="0.3">
      <c r="R2776" s="1209"/>
    </row>
    <row r="2777" spans="18:18" ht="39" customHeight="1" x14ac:dyDescent="0.3">
      <c r="R2777" s="1209"/>
    </row>
    <row r="2778" spans="18:18" ht="39" customHeight="1" x14ac:dyDescent="0.3">
      <c r="R2778" s="1209"/>
    </row>
    <row r="2779" spans="18:18" ht="39" customHeight="1" x14ac:dyDescent="0.3">
      <c r="R2779" s="1209"/>
    </row>
    <row r="2780" spans="18:18" ht="39" customHeight="1" x14ac:dyDescent="0.3">
      <c r="R2780" s="1209"/>
    </row>
    <row r="2781" spans="18:18" ht="39" customHeight="1" x14ac:dyDescent="0.3">
      <c r="R2781" s="1209"/>
    </row>
    <row r="2782" spans="18:18" ht="39" customHeight="1" x14ac:dyDescent="0.3">
      <c r="R2782" s="1209"/>
    </row>
    <row r="2783" spans="18:18" ht="39" customHeight="1" x14ac:dyDescent="0.3">
      <c r="R2783" s="1209"/>
    </row>
    <row r="2784" spans="18:18" ht="39" customHeight="1" x14ac:dyDescent="0.3">
      <c r="R2784" s="1209"/>
    </row>
    <row r="2785" spans="18:18" ht="39" customHeight="1" x14ac:dyDescent="0.3">
      <c r="R2785" s="1209"/>
    </row>
    <row r="2786" spans="18:18" ht="39" customHeight="1" x14ac:dyDescent="0.3">
      <c r="R2786" s="1209"/>
    </row>
    <row r="2787" spans="18:18" ht="39" customHeight="1" x14ac:dyDescent="0.3">
      <c r="R2787" s="1209"/>
    </row>
    <row r="2788" spans="18:18" ht="39" customHeight="1" x14ac:dyDescent="0.3">
      <c r="R2788" s="1209"/>
    </row>
    <row r="2789" spans="18:18" ht="39" customHeight="1" x14ac:dyDescent="0.3">
      <c r="R2789" s="1209"/>
    </row>
    <row r="2790" spans="18:18" ht="39" customHeight="1" x14ac:dyDescent="0.3">
      <c r="R2790" s="1209"/>
    </row>
    <row r="2791" spans="18:18" ht="39" customHeight="1" x14ac:dyDescent="0.3">
      <c r="R2791" s="1209"/>
    </row>
    <row r="2792" spans="18:18" ht="39" customHeight="1" x14ac:dyDescent="0.3">
      <c r="R2792" s="1209"/>
    </row>
    <row r="2793" spans="18:18" ht="39" customHeight="1" x14ac:dyDescent="0.3">
      <c r="R2793" s="1209"/>
    </row>
    <row r="2794" spans="18:18" ht="39" customHeight="1" x14ac:dyDescent="0.3">
      <c r="R2794" s="1209"/>
    </row>
    <row r="2795" spans="18:18" ht="39" customHeight="1" x14ac:dyDescent="0.3">
      <c r="R2795" s="1209"/>
    </row>
    <row r="2796" spans="18:18" ht="39" customHeight="1" x14ac:dyDescent="0.3">
      <c r="R2796" s="1209"/>
    </row>
    <row r="2797" spans="18:18" ht="39" customHeight="1" x14ac:dyDescent="0.3">
      <c r="R2797" s="1209"/>
    </row>
    <row r="2798" spans="18:18" ht="39" customHeight="1" x14ac:dyDescent="0.3">
      <c r="R2798" s="1209"/>
    </row>
    <row r="2799" spans="18:18" ht="39" customHeight="1" x14ac:dyDescent="0.3">
      <c r="R2799" s="1209"/>
    </row>
    <row r="2800" spans="18:18" ht="39" customHeight="1" x14ac:dyDescent="0.3">
      <c r="R2800" s="1209"/>
    </row>
    <row r="2801" spans="18:18" ht="39" customHeight="1" x14ac:dyDescent="0.3">
      <c r="R2801" s="1209"/>
    </row>
    <row r="2802" spans="18:18" ht="39" customHeight="1" x14ac:dyDescent="0.3">
      <c r="R2802" s="1209"/>
    </row>
    <row r="2803" spans="18:18" ht="39" customHeight="1" x14ac:dyDescent="0.3">
      <c r="R2803" s="1209"/>
    </row>
    <row r="2804" spans="18:18" ht="39" customHeight="1" x14ac:dyDescent="0.3">
      <c r="R2804" s="1209"/>
    </row>
    <row r="2805" spans="18:18" ht="39" customHeight="1" x14ac:dyDescent="0.3">
      <c r="R2805" s="1209"/>
    </row>
    <row r="2806" spans="18:18" ht="39" customHeight="1" x14ac:dyDescent="0.3">
      <c r="R2806" s="1209"/>
    </row>
    <row r="2807" spans="18:18" ht="39" customHeight="1" x14ac:dyDescent="0.3">
      <c r="R2807" s="1209"/>
    </row>
    <row r="2808" spans="18:18" ht="39" customHeight="1" x14ac:dyDescent="0.3">
      <c r="R2808" s="1209"/>
    </row>
    <row r="2809" spans="18:18" ht="39" customHeight="1" x14ac:dyDescent="0.3">
      <c r="R2809" s="1209"/>
    </row>
    <row r="2810" spans="18:18" ht="39" customHeight="1" x14ac:dyDescent="0.3">
      <c r="R2810" s="1209"/>
    </row>
    <row r="2811" spans="18:18" ht="39" customHeight="1" x14ac:dyDescent="0.3">
      <c r="R2811" s="1209"/>
    </row>
    <row r="2812" spans="18:18" ht="39" customHeight="1" x14ac:dyDescent="0.3">
      <c r="R2812" s="1209"/>
    </row>
    <row r="2813" spans="18:18" ht="39" customHeight="1" x14ac:dyDescent="0.3">
      <c r="R2813" s="1209"/>
    </row>
    <row r="2814" spans="18:18" ht="39" customHeight="1" x14ac:dyDescent="0.3">
      <c r="R2814" s="1209"/>
    </row>
    <row r="2815" spans="18:18" ht="39" customHeight="1" x14ac:dyDescent="0.3">
      <c r="R2815" s="1209"/>
    </row>
    <row r="2816" spans="18:18" ht="39" customHeight="1" x14ac:dyDescent="0.3">
      <c r="R2816" s="1209"/>
    </row>
    <row r="2817" spans="18:18" ht="39" customHeight="1" x14ac:dyDescent="0.3">
      <c r="R2817" s="1209"/>
    </row>
    <row r="2818" spans="18:18" ht="39" customHeight="1" x14ac:dyDescent="0.3">
      <c r="R2818" s="1209"/>
    </row>
    <row r="2819" spans="18:18" ht="39" customHeight="1" x14ac:dyDescent="0.3">
      <c r="R2819" s="1209"/>
    </row>
    <row r="2820" spans="18:18" ht="39" customHeight="1" x14ac:dyDescent="0.3">
      <c r="R2820" s="1209"/>
    </row>
    <row r="2821" spans="18:18" ht="39" customHeight="1" x14ac:dyDescent="0.3">
      <c r="R2821" s="1209"/>
    </row>
    <row r="2822" spans="18:18" ht="39" customHeight="1" x14ac:dyDescent="0.3">
      <c r="R2822" s="1209"/>
    </row>
    <row r="2823" spans="18:18" ht="39" customHeight="1" x14ac:dyDescent="0.3">
      <c r="R2823" s="1209"/>
    </row>
    <row r="2824" spans="18:18" ht="39" customHeight="1" x14ac:dyDescent="0.3">
      <c r="R2824" s="1209"/>
    </row>
    <row r="2825" spans="18:18" ht="39" customHeight="1" x14ac:dyDescent="0.3">
      <c r="R2825" s="1209"/>
    </row>
    <row r="2826" spans="18:18" ht="39" customHeight="1" x14ac:dyDescent="0.3">
      <c r="R2826" s="1209"/>
    </row>
    <row r="2827" spans="18:18" ht="39" customHeight="1" x14ac:dyDescent="0.3">
      <c r="R2827" s="1209"/>
    </row>
    <row r="2828" spans="18:18" ht="39" customHeight="1" x14ac:dyDescent="0.3">
      <c r="R2828" s="1209"/>
    </row>
    <row r="2829" spans="18:18" ht="39" customHeight="1" x14ac:dyDescent="0.3">
      <c r="R2829" s="1209"/>
    </row>
    <row r="2830" spans="18:18" ht="39" customHeight="1" x14ac:dyDescent="0.3">
      <c r="R2830" s="1209"/>
    </row>
    <row r="2831" spans="18:18" ht="39" customHeight="1" x14ac:dyDescent="0.3">
      <c r="R2831" s="1209"/>
    </row>
    <row r="2832" spans="18:18" ht="39" customHeight="1" x14ac:dyDescent="0.3">
      <c r="R2832" s="1209"/>
    </row>
    <row r="2833" spans="18:18" ht="39" customHeight="1" x14ac:dyDescent="0.3">
      <c r="R2833" s="1209"/>
    </row>
    <row r="2834" spans="18:18" ht="39" customHeight="1" x14ac:dyDescent="0.3">
      <c r="R2834" s="1209"/>
    </row>
    <row r="2835" spans="18:18" ht="39" customHeight="1" x14ac:dyDescent="0.3">
      <c r="R2835" s="1209"/>
    </row>
    <row r="2836" spans="18:18" ht="39" customHeight="1" x14ac:dyDescent="0.3">
      <c r="R2836" s="1209"/>
    </row>
    <row r="2837" spans="18:18" ht="39" customHeight="1" x14ac:dyDescent="0.3">
      <c r="R2837" s="1209"/>
    </row>
    <row r="2838" spans="18:18" ht="39" customHeight="1" x14ac:dyDescent="0.3">
      <c r="R2838" s="1209"/>
    </row>
    <row r="2839" spans="18:18" ht="39" customHeight="1" x14ac:dyDescent="0.3">
      <c r="R2839" s="1209"/>
    </row>
    <row r="2840" spans="18:18" ht="39" customHeight="1" x14ac:dyDescent="0.3">
      <c r="R2840" s="1209"/>
    </row>
    <row r="2841" spans="18:18" ht="39" customHeight="1" x14ac:dyDescent="0.3">
      <c r="R2841" s="1209"/>
    </row>
    <row r="2842" spans="18:18" ht="39" customHeight="1" x14ac:dyDescent="0.3">
      <c r="R2842" s="1209"/>
    </row>
    <row r="2843" spans="18:18" ht="39" customHeight="1" x14ac:dyDescent="0.3">
      <c r="R2843" s="1209"/>
    </row>
    <row r="2844" spans="18:18" ht="39" customHeight="1" x14ac:dyDescent="0.3">
      <c r="R2844" s="1209"/>
    </row>
    <row r="2845" spans="18:18" ht="39" customHeight="1" x14ac:dyDescent="0.3">
      <c r="R2845" s="1209"/>
    </row>
    <row r="2846" spans="18:18" ht="39" customHeight="1" x14ac:dyDescent="0.3">
      <c r="R2846" s="1209"/>
    </row>
    <row r="2847" spans="18:18" ht="39" customHeight="1" x14ac:dyDescent="0.3">
      <c r="R2847" s="1209"/>
    </row>
    <row r="2848" spans="18:18" ht="39" customHeight="1" x14ac:dyDescent="0.3">
      <c r="R2848" s="1209"/>
    </row>
    <row r="2849" spans="18:18" ht="39" customHeight="1" x14ac:dyDescent="0.3">
      <c r="R2849" s="1209"/>
    </row>
    <row r="2850" spans="18:18" ht="39" customHeight="1" x14ac:dyDescent="0.3">
      <c r="R2850" s="1209"/>
    </row>
    <row r="2851" spans="18:18" ht="39" customHeight="1" x14ac:dyDescent="0.3">
      <c r="R2851" s="1209"/>
    </row>
    <row r="2852" spans="18:18" ht="39" customHeight="1" x14ac:dyDescent="0.3">
      <c r="R2852" s="1209"/>
    </row>
    <row r="2853" spans="18:18" ht="39" customHeight="1" x14ac:dyDescent="0.3">
      <c r="R2853" s="1209"/>
    </row>
    <row r="2854" spans="18:18" ht="39" customHeight="1" x14ac:dyDescent="0.3">
      <c r="R2854" s="1209"/>
    </row>
    <row r="2855" spans="18:18" ht="39" customHeight="1" x14ac:dyDescent="0.3">
      <c r="R2855" s="1209"/>
    </row>
    <row r="2856" spans="18:18" ht="39" customHeight="1" x14ac:dyDescent="0.3">
      <c r="R2856" s="1209"/>
    </row>
    <row r="2857" spans="18:18" ht="39" customHeight="1" x14ac:dyDescent="0.3">
      <c r="R2857" s="1209"/>
    </row>
    <row r="2858" spans="18:18" ht="39" customHeight="1" x14ac:dyDescent="0.3">
      <c r="R2858" s="1209"/>
    </row>
    <row r="2859" spans="18:18" ht="39" customHeight="1" x14ac:dyDescent="0.3">
      <c r="R2859" s="1209"/>
    </row>
    <row r="2860" spans="18:18" ht="39" customHeight="1" x14ac:dyDescent="0.3">
      <c r="R2860" s="1209"/>
    </row>
    <row r="2861" spans="18:18" ht="39" customHeight="1" x14ac:dyDescent="0.3">
      <c r="R2861" s="1209"/>
    </row>
    <row r="2862" spans="18:18" ht="39" customHeight="1" x14ac:dyDescent="0.3">
      <c r="R2862" s="1209"/>
    </row>
    <row r="2863" spans="18:18" ht="39" customHeight="1" x14ac:dyDescent="0.3">
      <c r="R2863" s="1209"/>
    </row>
    <row r="2864" spans="18:18" ht="39" customHeight="1" x14ac:dyDescent="0.3">
      <c r="R2864" s="1209"/>
    </row>
    <row r="2865" spans="18:18" ht="39" customHeight="1" x14ac:dyDescent="0.3">
      <c r="R2865" s="1209"/>
    </row>
    <row r="2866" spans="18:18" ht="39" customHeight="1" x14ac:dyDescent="0.3">
      <c r="R2866" s="1209"/>
    </row>
    <row r="2867" spans="18:18" ht="39" customHeight="1" x14ac:dyDescent="0.3">
      <c r="R2867" s="1209"/>
    </row>
    <row r="2868" spans="18:18" ht="39" customHeight="1" x14ac:dyDescent="0.3">
      <c r="R2868" s="1209"/>
    </row>
    <row r="2869" spans="18:18" ht="39" customHeight="1" x14ac:dyDescent="0.3">
      <c r="R2869" s="1209"/>
    </row>
    <row r="2870" spans="18:18" ht="39" customHeight="1" x14ac:dyDescent="0.3">
      <c r="R2870" s="1209"/>
    </row>
    <row r="2871" spans="18:18" ht="39" customHeight="1" x14ac:dyDescent="0.3">
      <c r="R2871" s="1209"/>
    </row>
    <row r="2872" spans="18:18" ht="39" customHeight="1" x14ac:dyDescent="0.3">
      <c r="R2872" s="1209"/>
    </row>
    <row r="2873" spans="18:18" ht="39" customHeight="1" x14ac:dyDescent="0.3">
      <c r="R2873" s="1209"/>
    </row>
    <row r="2874" spans="18:18" ht="39" customHeight="1" x14ac:dyDescent="0.3">
      <c r="R2874" s="1209"/>
    </row>
    <row r="2875" spans="18:18" ht="39" customHeight="1" x14ac:dyDescent="0.3">
      <c r="R2875" s="1209"/>
    </row>
    <row r="2876" spans="18:18" ht="39" customHeight="1" x14ac:dyDescent="0.3">
      <c r="R2876" s="1209"/>
    </row>
    <row r="2877" spans="18:18" ht="39" customHeight="1" x14ac:dyDescent="0.3">
      <c r="R2877" s="1209"/>
    </row>
    <row r="2878" spans="18:18" ht="39" customHeight="1" x14ac:dyDescent="0.3">
      <c r="R2878" s="1209"/>
    </row>
    <row r="2879" spans="18:18" ht="39" customHeight="1" x14ac:dyDescent="0.3">
      <c r="R2879" s="1209"/>
    </row>
    <row r="2880" spans="18:18" ht="39" customHeight="1" x14ac:dyDescent="0.3">
      <c r="R2880" s="1209"/>
    </row>
    <row r="2881" spans="18:18" ht="39" customHeight="1" x14ac:dyDescent="0.3">
      <c r="R2881" s="1209"/>
    </row>
    <row r="2882" spans="18:18" ht="39" customHeight="1" x14ac:dyDescent="0.3">
      <c r="R2882" s="1209"/>
    </row>
    <row r="2883" spans="18:18" ht="39" customHeight="1" x14ac:dyDescent="0.3">
      <c r="R2883" s="1209"/>
    </row>
    <row r="2884" spans="18:18" ht="39" customHeight="1" x14ac:dyDescent="0.3">
      <c r="R2884" s="1209"/>
    </row>
    <row r="2885" spans="18:18" ht="39" customHeight="1" x14ac:dyDescent="0.3">
      <c r="R2885" s="1209"/>
    </row>
    <row r="2886" spans="18:18" ht="39" customHeight="1" x14ac:dyDescent="0.3">
      <c r="R2886" s="1209"/>
    </row>
    <row r="2887" spans="18:18" ht="39" customHeight="1" x14ac:dyDescent="0.3">
      <c r="R2887" s="1209"/>
    </row>
    <row r="2888" spans="18:18" ht="39" customHeight="1" x14ac:dyDescent="0.3">
      <c r="R2888" s="1209"/>
    </row>
    <row r="2889" spans="18:18" ht="39" customHeight="1" x14ac:dyDescent="0.3">
      <c r="R2889" s="1209"/>
    </row>
    <row r="2890" spans="18:18" ht="39" customHeight="1" x14ac:dyDescent="0.3">
      <c r="R2890" s="1209"/>
    </row>
    <row r="2891" spans="18:18" ht="39" customHeight="1" x14ac:dyDescent="0.3">
      <c r="R2891" s="1209"/>
    </row>
    <row r="2892" spans="18:18" ht="39" customHeight="1" x14ac:dyDescent="0.3">
      <c r="R2892" s="1209"/>
    </row>
    <row r="2893" spans="18:18" ht="39" customHeight="1" x14ac:dyDescent="0.3">
      <c r="R2893" s="1209"/>
    </row>
    <row r="2894" spans="18:18" ht="39" customHeight="1" x14ac:dyDescent="0.3">
      <c r="R2894" s="1209"/>
    </row>
    <row r="2895" spans="18:18" ht="39" customHeight="1" x14ac:dyDescent="0.3">
      <c r="R2895" s="1209"/>
    </row>
    <row r="2896" spans="18:18" ht="39" customHeight="1" x14ac:dyDescent="0.3">
      <c r="R2896" s="1209"/>
    </row>
    <row r="2897" spans="18:18" ht="39" customHeight="1" x14ac:dyDescent="0.3">
      <c r="R2897" s="1209"/>
    </row>
    <row r="2898" spans="18:18" ht="39" customHeight="1" x14ac:dyDescent="0.3">
      <c r="R2898" s="1209"/>
    </row>
    <row r="2899" spans="18:18" ht="39" customHeight="1" x14ac:dyDescent="0.3">
      <c r="R2899" s="1209"/>
    </row>
    <row r="2900" spans="18:18" ht="39" customHeight="1" x14ac:dyDescent="0.3">
      <c r="R2900" s="1209"/>
    </row>
    <row r="2901" spans="18:18" ht="39" customHeight="1" x14ac:dyDescent="0.3">
      <c r="R2901" s="1209"/>
    </row>
    <row r="2902" spans="18:18" ht="39" customHeight="1" x14ac:dyDescent="0.3">
      <c r="R2902" s="1209"/>
    </row>
    <row r="2903" spans="18:18" ht="39" customHeight="1" x14ac:dyDescent="0.3">
      <c r="R2903" s="1209"/>
    </row>
    <row r="2904" spans="18:18" ht="39" customHeight="1" x14ac:dyDescent="0.3">
      <c r="R2904" s="1209"/>
    </row>
    <row r="2905" spans="18:18" ht="39" customHeight="1" x14ac:dyDescent="0.3">
      <c r="R2905" s="1209"/>
    </row>
    <row r="2906" spans="18:18" ht="39" customHeight="1" x14ac:dyDescent="0.3">
      <c r="R2906" s="1209"/>
    </row>
    <row r="2907" spans="18:18" ht="39" customHeight="1" x14ac:dyDescent="0.3">
      <c r="R2907" s="1209"/>
    </row>
    <row r="2908" spans="18:18" ht="39" customHeight="1" x14ac:dyDescent="0.3">
      <c r="R2908" s="1209"/>
    </row>
    <row r="2909" spans="18:18" ht="39" customHeight="1" x14ac:dyDescent="0.3">
      <c r="R2909" s="1209"/>
    </row>
    <row r="2910" spans="18:18" ht="39" customHeight="1" x14ac:dyDescent="0.3">
      <c r="R2910" s="1209"/>
    </row>
    <row r="2911" spans="18:18" ht="39" customHeight="1" x14ac:dyDescent="0.3">
      <c r="R2911" s="1209"/>
    </row>
    <row r="2912" spans="18:18" ht="39" customHeight="1" x14ac:dyDescent="0.3">
      <c r="R2912" s="1209"/>
    </row>
    <row r="2913" spans="18:18" ht="39" customHeight="1" x14ac:dyDescent="0.3">
      <c r="R2913" s="1209"/>
    </row>
    <row r="2914" spans="18:18" ht="39" customHeight="1" x14ac:dyDescent="0.3">
      <c r="R2914" s="1209"/>
    </row>
    <row r="2915" spans="18:18" ht="39" customHeight="1" x14ac:dyDescent="0.3">
      <c r="R2915" s="1209"/>
    </row>
    <row r="2916" spans="18:18" ht="39" customHeight="1" x14ac:dyDescent="0.3">
      <c r="R2916" s="1209"/>
    </row>
    <row r="2917" spans="18:18" ht="39" customHeight="1" x14ac:dyDescent="0.3">
      <c r="R2917" s="1209"/>
    </row>
    <row r="2918" spans="18:18" ht="39" customHeight="1" x14ac:dyDescent="0.3">
      <c r="R2918" s="1209"/>
    </row>
    <row r="2919" spans="18:18" ht="39" customHeight="1" x14ac:dyDescent="0.3">
      <c r="R2919" s="1209"/>
    </row>
    <row r="2920" spans="18:18" ht="39" customHeight="1" x14ac:dyDescent="0.3">
      <c r="R2920" s="1209"/>
    </row>
    <row r="2921" spans="18:18" ht="39" customHeight="1" x14ac:dyDescent="0.3">
      <c r="R2921" s="1209"/>
    </row>
    <row r="2922" spans="18:18" ht="39" customHeight="1" x14ac:dyDescent="0.3">
      <c r="R2922" s="1209"/>
    </row>
    <row r="2923" spans="18:18" ht="39" customHeight="1" x14ac:dyDescent="0.3">
      <c r="R2923" s="1209"/>
    </row>
    <row r="2924" spans="18:18" ht="39" customHeight="1" x14ac:dyDescent="0.3">
      <c r="R2924" s="1209"/>
    </row>
    <row r="2925" spans="18:18" ht="39" customHeight="1" x14ac:dyDescent="0.3">
      <c r="R2925" s="1209"/>
    </row>
    <row r="2926" spans="18:18" ht="39" customHeight="1" x14ac:dyDescent="0.3">
      <c r="R2926" s="1209"/>
    </row>
    <row r="2927" spans="18:18" ht="39" customHeight="1" x14ac:dyDescent="0.3">
      <c r="R2927" s="1209"/>
    </row>
    <row r="2928" spans="18:18" ht="39" customHeight="1" x14ac:dyDescent="0.3">
      <c r="R2928" s="1209"/>
    </row>
    <row r="2929" spans="18:18" ht="39" customHeight="1" x14ac:dyDescent="0.3">
      <c r="R2929" s="1209"/>
    </row>
    <row r="2930" spans="18:18" ht="39" customHeight="1" x14ac:dyDescent="0.3">
      <c r="R2930" s="1209"/>
    </row>
    <row r="2931" spans="18:18" ht="39" customHeight="1" x14ac:dyDescent="0.3">
      <c r="R2931" s="1209"/>
    </row>
    <row r="2932" spans="18:18" ht="39" customHeight="1" x14ac:dyDescent="0.3">
      <c r="R2932" s="1209"/>
    </row>
    <row r="2933" spans="18:18" ht="39" customHeight="1" x14ac:dyDescent="0.3">
      <c r="R2933" s="1209"/>
    </row>
    <row r="2934" spans="18:18" ht="39" customHeight="1" x14ac:dyDescent="0.3">
      <c r="R2934" s="1209"/>
    </row>
    <row r="2935" spans="18:18" ht="39" customHeight="1" x14ac:dyDescent="0.3">
      <c r="R2935" s="1209"/>
    </row>
    <row r="2936" spans="18:18" ht="39" customHeight="1" x14ac:dyDescent="0.3">
      <c r="R2936" s="1209"/>
    </row>
    <row r="2937" spans="18:18" ht="39" customHeight="1" x14ac:dyDescent="0.3">
      <c r="R2937" s="1209"/>
    </row>
    <row r="2938" spans="18:18" ht="39" customHeight="1" x14ac:dyDescent="0.3">
      <c r="R2938" s="1209"/>
    </row>
    <row r="2939" spans="18:18" ht="39" customHeight="1" x14ac:dyDescent="0.3">
      <c r="R2939" s="1209"/>
    </row>
    <row r="2940" spans="18:18" ht="39" customHeight="1" x14ac:dyDescent="0.3">
      <c r="R2940" s="1209"/>
    </row>
    <row r="2941" spans="18:18" ht="39" customHeight="1" x14ac:dyDescent="0.3">
      <c r="R2941" s="1209"/>
    </row>
    <row r="2942" spans="18:18" ht="39" customHeight="1" x14ac:dyDescent="0.3">
      <c r="R2942" s="1209"/>
    </row>
    <row r="2943" spans="18:18" ht="39" customHeight="1" x14ac:dyDescent="0.3">
      <c r="R2943" s="1209"/>
    </row>
    <row r="2944" spans="18:18" ht="39" customHeight="1" x14ac:dyDescent="0.3">
      <c r="R2944" s="1209"/>
    </row>
    <row r="2945" spans="18:18" ht="39" customHeight="1" x14ac:dyDescent="0.3">
      <c r="R2945" s="1209"/>
    </row>
    <row r="2946" spans="18:18" ht="39" customHeight="1" x14ac:dyDescent="0.3">
      <c r="R2946" s="1209"/>
    </row>
    <row r="2947" spans="18:18" ht="39" customHeight="1" x14ac:dyDescent="0.3">
      <c r="R2947" s="1209"/>
    </row>
    <row r="2948" spans="18:18" ht="39" customHeight="1" x14ac:dyDescent="0.3">
      <c r="R2948" s="1209"/>
    </row>
    <row r="2949" spans="18:18" ht="39" customHeight="1" x14ac:dyDescent="0.3">
      <c r="R2949" s="1209"/>
    </row>
    <row r="2950" spans="18:18" ht="39" customHeight="1" x14ac:dyDescent="0.3">
      <c r="R2950" s="1209"/>
    </row>
    <row r="2951" spans="18:18" ht="39" customHeight="1" x14ac:dyDescent="0.3">
      <c r="R2951" s="1209"/>
    </row>
    <row r="2952" spans="18:18" ht="39" customHeight="1" x14ac:dyDescent="0.3">
      <c r="R2952" s="1209"/>
    </row>
    <row r="2953" spans="18:18" ht="39" customHeight="1" x14ac:dyDescent="0.3">
      <c r="R2953" s="1209"/>
    </row>
    <row r="2954" spans="18:18" ht="39" customHeight="1" x14ac:dyDescent="0.3">
      <c r="R2954" s="1209"/>
    </row>
    <row r="2955" spans="18:18" ht="39" customHeight="1" x14ac:dyDescent="0.3">
      <c r="R2955" s="1209"/>
    </row>
    <row r="2956" spans="18:18" ht="39" customHeight="1" x14ac:dyDescent="0.3">
      <c r="R2956" s="1209"/>
    </row>
    <row r="2957" spans="18:18" ht="39" customHeight="1" x14ac:dyDescent="0.3">
      <c r="R2957" s="1209"/>
    </row>
    <row r="2958" spans="18:18" ht="39" customHeight="1" x14ac:dyDescent="0.3">
      <c r="R2958" s="1209"/>
    </row>
    <row r="2959" spans="18:18" ht="39" customHeight="1" x14ac:dyDescent="0.3">
      <c r="R2959" s="1209"/>
    </row>
    <row r="2960" spans="18:18" ht="39" customHeight="1" x14ac:dyDescent="0.3">
      <c r="R2960" s="1209"/>
    </row>
    <row r="2961" spans="18:18" ht="39" customHeight="1" x14ac:dyDescent="0.3">
      <c r="R2961" s="1209"/>
    </row>
    <row r="2962" spans="18:18" ht="39" customHeight="1" x14ac:dyDescent="0.3">
      <c r="R2962" s="1209"/>
    </row>
    <row r="2963" spans="18:18" ht="39" customHeight="1" x14ac:dyDescent="0.3">
      <c r="R2963" s="1209"/>
    </row>
    <row r="2964" spans="18:18" ht="39" customHeight="1" x14ac:dyDescent="0.3">
      <c r="R2964" s="1209"/>
    </row>
    <row r="2965" spans="18:18" ht="39" customHeight="1" x14ac:dyDescent="0.3">
      <c r="R2965" s="1209"/>
    </row>
    <row r="2966" spans="18:18" ht="39" customHeight="1" x14ac:dyDescent="0.3">
      <c r="R2966" s="1209"/>
    </row>
    <row r="2967" spans="18:18" ht="39" customHeight="1" x14ac:dyDescent="0.3">
      <c r="R2967" s="1209"/>
    </row>
    <row r="2968" spans="18:18" ht="39" customHeight="1" x14ac:dyDescent="0.3">
      <c r="R2968" s="1209"/>
    </row>
    <row r="2969" spans="18:18" ht="39" customHeight="1" x14ac:dyDescent="0.3">
      <c r="R2969" s="1209"/>
    </row>
    <row r="2970" spans="18:18" ht="39" customHeight="1" x14ac:dyDescent="0.3">
      <c r="R2970" s="1209"/>
    </row>
    <row r="2971" spans="18:18" ht="39" customHeight="1" x14ac:dyDescent="0.3">
      <c r="R2971" s="1209"/>
    </row>
    <row r="2972" spans="18:18" ht="39" customHeight="1" x14ac:dyDescent="0.3">
      <c r="R2972" s="1209"/>
    </row>
    <row r="2973" spans="18:18" ht="39" customHeight="1" x14ac:dyDescent="0.3">
      <c r="R2973" s="1209"/>
    </row>
    <row r="2974" spans="18:18" ht="39" customHeight="1" x14ac:dyDescent="0.3">
      <c r="R2974" s="1209"/>
    </row>
    <row r="2975" spans="18:18" ht="39" customHeight="1" x14ac:dyDescent="0.3">
      <c r="R2975" s="1209"/>
    </row>
    <row r="2976" spans="18:18" ht="39" customHeight="1" x14ac:dyDescent="0.3">
      <c r="R2976" s="1209"/>
    </row>
    <row r="2977" spans="18:18" ht="39" customHeight="1" x14ac:dyDescent="0.3">
      <c r="R2977" s="1209"/>
    </row>
    <row r="2978" spans="18:18" ht="39" customHeight="1" x14ac:dyDescent="0.3">
      <c r="R2978" s="1209"/>
    </row>
    <row r="2979" spans="18:18" ht="39" customHeight="1" x14ac:dyDescent="0.3">
      <c r="R2979" s="1209"/>
    </row>
    <row r="2980" spans="18:18" ht="39" customHeight="1" x14ac:dyDescent="0.3">
      <c r="R2980" s="1209"/>
    </row>
    <row r="2981" spans="18:18" ht="39" customHeight="1" x14ac:dyDescent="0.3">
      <c r="R2981" s="1209"/>
    </row>
    <row r="2982" spans="18:18" ht="39" customHeight="1" x14ac:dyDescent="0.3">
      <c r="R2982" s="1209"/>
    </row>
    <row r="2983" spans="18:18" ht="39" customHeight="1" x14ac:dyDescent="0.3">
      <c r="R2983" s="1209"/>
    </row>
    <row r="2984" spans="18:18" ht="39" customHeight="1" x14ac:dyDescent="0.3">
      <c r="R2984" s="1209"/>
    </row>
    <row r="2985" spans="18:18" ht="39" customHeight="1" x14ac:dyDescent="0.3">
      <c r="R2985" s="1209"/>
    </row>
    <row r="2986" spans="18:18" ht="39" customHeight="1" x14ac:dyDescent="0.3">
      <c r="R2986" s="1209"/>
    </row>
    <row r="2987" spans="18:18" ht="39" customHeight="1" x14ac:dyDescent="0.3">
      <c r="R2987" s="1209"/>
    </row>
    <row r="2988" spans="18:18" ht="39" customHeight="1" x14ac:dyDescent="0.3">
      <c r="R2988" s="1209"/>
    </row>
    <row r="2989" spans="18:18" ht="39" customHeight="1" x14ac:dyDescent="0.3">
      <c r="R2989" s="1209"/>
    </row>
    <row r="2990" spans="18:18" ht="39" customHeight="1" x14ac:dyDescent="0.3">
      <c r="R2990" s="1209"/>
    </row>
    <row r="2991" spans="18:18" ht="39" customHeight="1" x14ac:dyDescent="0.3">
      <c r="R2991" s="1209"/>
    </row>
    <row r="2992" spans="18:18" ht="39" customHeight="1" x14ac:dyDescent="0.3">
      <c r="R2992" s="1209"/>
    </row>
    <row r="2993" spans="18:18" ht="39" customHeight="1" x14ac:dyDescent="0.3">
      <c r="R2993" s="1209"/>
    </row>
    <row r="2994" spans="18:18" ht="39" customHeight="1" x14ac:dyDescent="0.3">
      <c r="R2994" s="1209"/>
    </row>
    <row r="2995" spans="18:18" ht="39" customHeight="1" x14ac:dyDescent="0.3">
      <c r="R2995" s="1209"/>
    </row>
    <row r="2996" spans="18:18" ht="39" customHeight="1" x14ac:dyDescent="0.3">
      <c r="R2996" s="1209"/>
    </row>
    <row r="2997" spans="18:18" ht="39" customHeight="1" x14ac:dyDescent="0.3">
      <c r="R2997" s="1209"/>
    </row>
    <row r="2998" spans="18:18" ht="39" customHeight="1" x14ac:dyDescent="0.3">
      <c r="R2998" s="1209"/>
    </row>
    <row r="2999" spans="18:18" ht="39" customHeight="1" x14ac:dyDescent="0.3">
      <c r="R2999" s="1209"/>
    </row>
    <row r="3000" spans="18:18" ht="39" customHeight="1" x14ac:dyDescent="0.3">
      <c r="R3000" s="1209"/>
    </row>
    <row r="3001" spans="18:18" ht="39" customHeight="1" x14ac:dyDescent="0.3">
      <c r="R3001" s="1209"/>
    </row>
    <row r="3002" spans="18:18" ht="39" customHeight="1" x14ac:dyDescent="0.3">
      <c r="R3002" s="1209"/>
    </row>
    <row r="3003" spans="18:18" ht="39" customHeight="1" x14ac:dyDescent="0.3">
      <c r="R3003" s="1209"/>
    </row>
    <row r="3004" spans="18:18" ht="39" customHeight="1" x14ac:dyDescent="0.3">
      <c r="R3004" s="1209"/>
    </row>
    <row r="3005" spans="18:18" ht="39" customHeight="1" x14ac:dyDescent="0.3">
      <c r="R3005" s="1209"/>
    </row>
    <row r="3006" spans="18:18" ht="39" customHeight="1" x14ac:dyDescent="0.3">
      <c r="R3006" s="1209"/>
    </row>
    <row r="3007" spans="18:18" ht="39" customHeight="1" x14ac:dyDescent="0.3">
      <c r="R3007" s="1209"/>
    </row>
    <row r="3008" spans="18:18" ht="39" customHeight="1" x14ac:dyDescent="0.3">
      <c r="R3008" s="1209"/>
    </row>
    <row r="3009" spans="18:18" ht="39" customHeight="1" x14ac:dyDescent="0.3">
      <c r="R3009" s="1209"/>
    </row>
    <row r="3010" spans="18:18" ht="39" customHeight="1" x14ac:dyDescent="0.3">
      <c r="R3010" s="1209"/>
    </row>
    <row r="3011" spans="18:18" ht="39" customHeight="1" x14ac:dyDescent="0.3">
      <c r="R3011" s="1209"/>
    </row>
    <row r="3012" spans="18:18" ht="39" customHeight="1" x14ac:dyDescent="0.3">
      <c r="R3012" s="1209"/>
    </row>
    <row r="3013" spans="18:18" ht="39" customHeight="1" x14ac:dyDescent="0.3">
      <c r="R3013" s="1209"/>
    </row>
    <row r="3014" spans="18:18" ht="39" customHeight="1" x14ac:dyDescent="0.3">
      <c r="R3014" s="1209"/>
    </row>
    <row r="3015" spans="18:18" ht="39" customHeight="1" x14ac:dyDescent="0.3">
      <c r="R3015" s="1209"/>
    </row>
    <row r="3016" spans="18:18" ht="39" customHeight="1" x14ac:dyDescent="0.3">
      <c r="R3016" s="1209"/>
    </row>
    <row r="3017" spans="18:18" ht="39" customHeight="1" x14ac:dyDescent="0.3">
      <c r="R3017" s="1209"/>
    </row>
    <row r="3018" spans="18:18" ht="39" customHeight="1" x14ac:dyDescent="0.3">
      <c r="R3018" s="1209"/>
    </row>
    <row r="3019" spans="18:18" ht="39" customHeight="1" x14ac:dyDescent="0.3">
      <c r="R3019" s="1209"/>
    </row>
    <row r="3020" spans="18:18" ht="39" customHeight="1" x14ac:dyDescent="0.3">
      <c r="R3020" s="1209"/>
    </row>
    <row r="3021" spans="18:18" ht="39" customHeight="1" x14ac:dyDescent="0.3">
      <c r="R3021" s="1209"/>
    </row>
    <row r="3022" spans="18:18" ht="39" customHeight="1" x14ac:dyDescent="0.3">
      <c r="R3022" s="1209"/>
    </row>
    <row r="3023" spans="18:18" ht="39" customHeight="1" x14ac:dyDescent="0.3">
      <c r="R3023" s="1209"/>
    </row>
    <row r="3024" spans="18:18" ht="39" customHeight="1" x14ac:dyDescent="0.3">
      <c r="R3024" s="1209"/>
    </row>
    <row r="3025" spans="18:18" ht="39" customHeight="1" x14ac:dyDescent="0.3">
      <c r="R3025" s="1209"/>
    </row>
    <row r="3026" spans="18:18" ht="39" customHeight="1" x14ac:dyDescent="0.3">
      <c r="R3026" s="1209"/>
    </row>
    <row r="3027" spans="18:18" ht="39" customHeight="1" x14ac:dyDescent="0.3">
      <c r="R3027" s="1209"/>
    </row>
    <row r="3028" spans="18:18" ht="39" customHeight="1" x14ac:dyDescent="0.3">
      <c r="R3028" s="1209"/>
    </row>
    <row r="3029" spans="18:18" ht="39" customHeight="1" x14ac:dyDescent="0.3">
      <c r="R3029" s="1209"/>
    </row>
    <row r="3030" spans="18:18" ht="39" customHeight="1" x14ac:dyDescent="0.3">
      <c r="R3030" s="1209"/>
    </row>
    <row r="3031" spans="18:18" ht="39" customHeight="1" x14ac:dyDescent="0.3">
      <c r="R3031" s="1209"/>
    </row>
    <row r="3032" spans="18:18" ht="39" customHeight="1" x14ac:dyDescent="0.3">
      <c r="R3032" s="1209"/>
    </row>
    <row r="3033" spans="18:18" ht="39" customHeight="1" x14ac:dyDescent="0.3">
      <c r="R3033" s="1209"/>
    </row>
    <row r="3034" spans="18:18" ht="39" customHeight="1" x14ac:dyDescent="0.3">
      <c r="R3034" s="1209"/>
    </row>
    <row r="3035" spans="18:18" ht="39" customHeight="1" x14ac:dyDescent="0.3">
      <c r="R3035" s="1209"/>
    </row>
    <row r="3036" spans="18:18" ht="39" customHeight="1" x14ac:dyDescent="0.3">
      <c r="R3036" s="1209"/>
    </row>
    <row r="3037" spans="18:18" ht="39" customHeight="1" x14ac:dyDescent="0.3">
      <c r="R3037" s="1209"/>
    </row>
    <row r="3038" spans="18:18" ht="39" customHeight="1" x14ac:dyDescent="0.3">
      <c r="R3038" s="1209"/>
    </row>
    <row r="3039" spans="18:18" ht="39" customHeight="1" x14ac:dyDescent="0.3">
      <c r="R3039" s="1209"/>
    </row>
    <row r="3040" spans="18:18" ht="39" customHeight="1" x14ac:dyDescent="0.3">
      <c r="R3040" s="1209"/>
    </row>
    <row r="3041" spans="18:18" ht="39" customHeight="1" x14ac:dyDescent="0.3">
      <c r="R3041" s="1209"/>
    </row>
    <row r="3042" spans="18:18" ht="39" customHeight="1" x14ac:dyDescent="0.3">
      <c r="R3042" s="1209"/>
    </row>
    <row r="3043" spans="18:18" ht="39" customHeight="1" x14ac:dyDescent="0.3">
      <c r="R3043" s="1209"/>
    </row>
    <row r="3044" spans="18:18" ht="39" customHeight="1" x14ac:dyDescent="0.3">
      <c r="R3044" s="1209"/>
    </row>
    <row r="3045" spans="18:18" ht="39" customHeight="1" x14ac:dyDescent="0.3">
      <c r="R3045" s="1209"/>
    </row>
    <row r="3046" spans="18:18" ht="39" customHeight="1" x14ac:dyDescent="0.3">
      <c r="R3046" s="1209"/>
    </row>
    <row r="3047" spans="18:18" ht="39" customHeight="1" x14ac:dyDescent="0.3">
      <c r="R3047" s="1209"/>
    </row>
    <row r="3048" spans="18:18" ht="39" customHeight="1" x14ac:dyDescent="0.3">
      <c r="R3048" s="1209"/>
    </row>
    <row r="3049" spans="18:18" ht="39" customHeight="1" x14ac:dyDescent="0.3">
      <c r="R3049" s="1209"/>
    </row>
    <row r="3050" spans="18:18" ht="39" customHeight="1" x14ac:dyDescent="0.3">
      <c r="R3050" s="1209"/>
    </row>
    <row r="3051" spans="18:18" ht="39" customHeight="1" x14ac:dyDescent="0.3">
      <c r="R3051" s="1209"/>
    </row>
    <row r="3052" spans="18:18" ht="39" customHeight="1" x14ac:dyDescent="0.3">
      <c r="R3052" s="1209"/>
    </row>
    <row r="3053" spans="18:18" ht="39" customHeight="1" x14ac:dyDescent="0.3">
      <c r="R3053" s="1209"/>
    </row>
    <row r="3054" spans="18:18" ht="39" customHeight="1" x14ac:dyDescent="0.3">
      <c r="R3054" s="1209"/>
    </row>
    <row r="3055" spans="18:18" ht="39" customHeight="1" x14ac:dyDescent="0.3">
      <c r="R3055" s="1209"/>
    </row>
    <row r="3056" spans="18:18" ht="39" customHeight="1" x14ac:dyDescent="0.3">
      <c r="R3056" s="1209"/>
    </row>
    <row r="3057" spans="18:18" ht="39" customHeight="1" x14ac:dyDescent="0.3">
      <c r="R3057" s="1209"/>
    </row>
    <row r="3058" spans="18:18" ht="39" customHeight="1" x14ac:dyDescent="0.3">
      <c r="R3058" s="1209"/>
    </row>
    <row r="3059" spans="18:18" ht="39" customHeight="1" x14ac:dyDescent="0.3">
      <c r="R3059" s="1209"/>
    </row>
    <row r="3060" spans="18:18" ht="39" customHeight="1" x14ac:dyDescent="0.3">
      <c r="R3060" s="1209"/>
    </row>
    <row r="3061" spans="18:18" ht="39" customHeight="1" x14ac:dyDescent="0.3">
      <c r="R3061" s="1209"/>
    </row>
    <row r="3062" spans="18:18" ht="39" customHeight="1" x14ac:dyDescent="0.3">
      <c r="R3062" s="1209"/>
    </row>
    <row r="3063" spans="18:18" ht="39" customHeight="1" x14ac:dyDescent="0.3">
      <c r="R3063" s="1209"/>
    </row>
    <row r="3064" spans="18:18" ht="39" customHeight="1" x14ac:dyDescent="0.3">
      <c r="R3064" s="1209"/>
    </row>
    <row r="3065" spans="18:18" ht="39" customHeight="1" x14ac:dyDescent="0.3">
      <c r="R3065" s="1209"/>
    </row>
    <row r="3066" spans="18:18" ht="39" customHeight="1" x14ac:dyDescent="0.3">
      <c r="R3066" s="1209"/>
    </row>
    <row r="3067" spans="18:18" ht="39" customHeight="1" x14ac:dyDescent="0.3">
      <c r="R3067" s="1209"/>
    </row>
    <row r="3068" spans="18:18" ht="39" customHeight="1" x14ac:dyDescent="0.3">
      <c r="R3068" s="1209"/>
    </row>
    <row r="3069" spans="18:18" ht="39" customHeight="1" x14ac:dyDescent="0.3">
      <c r="R3069" s="1209"/>
    </row>
    <row r="3070" spans="18:18" ht="39" customHeight="1" x14ac:dyDescent="0.3">
      <c r="R3070" s="1209"/>
    </row>
    <row r="3071" spans="18:18" ht="39" customHeight="1" x14ac:dyDescent="0.3">
      <c r="R3071" s="1209"/>
    </row>
    <row r="3072" spans="18:18" ht="39" customHeight="1" x14ac:dyDescent="0.3">
      <c r="R3072" s="1209"/>
    </row>
    <row r="3073" spans="18:18" ht="39" customHeight="1" x14ac:dyDescent="0.3">
      <c r="R3073" s="1209"/>
    </row>
    <row r="3074" spans="18:18" ht="39" customHeight="1" x14ac:dyDescent="0.3">
      <c r="R3074" s="1209"/>
    </row>
    <row r="3075" spans="18:18" ht="39" customHeight="1" x14ac:dyDescent="0.3">
      <c r="R3075" s="1209"/>
    </row>
    <row r="3076" spans="18:18" ht="39" customHeight="1" x14ac:dyDescent="0.3">
      <c r="R3076" s="1209"/>
    </row>
    <row r="3077" spans="18:18" ht="39" customHeight="1" x14ac:dyDescent="0.3">
      <c r="R3077" s="1209"/>
    </row>
    <row r="3078" spans="18:18" ht="39" customHeight="1" x14ac:dyDescent="0.3">
      <c r="R3078" s="1209"/>
    </row>
    <row r="3079" spans="18:18" ht="39" customHeight="1" x14ac:dyDescent="0.3">
      <c r="R3079" s="1209"/>
    </row>
    <row r="3080" spans="18:18" ht="39" customHeight="1" x14ac:dyDescent="0.3">
      <c r="R3080" s="1209"/>
    </row>
    <row r="3081" spans="18:18" ht="39" customHeight="1" x14ac:dyDescent="0.3">
      <c r="R3081" s="1209"/>
    </row>
    <row r="3082" spans="18:18" ht="39" customHeight="1" x14ac:dyDescent="0.3">
      <c r="R3082" s="1209"/>
    </row>
    <row r="3083" spans="18:18" ht="39" customHeight="1" x14ac:dyDescent="0.3">
      <c r="R3083" s="1209"/>
    </row>
    <row r="3084" spans="18:18" ht="39" customHeight="1" x14ac:dyDescent="0.3">
      <c r="R3084" s="1209"/>
    </row>
    <row r="3085" spans="18:18" ht="39" customHeight="1" x14ac:dyDescent="0.3">
      <c r="R3085" s="1209"/>
    </row>
    <row r="3086" spans="18:18" ht="39" customHeight="1" x14ac:dyDescent="0.3">
      <c r="R3086" s="1209"/>
    </row>
    <row r="3087" spans="18:18" ht="39" customHeight="1" x14ac:dyDescent="0.3">
      <c r="R3087" s="1209"/>
    </row>
    <row r="3088" spans="18:18" ht="39" customHeight="1" x14ac:dyDescent="0.3">
      <c r="R3088" s="1209"/>
    </row>
    <row r="3089" spans="18:18" ht="39" customHeight="1" x14ac:dyDescent="0.3">
      <c r="R3089" s="1209"/>
    </row>
    <row r="3090" spans="18:18" ht="39" customHeight="1" x14ac:dyDescent="0.3">
      <c r="R3090" s="1209"/>
    </row>
    <row r="3091" spans="18:18" ht="39" customHeight="1" x14ac:dyDescent="0.3">
      <c r="R3091" s="1209"/>
    </row>
    <row r="3092" spans="18:18" ht="39" customHeight="1" x14ac:dyDescent="0.3">
      <c r="R3092" s="1209"/>
    </row>
    <row r="3093" spans="18:18" ht="39" customHeight="1" x14ac:dyDescent="0.3">
      <c r="R3093" s="1209"/>
    </row>
    <row r="3094" spans="18:18" ht="39" customHeight="1" x14ac:dyDescent="0.3">
      <c r="R3094" s="1209"/>
    </row>
    <row r="3095" spans="18:18" ht="39" customHeight="1" x14ac:dyDescent="0.3">
      <c r="R3095" s="1209"/>
    </row>
    <row r="3096" spans="18:18" ht="39" customHeight="1" x14ac:dyDescent="0.3">
      <c r="R3096" s="1209"/>
    </row>
    <row r="3097" spans="18:18" ht="39" customHeight="1" x14ac:dyDescent="0.3">
      <c r="R3097" s="1209"/>
    </row>
    <row r="3098" spans="18:18" ht="39" customHeight="1" x14ac:dyDescent="0.3">
      <c r="R3098" s="1209"/>
    </row>
    <row r="3099" spans="18:18" ht="39" customHeight="1" x14ac:dyDescent="0.3">
      <c r="R3099" s="1209"/>
    </row>
    <row r="3100" spans="18:18" ht="39" customHeight="1" x14ac:dyDescent="0.3">
      <c r="R3100" s="1209"/>
    </row>
    <row r="3101" spans="18:18" ht="39" customHeight="1" x14ac:dyDescent="0.3">
      <c r="R3101" s="1209"/>
    </row>
    <row r="3102" spans="18:18" ht="39" customHeight="1" x14ac:dyDescent="0.3">
      <c r="R3102" s="1209"/>
    </row>
    <row r="3103" spans="18:18" ht="39" customHeight="1" x14ac:dyDescent="0.3">
      <c r="R3103" s="1209"/>
    </row>
    <row r="3104" spans="18:18" ht="39" customHeight="1" x14ac:dyDescent="0.3">
      <c r="R3104" s="1209"/>
    </row>
    <row r="3105" spans="18:18" ht="39" customHeight="1" x14ac:dyDescent="0.3">
      <c r="R3105" s="1209"/>
    </row>
    <row r="3106" spans="18:18" ht="39" customHeight="1" x14ac:dyDescent="0.3">
      <c r="R3106" s="1209"/>
    </row>
    <row r="3107" spans="18:18" ht="39" customHeight="1" x14ac:dyDescent="0.3">
      <c r="R3107" s="1209"/>
    </row>
    <row r="3108" spans="18:18" ht="39" customHeight="1" x14ac:dyDescent="0.3">
      <c r="R3108" s="1209"/>
    </row>
    <row r="3109" spans="18:18" ht="39" customHeight="1" x14ac:dyDescent="0.3">
      <c r="R3109" s="1209"/>
    </row>
    <row r="3110" spans="18:18" ht="39" customHeight="1" x14ac:dyDescent="0.3">
      <c r="R3110" s="1209"/>
    </row>
    <row r="3111" spans="18:18" ht="39" customHeight="1" x14ac:dyDescent="0.3">
      <c r="R3111" s="1209"/>
    </row>
    <row r="3112" spans="18:18" ht="39" customHeight="1" x14ac:dyDescent="0.3">
      <c r="R3112" s="1209"/>
    </row>
    <row r="3113" spans="18:18" ht="39" customHeight="1" x14ac:dyDescent="0.3">
      <c r="R3113" s="1209"/>
    </row>
    <row r="3114" spans="18:18" ht="39" customHeight="1" x14ac:dyDescent="0.3">
      <c r="R3114" s="1209"/>
    </row>
    <row r="3115" spans="18:18" ht="39" customHeight="1" x14ac:dyDescent="0.3">
      <c r="R3115" s="1209"/>
    </row>
    <row r="3116" spans="18:18" ht="39" customHeight="1" x14ac:dyDescent="0.3">
      <c r="R3116" s="1209"/>
    </row>
    <row r="3117" spans="18:18" ht="39" customHeight="1" x14ac:dyDescent="0.3">
      <c r="R3117" s="1209"/>
    </row>
    <row r="3118" spans="18:18" ht="39" customHeight="1" x14ac:dyDescent="0.3">
      <c r="R3118" s="1209"/>
    </row>
    <row r="3119" spans="18:18" ht="39" customHeight="1" x14ac:dyDescent="0.3">
      <c r="R3119" s="1209"/>
    </row>
    <row r="3120" spans="18:18" ht="39" customHeight="1" x14ac:dyDescent="0.3">
      <c r="R3120" s="1209"/>
    </row>
    <row r="3121" spans="18:18" ht="39" customHeight="1" x14ac:dyDescent="0.3">
      <c r="R3121" s="1209"/>
    </row>
    <row r="3122" spans="18:18" ht="39" customHeight="1" x14ac:dyDescent="0.3">
      <c r="R3122" s="1209"/>
    </row>
    <row r="3123" spans="18:18" ht="39" customHeight="1" x14ac:dyDescent="0.3">
      <c r="R3123" s="1209"/>
    </row>
    <row r="3124" spans="18:18" ht="39" customHeight="1" x14ac:dyDescent="0.3">
      <c r="R3124" s="1209"/>
    </row>
    <row r="3125" spans="18:18" ht="39" customHeight="1" x14ac:dyDescent="0.3">
      <c r="R3125" s="1209"/>
    </row>
    <row r="3126" spans="18:18" ht="39" customHeight="1" x14ac:dyDescent="0.3">
      <c r="R3126" s="1209"/>
    </row>
    <row r="3127" spans="18:18" ht="39" customHeight="1" x14ac:dyDescent="0.3">
      <c r="R3127" s="1209"/>
    </row>
    <row r="3128" spans="18:18" ht="39" customHeight="1" x14ac:dyDescent="0.3">
      <c r="R3128" s="1209"/>
    </row>
    <row r="3129" spans="18:18" ht="39" customHeight="1" x14ac:dyDescent="0.3">
      <c r="R3129" s="1209"/>
    </row>
    <row r="3130" spans="18:18" ht="39" customHeight="1" x14ac:dyDescent="0.3">
      <c r="R3130" s="1209"/>
    </row>
    <row r="3131" spans="18:18" ht="39" customHeight="1" x14ac:dyDescent="0.3">
      <c r="R3131" s="1209"/>
    </row>
    <row r="3132" spans="18:18" ht="39" customHeight="1" x14ac:dyDescent="0.3">
      <c r="R3132" s="1209"/>
    </row>
    <row r="3133" spans="18:18" ht="39" customHeight="1" x14ac:dyDescent="0.3">
      <c r="R3133" s="1209"/>
    </row>
    <row r="3134" spans="18:18" ht="39" customHeight="1" x14ac:dyDescent="0.3">
      <c r="R3134" s="1209"/>
    </row>
    <row r="3135" spans="18:18" ht="39" customHeight="1" x14ac:dyDescent="0.3">
      <c r="R3135" s="1209"/>
    </row>
    <row r="3136" spans="18:18" ht="39" customHeight="1" x14ac:dyDescent="0.3">
      <c r="R3136" s="1209"/>
    </row>
    <row r="3137" spans="18:18" ht="39" customHeight="1" x14ac:dyDescent="0.3">
      <c r="R3137" s="1209"/>
    </row>
    <row r="3138" spans="18:18" ht="39" customHeight="1" x14ac:dyDescent="0.3">
      <c r="R3138" s="1209"/>
    </row>
    <row r="3139" spans="18:18" ht="39" customHeight="1" x14ac:dyDescent="0.3">
      <c r="R3139" s="1209"/>
    </row>
    <row r="3140" spans="18:18" ht="39" customHeight="1" x14ac:dyDescent="0.3">
      <c r="R3140" s="1209"/>
    </row>
    <row r="3141" spans="18:18" ht="39" customHeight="1" x14ac:dyDescent="0.3">
      <c r="R3141" s="1209"/>
    </row>
    <row r="3142" spans="18:18" ht="39" customHeight="1" x14ac:dyDescent="0.3">
      <c r="R3142" s="1209"/>
    </row>
    <row r="3143" spans="18:18" ht="39" customHeight="1" x14ac:dyDescent="0.3">
      <c r="R3143" s="1209"/>
    </row>
    <row r="3144" spans="18:18" ht="39" customHeight="1" x14ac:dyDescent="0.3">
      <c r="R3144" s="1209"/>
    </row>
    <row r="3145" spans="18:18" ht="39" customHeight="1" x14ac:dyDescent="0.3">
      <c r="R3145" s="1209"/>
    </row>
    <row r="3146" spans="18:18" ht="39" customHeight="1" x14ac:dyDescent="0.3">
      <c r="R3146" s="1209"/>
    </row>
    <row r="3147" spans="18:18" ht="39" customHeight="1" x14ac:dyDescent="0.3">
      <c r="R3147" s="1209"/>
    </row>
    <row r="3148" spans="18:18" ht="39" customHeight="1" x14ac:dyDescent="0.3">
      <c r="R3148" s="1209"/>
    </row>
    <row r="3149" spans="18:18" ht="39" customHeight="1" x14ac:dyDescent="0.3">
      <c r="R3149" s="1209"/>
    </row>
    <row r="3150" spans="18:18" ht="39" customHeight="1" x14ac:dyDescent="0.3">
      <c r="R3150" s="1209"/>
    </row>
    <row r="3151" spans="18:18" ht="39" customHeight="1" x14ac:dyDescent="0.3">
      <c r="R3151" s="1209"/>
    </row>
    <row r="3152" spans="18:18" ht="39" customHeight="1" x14ac:dyDescent="0.3">
      <c r="R3152" s="1209"/>
    </row>
    <row r="3153" spans="18:18" ht="39" customHeight="1" x14ac:dyDescent="0.3">
      <c r="R3153" s="1209"/>
    </row>
    <row r="3154" spans="18:18" ht="39" customHeight="1" x14ac:dyDescent="0.3">
      <c r="R3154" s="1209"/>
    </row>
    <row r="3155" spans="18:18" ht="39" customHeight="1" x14ac:dyDescent="0.3">
      <c r="R3155" s="1209"/>
    </row>
    <row r="3156" spans="18:18" ht="39" customHeight="1" x14ac:dyDescent="0.3">
      <c r="R3156" s="1209"/>
    </row>
    <row r="3157" spans="18:18" ht="39" customHeight="1" x14ac:dyDescent="0.3">
      <c r="R3157" s="1209"/>
    </row>
    <row r="3158" spans="18:18" ht="39" customHeight="1" x14ac:dyDescent="0.3">
      <c r="R3158" s="1209"/>
    </row>
    <row r="3159" spans="18:18" ht="39" customHeight="1" x14ac:dyDescent="0.3">
      <c r="R3159" s="1209"/>
    </row>
    <row r="3160" spans="18:18" ht="39" customHeight="1" x14ac:dyDescent="0.3">
      <c r="R3160" s="1209"/>
    </row>
    <row r="3161" spans="18:18" ht="39" customHeight="1" x14ac:dyDescent="0.3">
      <c r="R3161" s="1209"/>
    </row>
    <row r="3162" spans="18:18" ht="39" customHeight="1" x14ac:dyDescent="0.3">
      <c r="R3162" s="1209"/>
    </row>
    <row r="3163" spans="18:18" ht="39" customHeight="1" x14ac:dyDescent="0.3">
      <c r="R3163" s="1209"/>
    </row>
    <row r="3164" spans="18:18" ht="39" customHeight="1" x14ac:dyDescent="0.3">
      <c r="R3164" s="1209"/>
    </row>
    <row r="3165" spans="18:18" ht="39" customHeight="1" x14ac:dyDescent="0.3">
      <c r="R3165" s="1209"/>
    </row>
    <row r="3166" spans="18:18" ht="39" customHeight="1" x14ac:dyDescent="0.3">
      <c r="R3166" s="1209"/>
    </row>
    <row r="3167" spans="18:18" ht="39" customHeight="1" x14ac:dyDescent="0.3">
      <c r="R3167" s="1209"/>
    </row>
    <row r="3168" spans="18:18" ht="39" customHeight="1" x14ac:dyDescent="0.3">
      <c r="R3168" s="1209"/>
    </row>
    <row r="3169" spans="18:18" ht="39" customHeight="1" x14ac:dyDescent="0.3">
      <c r="R3169" s="1209"/>
    </row>
    <row r="3170" spans="18:18" ht="39" customHeight="1" x14ac:dyDescent="0.3">
      <c r="R3170" s="1209"/>
    </row>
    <row r="3171" spans="18:18" ht="39" customHeight="1" x14ac:dyDescent="0.3">
      <c r="R3171" s="1209"/>
    </row>
    <row r="3172" spans="18:18" ht="39" customHeight="1" x14ac:dyDescent="0.3">
      <c r="R3172" s="1209"/>
    </row>
    <row r="3173" spans="18:18" ht="39" customHeight="1" x14ac:dyDescent="0.3">
      <c r="R3173" s="1209"/>
    </row>
    <row r="3174" spans="18:18" ht="39" customHeight="1" x14ac:dyDescent="0.3">
      <c r="R3174" s="1209"/>
    </row>
    <row r="3175" spans="18:18" ht="39" customHeight="1" x14ac:dyDescent="0.3">
      <c r="R3175" s="1209"/>
    </row>
    <row r="3176" spans="18:18" ht="39" customHeight="1" x14ac:dyDescent="0.3">
      <c r="R3176" s="1209"/>
    </row>
    <row r="3177" spans="18:18" ht="39" customHeight="1" x14ac:dyDescent="0.3">
      <c r="R3177" s="1209"/>
    </row>
    <row r="3178" spans="18:18" ht="39" customHeight="1" x14ac:dyDescent="0.3">
      <c r="R3178" s="1209"/>
    </row>
    <row r="3179" spans="18:18" ht="39" customHeight="1" x14ac:dyDescent="0.3">
      <c r="R3179" s="1209"/>
    </row>
    <row r="3180" spans="18:18" ht="39" customHeight="1" x14ac:dyDescent="0.3">
      <c r="R3180" s="1209"/>
    </row>
    <row r="3181" spans="18:18" ht="39" customHeight="1" x14ac:dyDescent="0.3">
      <c r="R3181" s="1209"/>
    </row>
    <row r="3182" spans="18:18" ht="39" customHeight="1" x14ac:dyDescent="0.3">
      <c r="R3182" s="1209"/>
    </row>
    <row r="3183" spans="18:18" ht="39" customHeight="1" x14ac:dyDescent="0.3">
      <c r="R3183" s="1209"/>
    </row>
    <row r="3184" spans="18:18" ht="39" customHeight="1" x14ac:dyDescent="0.3">
      <c r="R3184" s="1209"/>
    </row>
    <row r="3185" spans="18:18" ht="39" customHeight="1" x14ac:dyDescent="0.3">
      <c r="R3185" s="1209"/>
    </row>
    <row r="3186" spans="18:18" ht="39" customHeight="1" x14ac:dyDescent="0.3">
      <c r="R3186" s="1209"/>
    </row>
    <row r="3187" spans="18:18" ht="39" customHeight="1" x14ac:dyDescent="0.3">
      <c r="R3187" s="1209"/>
    </row>
    <row r="3188" spans="18:18" ht="39" customHeight="1" x14ac:dyDescent="0.3">
      <c r="R3188" s="1209"/>
    </row>
    <row r="3189" spans="18:18" ht="39" customHeight="1" x14ac:dyDescent="0.3">
      <c r="R3189" s="1209"/>
    </row>
    <row r="3190" spans="18:18" ht="39" customHeight="1" x14ac:dyDescent="0.3">
      <c r="R3190" s="1209"/>
    </row>
    <row r="3191" spans="18:18" ht="39" customHeight="1" x14ac:dyDescent="0.3">
      <c r="R3191" s="1209"/>
    </row>
    <row r="3192" spans="18:18" ht="39" customHeight="1" x14ac:dyDescent="0.3">
      <c r="R3192" s="1209"/>
    </row>
    <row r="3193" spans="18:18" ht="39" customHeight="1" x14ac:dyDescent="0.3">
      <c r="R3193" s="1209"/>
    </row>
    <row r="3194" spans="18:18" ht="39" customHeight="1" x14ac:dyDescent="0.3">
      <c r="R3194" s="1209"/>
    </row>
    <row r="3195" spans="18:18" ht="39" customHeight="1" x14ac:dyDescent="0.3">
      <c r="R3195" s="1209"/>
    </row>
    <row r="3196" spans="18:18" ht="39" customHeight="1" x14ac:dyDescent="0.3">
      <c r="R3196" s="1209"/>
    </row>
    <row r="3197" spans="18:18" ht="39" customHeight="1" x14ac:dyDescent="0.3">
      <c r="R3197" s="1209"/>
    </row>
    <row r="3198" spans="18:18" ht="39" customHeight="1" x14ac:dyDescent="0.3">
      <c r="R3198" s="1209"/>
    </row>
    <row r="3199" spans="18:18" ht="39" customHeight="1" x14ac:dyDescent="0.3">
      <c r="R3199" s="1209"/>
    </row>
    <row r="3200" spans="18:18" ht="39" customHeight="1" x14ac:dyDescent="0.3">
      <c r="R3200" s="1209"/>
    </row>
    <row r="3201" spans="18:18" ht="39" customHeight="1" x14ac:dyDescent="0.3">
      <c r="R3201" s="1209"/>
    </row>
    <row r="3202" spans="18:18" ht="39" customHeight="1" x14ac:dyDescent="0.3">
      <c r="R3202" s="1209"/>
    </row>
    <row r="3203" spans="18:18" ht="39" customHeight="1" x14ac:dyDescent="0.3">
      <c r="R3203" s="1209"/>
    </row>
    <row r="3204" spans="18:18" ht="39" customHeight="1" x14ac:dyDescent="0.3">
      <c r="R3204" s="1209"/>
    </row>
    <row r="3205" spans="18:18" ht="39" customHeight="1" x14ac:dyDescent="0.3">
      <c r="R3205" s="1209"/>
    </row>
    <row r="3206" spans="18:18" ht="39" customHeight="1" x14ac:dyDescent="0.3">
      <c r="R3206" s="1209"/>
    </row>
    <row r="3207" spans="18:18" ht="39" customHeight="1" x14ac:dyDescent="0.3">
      <c r="R3207" s="1209"/>
    </row>
    <row r="3208" spans="18:18" ht="39" customHeight="1" x14ac:dyDescent="0.3">
      <c r="R3208" s="1209"/>
    </row>
    <row r="3209" spans="18:18" ht="39" customHeight="1" x14ac:dyDescent="0.3">
      <c r="R3209" s="1209"/>
    </row>
    <row r="3210" spans="18:18" ht="39" customHeight="1" x14ac:dyDescent="0.3">
      <c r="R3210" s="1209"/>
    </row>
    <row r="3211" spans="18:18" ht="39" customHeight="1" x14ac:dyDescent="0.3">
      <c r="R3211" s="1209"/>
    </row>
    <row r="3212" spans="18:18" ht="39" customHeight="1" x14ac:dyDescent="0.3">
      <c r="R3212" s="1209"/>
    </row>
    <row r="3213" spans="18:18" ht="39" customHeight="1" x14ac:dyDescent="0.3">
      <c r="R3213" s="1209"/>
    </row>
    <row r="3214" spans="18:18" ht="39" customHeight="1" x14ac:dyDescent="0.3">
      <c r="R3214" s="1209"/>
    </row>
    <row r="3215" spans="18:18" ht="39" customHeight="1" x14ac:dyDescent="0.3">
      <c r="R3215" s="1209"/>
    </row>
    <row r="3216" spans="18:18" ht="39" customHeight="1" x14ac:dyDescent="0.3">
      <c r="R3216" s="1209"/>
    </row>
    <row r="3217" spans="18:18" ht="39" customHeight="1" x14ac:dyDescent="0.3">
      <c r="R3217" s="1209"/>
    </row>
    <row r="3218" spans="18:18" ht="39" customHeight="1" x14ac:dyDescent="0.3">
      <c r="R3218" s="1209"/>
    </row>
    <row r="3219" spans="18:18" ht="39" customHeight="1" x14ac:dyDescent="0.3">
      <c r="R3219" s="1209"/>
    </row>
    <row r="3220" spans="18:18" ht="39" customHeight="1" x14ac:dyDescent="0.3">
      <c r="R3220" s="1209"/>
    </row>
    <row r="3221" spans="18:18" ht="39" customHeight="1" x14ac:dyDescent="0.3">
      <c r="R3221" s="1209"/>
    </row>
    <row r="3222" spans="18:18" ht="39" customHeight="1" x14ac:dyDescent="0.3">
      <c r="R3222" s="1209"/>
    </row>
    <row r="3223" spans="18:18" ht="39" customHeight="1" x14ac:dyDescent="0.3">
      <c r="R3223" s="1209"/>
    </row>
    <row r="3224" spans="18:18" ht="39" customHeight="1" x14ac:dyDescent="0.3">
      <c r="R3224" s="1209"/>
    </row>
    <row r="3225" spans="18:18" ht="39" customHeight="1" x14ac:dyDescent="0.3">
      <c r="R3225" s="1209"/>
    </row>
    <row r="3226" spans="18:18" ht="39" customHeight="1" x14ac:dyDescent="0.3">
      <c r="R3226" s="1209"/>
    </row>
    <row r="3227" spans="18:18" ht="39" customHeight="1" x14ac:dyDescent="0.3">
      <c r="R3227" s="1209"/>
    </row>
    <row r="3228" spans="18:18" ht="39" customHeight="1" x14ac:dyDescent="0.3">
      <c r="R3228" s="1209"/>
    </row>
    <row r="3229" spans="18:18" ht="39" customHeight="1" x14ac:dyDescent="0.3">
      <c r="R3229" s="1209"/>
    </row>
    <row r="3230" spans="18:18" ht="39" customHeight="1" x14ac:dyDescent="0.3">
      <c r="R3230" s="1209"/>
    </row>
    <row r="3231" spans="18:18" ht="39" customHeight="1" x14ac:dyDescent="0.3">
      <c r="R3231" s="1209"/>
    </row>
    <row r="3232" spans="18:18" ht="39" customHeight="1" x14ac:dyDescent="0.3">
      <c r="R3232" s="1209"/>
    </row>
    <row r="3233" spans="18:18" ht="39" customHeight="1" x14ac:dyDescent="0.3">
      <c r="R3233" s="1209"/>
    </row>
    <row r="3234" spans="18:18" ht="39" customHeight="1" x14ac:dyDescent="0.3">
      <c r="R3234" s="1209"/>
    </row>
    <row r="3235" spans="18:18" ht="39" customHeight="1" x14ac:dyDescent="0.3">
      <c r="R3235" s="1209"/>
    </row>
    <row r="3236" spans="18:18" ht="39" customHeight="1" x14ac:dyDescent="0.3">
      <c r="R3236" s="1209"/>
    </row>
    <row r="3237" spans="18:18" ht="39" customHeight="1" x14ac:dyDescent="0.3">
      <c r="R3237" s="1209"/>
    </row>
    <row r="3238" spans="18:18" ht="39" customHeight="1" x14ac:dyDescent="0.3">
      <c r="R3238" s="1209"/>
    </row>
    <row r="3239" spans="18:18" ht="39" customHeight="1" x14ac:dyDescent="0.3">
      <c r="R3239" s="1209"/>
    </row>
    <row r="3240" spans="18:18" ht="39" customHeight="1" x14ac:dyDescent="0.3">
      <c r="R3240" s="1209"/>
    </row>
    <row r="3241" spans="18:18" ht="39" customHeight="1" x14ac:dyDescent="0.3">
      <c r="R3241" s="1209"/>
    </row>
    <row r="3242" spans="18:18" ht="39" customHeight="1" x14ac:dyDescent="0.3">
      <c r="R3242" s="1209"/>
    </row>
    <row r="3243" spans="18:18" ht="39" customHeight="1" x14ac:dyDescent="0.3">
      <c r="R3243" s="1209"/>
    </row>
    <row r="3244" spans="18:18" ht="39" customHeight="1" x14ac:dyDescent="0.3">
      <c r="R3244" s="1209"/>
    </row>
    <row r="3245" spans="18:18" ht="39" customHeight="1" x14ac:dyDescent="0.3">
      <c r="R3245" s="1209"/>
    </row>
    <row r="3246" spans="18:18" ht="39" customHeight="1" x14ac:dyDescent="0.3">
      <c r="R3246" s="1209"/>
    </row>
    <row r="3247" spans="18:18" ht="39" customHeight="1" x14ac:dyDescent="0.3">
      <c r="R3247" s="1209"/>
    </row>
    <row r="3248" spans="18:18" ht="39" customHeight="1" x14ac:dyDescent="0.3">
      <c r="R3248" s="1209"/>
    </row>
    <row r="3249" spans="18:18" ht="39" customHeight="1" x14ac:dyDescent="0.3">
      <c r="R3249" s="1209"/>
    </row>
    <row r="3250" spans="18:18" ht="39" customHeight="1" x14ac:dyDescent="0.3">
      <c r="R3250" s="1209"/>
    </row>
    <row r="3251" spans="18:18" ht="39" customHeight="1" x14ac:dyDescent="0.3">
      <c r="R3251" s="1209"/>
    </row>
    <row r="3252" spans="18:18" ht="39" customHeight="1" x14ac:dyDescent="0.3">
      <c r="R3252" s="1209"/>
    </row>
    <row r="3253" spans="18:18" ht="39" customHeight="1" x14ac:dyDescent="0.3">
      <c r="R3253" s="1209"/>
    </row>
    <row r="3254" spans="18:18" ht="39" customHeight="1" x14ac:dyDescent="0.3">
      <c r="R3254" s="1209"/>
    </row>
    <row r="3255" spans="18:18" ht="39" customHeight="1" x14ac:dyDescent="0.3">
      <c r="R3255" s="1209"/>
    </row>
    <row r="3256" spans="18:18" ht="39" customHeight="1" x14ac:dyDescent="0.3">
      <c r="R3256" s="1209"/>
    </row>
    <row r="3257" spans="18:18" ht="39" customHeight="1" x14ac:dyDescent="0.3">
      <c r="R3257" s="1209"/>
    </row>
    <row r="3258" spans="18:18" ht="39" customHeight="1" x14ac:dyDescent="0.3">
      <c r="R3258" s="1209"/>
    </row>
    <row r="3259" spans="18:18" ht="39" customHeight="1" x14ac:dyDescent="0.3">
      <c r="R3259" s="1209"/>
    </row>
    <row r="3260" spans="18:18" ht="39" customHeight="1" x14ac:dyDescent="0.3">
      <c r="R3260" s="1209"/>
    </row>
    <row r="3261" spans="18:18" ht="39" customHeight="1" x14ac:dyDescent="0.3">
      <c r="R3261" s="1209"/>
    </row>
    <row r="3262" spans="18:18" ht="39" customHeight="1" x14ac:dyDescent="0.3">
      <c r="R3262" s="1209"/>
    </row>
    <row r="3263" spans="18:18" ht="39" customHeight="1" x14ac:dyDescent="0.3">
      <c r="R3263" s="1209"/>
    </row>
    <row r="3264" spans="18:18" ht="39" customHeight="1" x14ac:dyDescent="0.3">
      <c r="R3264" s="1209"/>
    </row>
    <row r="3265" spans="18:18" ht="39" customHeight="1" x14ac:dyDescent="0.3">
      <c r="R3265" s="1209"/>
    </row>
    <row r="3266" spans="18:18" ht="39" customHeight="1" x14ac:dyDescent="0.3">
      <c r="R3266" s="1209"/>
    </row>
    <row r="3267" spans="18:18" ht="39" customHeight="1" x14ac:dyDescent="0.3">
      <c r="R3267" s="1209"/>
    </row>
    <row r="3268" spans="18:18" ht="39" customHeight="1" x14ac:dyDescent="0.3">
      <c r="R3268" s="1209"/>
    </row>
    <row r="3269" spans="18:18" ht="39" customHeight="1" x14ac:dyDescent="0.3">
      <c r="R3269" s="1209"/>
    </row>
    <row r="3270" spans="18:18" ht="39" customHeight="1" x14ac:dyDescent="0.3">
      <c r="R3270" s="1209"/>
    </row>
    <row r="3271" spans="18:18" ht="39" customHeight="1" x14ac:dyDescent="0.3">
      <c r="R3271" s="1209"/>
    </row>
    <row r="3272" spans="18:18" ht="39" customHeight="1" x14ac:dyDescent="0.3">
      <c r="R3272" s="1209"/>
    </row>
    <row r="3273" spans="18:18" ht="39" customHeight="1" x14ac:dyDescent="0.3">
      <c r="R3273" s="1209"/>
    </row>
    <row r="3274" spans="18:18" ht="39" customHeight="1" x14ac:dyDescent="0.3">
      <c r="R3274" s="1209"/>
    </row>
    <row r="3275" spans="18:18" ht="39" customHeight="1" x14ac:dyDescent="0.3">
      <c r="R3275" s="1209"/>
    </row>
    <row r="3276" spans="18:18" ht="39" customHeight="1" x14ac:dyDescent="0.3">
      <c r="R3276" s="1209"/>
    </row>
    <row r="3277" spans="18:18" ht="39" customHeight="1" x14ac:dyDescent="0.3">
      <c r="R3277" s="1209"/>
    </row>
    <row r="3278" spans="18:18" ht="39" customHeight="1" x14ac:dyDescent="0.3">
      <c r="R3278" s="1209"/>
    </row>
    <row r="3279" spans="18:18" ht="39" customHeight="1" x14ac:dyDescent="0.3">
      <c r="R3279" s="1209"/>
    </row>
    <row r="3280" spans="18:18" ht="39" customHeight="1" x14ac:dyDescent="0.3">
      <c r="R3280" s="1209"/>
    </row>
    <row r="3281" spans="18:18" ht="39" customHeight="1" x14ac:dyDescent="0.3">
      <c r="R3281" s="1209"/>
    </row>
    <row r="3282" spans="18:18" ht="39" customHeight="1" x14ac:dyDescent="0.3">
      <c r="R3282" s="1209"/>
    </row>
    <row r="3283" spans="18:18" ht="39" customHeight="1" x14ac:dyDescent="0.3">
      <c r="R3283" s="1209"/>
    </row>
    <row r="3284" spans="18:18" ht="39" customHeight="1" x14ac:dyDescent="0.3">
      <c r="R3284" s="1209"/>
    </row>
    <row r="3285" spans="18:18" ht="39" customHeight="1" x14ac:dyDescent="0.3">
      <c r="R3285" s="1209"/>
    </row>
    <row r="3286" spans="18:18" ht="39" customHeight="1" x14ac:dyDescent="0.3">
      <c r="R3286" s="1209"/>
    </row>
    <row r="3287" spans="18:18" ht="39" customHeight="1" x14ac:dyDescent="0.3">
      <c r="R3287" s="1209"/>
    </row>
    <row r="3288" spans="18:18" ht="39" customHeight="1" x14ac:dyDescent="0.3">
      <c r="R3288" s="1209"/>
    </row>
    <row r="3289" spans="18:18" ht="39" customHeight="1" x14ac:dyDescent="0.3">
      <c r="R3289" s="1209"/>
    </row>
    <row r="3290" spans="18:18" ht="39" customHeight="1" x14ac:dyDescent="0.3">
      <c r="R3290" s="1209"/>
    </row>
    <row r="3291" spans="18:18" ht="39" customHeight="1" x14ac:dyDescent="0.3">
      <c r="R3291" s="1209"/>
    </row>
    <row r="3292" spans="18:18" ht="39" customHeight="1" x14ac:dyDescent="0.3">
      <c r="R3292" s="1209"/>
    </row>
    <row r="3293" spans="18:18" ht="39" customHeight="1" x14ac:dyDescent="0.3">
      <c r="R3293" s="1209"/>
    </row>
    <row r="3294" spans="18:18" ht="39" customHeight="1" x14ac:dyDescent="0.3">
      <c r="R3294" s="1209"/>
    </row>
    <row r="3295" spans="18:18" ht="39" customHeight="1" x14ac:dyDescent="0.3">
      <c r="R3295" s="1209"/>
    </row>
    <row r="3296" spans="18:18" ht="39" customHeight="1" x14ac:dyDescent="0.3">
      <c r="R3296" s="1209"/>
    </row>
    <row r="3297" spans="18:18" ht="39" customHeight="1" x14ac:dyDescent="0.3">
      <c r="R3297" s="1209"/>
    </row>
    <row r="3298" spans="18:18" ht="39" customHeight="1" x14ac:dyDescent="0.3">
      <c r="R3298" s="1209"/>
    </row>
    <row r="3299" spans="18:18" ht="39" customHeight="1" x14ac:dyDescent="0.3">
      <c r="R3299" s="1209"/>
    </row>
    <row r="3300" spans="18:18" ht="39" customHeight="1" x14ac:dyDescent="0.3">
      <c r="R3300" s="1209"/>
    </row>
    <row r="3301" spans="18:18" ht="39" customHeight="1" x14ac:dyDescent="0.3">
      <c r="R3301" s="1209"/>
    </row>
    <row r="3302" spans="18:18" ht="39" customHeight="1" x14ac:dyDescent="0.3">
      <c r="R3302" s="1209"/>
    </row>
    <row r="3303" spans="18:18" ht="39" customHeight="1" x14ac:dyDescent="0.3">
      <c r="R3303" s="1209"/>
    </row>
    <row r="3304" spans="18:18" ht="39" customHeight="1" x14ac:dyDescent="0.3">
      <c r="R3304" s="1209"/>
    </row>
    <row r="3305" spans="18:18" ht="39" customHeight="1" x14ac:dyDescent="0.3">
      <c r="R3305" s="1209"/>
    </row>
    <row r="3306" spans="18:18" ht="39" customHeight="1" x14ac:dyDescent="0.3">
      <c r="R3306" s="1209"/>
    </row>
    <row r="3307" spans="18:18" ht="39" customHeight="1" x14ac:dyDescent="0.3">
      <c r="R3307" s="1209"/>
    </row>
    <row r="3308" spans="18:18" ht="39" customHeight="1" x14ac:dyDescent="0.3">
      <c r="R3308" s="1209"/>
    </row>
    <row r="3309" spans="18:18" ht="39" customHeight="1" x14ac:dyDescent="0.3">
      <c r="R3309" s="1209"/>
    </row>
    <row r="3310" spans="18:18" ht="39" customHeight="1" x14ac:dyDescent="0.3">
      <c r="R3310" s="1209"/>
    </row>
    <row r="3311" spans="18:18" ht="39" customHeight="1" x14ac:dyDescent="0.3">
      <c r="R3311" s="1209"/>
    </row>
    <row r="3312" spans="18:18" ht="39" customHeight="1" x14ac:dyDescent="0.3">
      <c r="R3312" s="1209"/>
    </row>
    <row r="3313" spans="18:18" ht="39" customHeight="1" x14ac:dyDescent="0.3">
      <c r="R3313" s="1209"/>
    </row>
    <row r="3314" spans="18:18" ht="39" customHeight="1" x14ac:dyDescent="0.3">
      <c r="R3314" s="1209"/>
    </row>
    <row r="3315" spans="18:18" ht="39" customHeight="1" x14ac:dyDescent="0.3">
      <c r="R3315" s="1209"/>
    </row>
    <row r="3316" spans="18:18" ht="39" customHeight="1" x14ac:dyDescent="0.3">
      <c r="R3316" s="1209"/>
    </row>
    <row r="3317" spans="18:18" ht="39" customHeight="1" x14ac:dyDescent="0.3">
      <c r="R3317" s="1209"/>
    </row>
    <row r="3318" spans="18:18" ht="39" customHeight="1" x14ac:dyDescent="0.3">
      <c r="R3318" s="1209"/>
    </row>
    <row r="3319" spans="18:18" ht="39" customHeight="1" x14ac:dyDescent="0.3">
      <c r="R3319" s="1209"/>
    </row>
    <row r="3320" spans="18:18" ht="39" customHeight="1" x14ac:dyDescent="0.3">
      <c r="R3320" s="1209"/>
    </row>
    <row r="3321" spans="18:18" ht="39" customHeight="1" x14ac:dyDescent="0.3">
      <c r="R3321" s="1209"/>
    </row>
    <row r="3322" spans="18:18" ht="39" customHeight="1" x14ac:dyDescent="0.3">
      <c r="R3322" s="1209"/>
    </row>
    <row r="3323" spans="18:18" ht="39" customHeight="1" x14ac:dyDescent="0.3">
      <c r="R3323" s="1209"/>
    </row>
    <row r="3324" spans="18:18" ht="39" customHeight="1" x14ac:dyDescent="0.3">
      <c r="R3324" s="1209"/>
    </row>
    <row r="3325" spans="18:18" ht="39" customHeight="1" x14ac:dyDescent="0.3">
      <c r="R3325" s="1209"/>
    </row>
    <row r="3326" spans="18:18" ht="39" customHeight="1" x14ac:dyDescent="0.3">
      <c r="R3326" s="1209"/>
    </row>
    <row r="3327" spans="18:18" ht="39" customHeight="1" x14ac:dyDescent="0.3">
      <c r="R3327" s="1209"/>
    </row>
    <row r="3328" spans="18:18" ht="39" customHeight="1" x14ac:dyDescent="0.3">
      <c r="R3328" s="1209"/>
    </row>
    <row r="3329" spans="18:18" ht="39" customHeight="1" x14ac:dyDescent="0.3">
      <c r="R3329" s="1209"/>
    </row>
    <row r="3330" spans="18:18" ht="39" customHeight="1" x14ac:dyDescent="0.3">
      <c r="R3330" s="1209"/>
    </row>
    <row r="3331" spans="18:18" ht="39" customHeight="1" x14ac:dyDescent="0.3">
      <c r="R3331" s="1209"/>
    </row>
    <row r="3332" spans="18:18" ht="39" customHeight="1" x14ac:dyDescent="0.3">
      <c r="R3332" s="1209"/>
    </row>
    <row r="3333" spans="18:18" ht="39" customHeight="1" x14ac:dyDescent="0.3">
      <c r="R3333" s="1209"/>
    </row>
    <row r="3334" spans="18:18" ht="39" customHeight="1" x14ac:dyDescent="0.3">
      <c r="R3334" s="1209"/>
    </row>
    <row r="3335" spans="18:18" ht="39" customHeight="1" x14ac:dyDescent="0.3">
      <c r="R3335" s="1209"/>
    </row>
    <row r="3336" spans="18:18" ht="39" customHeight="1" x14ac:dyDescent="0.3">
      <c r="R3336" s="1209"/>
    </row>
    <row r="3337" spans="18:18" ht="39" customHeight="1" x14ac:dyDescent="0.3">
      <c r="R3337" s="1209"/>
    </row>
    <row r="3338" spans="18:18" ht="39" customHeight="1" x14ac:dyDescent="0.3">
      <c r="R3338" s="1209"/>
    </row>
    <row r="3339" spans="18:18" ht="39" customHeight="1" x14ac:dyDescent="0.3">
      <c r="R3339" s="1209"/>
    </row>
    <row r="3340" spans="18:18" ht="39" customHeight="1" x14ac:dyDescent="0.3">
      <c r="R3340" s="1209"/>
    </row>
    <row r="3341" spans="18:18" ht="39" customHeight="1" x14ac:dyDescent="0.3">
      <c r="R3341" s="1209"/>
    </row>
    <row r="3342" spans="18:18" ht="39" customHeight="1" x14ac:dyDescent="0.3">
      <c r="R3342" s="1209"/>
    </row>
    <row r="3343" spans="18:18" ht="39" customHeight="1" x14ac:dyDescent="0.3">
      <c r="R3343" s="1209"/>
    </row>
    <row r="3344" spans="18:18" ht="39" customHeight="1" x14ac:dyDescent="0.3">
      <c r="R3344" s="1209"/>
    </row>
    <row r="3345" spans="18:18" ht="39" customHeight="1" x14ac:dyDescent="0.3">
      <c r="R3345" s="1209"/>
    </row>
    <row r="3346" spans="18:18" ht="39" customHeight="1" x14ac:dyDescent="0.3">
      <c r="R3346" s="1209"/>
    </row>
    <row r="3347" spans="18:18" ht="39" customHeight="1" x14ac:dyDescent="0.3">
      <c r="R3347" s="1209"/>
    </row>
    <row r="3348" spans="18:18" ht="39" customHeight="1" x14ac:dyDescent="0.3">
      <c r="R3348" s="1209"/>
    </row>
    <row r="3349" spans="18:18" ht="39" customHeight="1" x14ac:dyDescent="0.3">
      <c r="R3349" s="1209"/>
    </row>
    <row r="3350" spans="18:18" ht="39" customHeight="1" x14ac:dyDescent="0.3">
      <c r="R3350" s="1209"/>
    </row>
    <row r="3351" spans="18:18" ht="39" customHeight="1" x14ac:dyDescent="0.3">
      <c r="R3351" s="1209"/>
    </row>
    <row r="3352" spans="18:18" ht="39" customHeight="1" x14ac:dyDescent="0.3">
      <c r="R3352" s="1209"/>
    </row>
    <row r="3353" spans="18:18" ht="39" customHeight="1" x14ac:dyDescent="0.3">
      <c r="R3353" s="1209"/>
    </row>
    <row r="3354" spans="18:18" ht="39" customHeight="1" x14ac:dyDescent="0.3">
      <c r="R3354" s="1209"/>
    </row>
    <row r="3355" spans="18:18" ht="39" customHeight="1" x14ac:dyDescent="0.3">
      <c r="R3355" s="1209"/>
    </row>
    <row r="3356" spans="18:18" ht="39" customHeight="1" x14ac:dyDescent="0.3">
      <c r="R3356" s="1209"/>
    </row>
    <row r="3357" spans="18:18" ht="39" customHeight="1" x14ac:dyDescent="0.3">
      <c r="R3357" s="1209"/>
    </row>
    <row r="3358" spans="18:18" ht="39" customHeight="1" x14ac:dyDescent="0.3">
      <c r="R3358" s="1209"/>
    </row>
    <row r="3359" spans="18:18" ht="39" customHeight="1" x14ac:dyDescent="0.3">
      <c r="R3359" s="1209"/>
    </row>
    <row r="3360" spans="18:18" ht="39" customHeight="1" x14ac:dyDescent="0.3">
      <c r="R3360" s="1209"/>
    </row>
    <row r="3361" spans="18:18" ht="39" customHeight="1" x14ac:dyDescent="0.3">
      <c r="R3361" s="1209"/>
    </row>
    <row r="3362" spans="18:18" ht="39" customHeight="1" x14ac:dyDescent="0.3">
      <c r="R3362" s="1209"/>
    </row>
    <row r="3363" spans="18:18" ht="39" customHeight="1" x14ac:dyDescent="0.3">
      <c r="R3363" s="1209"/>
    </row>
    <row r="3364" spans="18:18" ht="39" customHeight="1" x14ac:dyDescent="0.3">
      <c r="R3364" s="1209"/>
    </row>
    <row r="3365" spans="18:18" ht="39" customHeight="1" x14ac:dyDescent="0.3">
      <c r="R3365" s="1209"/>
    </row>
    <row r="3366" spans="18:18" ht="39" customHeight="1" x14ac:dyDescent="0.3">
      <c r="R3366" s="1209"/>
    </row>
    <row r="3367" spans="18:18" ht="39" customHeight="1" x14ac:dyDescent="0.3">
      <c r="R3367" s="1209"/>
    </row>
    <row r="3368" spans="18:18" ht="39" customHeight="1" x14ac:dyDescent="0.3">
      <c r="R3368" s="1209"/>
    </row>
    <row r="3369" spans="18:18" ht="39" customHeight="1" x14ac:dyDescent="0.3">
      <c r="R3369" s="1209"/>
    </row>
    <row r="3370" spans="18:18" ht="39" customHeight="1" x14ac:dyDescent="0.3">
      <c r="R3370" s="1209"/>
    </row>
    <row r="3371" spans="18:18" ht="39" customHeight="1" x14ac:dyDescent="0.3">
      <c r="R3371" s="1209"/>
    </row>
    <row r="3372" spans="18:18" ht="39" customHeight="1" x14ac:dyDescent="0.3">
      <c r="R3372" s="1209"/>
    </row>
    <row r="3373" spans="18:18" ht="39" customHeight="1" x14ac:dyDescent="0.3">
      <c r="R3373" s="1209"/>
    </row>
    <row r="3374" spans="18:18" ht="39" customHeight="1" x14ac:dyDescent="0.3">
      <c r="R3374" s="1209"/>
    </row>
    <row r="3375" spans="18:18" ht="39" customHeight="1" x14ac:dyDescent="0.3">
      <c r="R3375" s="1209"/>
    </row>
    <row r="3376" spans="18:18" ht="39" customHeight="1" x14ac:dyDescent="0.3">
      <c r="R3376" s="1209"/>
    </row>
    <row r="3377" spans="18:18" ht="39" customHeight="1" x14ac:dyDescent="0.3">
      <c r="R3377" s="1209"/>
    </row>
    <row r="3378" spans="18:18" ht="39" customHeight="1" x14ac:dyDescent="0.3">
      <c r="R3378" s="1209"/>
    </row>
    <row r="3379" spans="18:18" ht="39" customHeight="1" x14ac:dyDescent="0.3">
      <c r="R3379" s="1209"/>
    </row>
    <row r="3380" spans="18:18" ht="39" customHeight="1" x14ac:dyDescent="0.3">
      <c r="R3380" s="1209"/>
    </row>
    <row r="3381" spans="18:18" ht="39" customHeight="1" x14ac:dyDescent="0.3">
      <c r="R3381" s="1209"/>
    </row>
    <row r="3382" spans="18:18" ht="39" customHeight="1" x14ac:dyDescent="0.3">
      <c r="R3382" s="1209"/>
    </row>
    <row r="3383" spans="18:18" ht="39" customHeight="1" x14ac:dyDescent="0.3">
      <c r="R3383" s="1209"/>
    </row>
    <row r="3384" spans="18:18" ht="39" customHeight="1" x14ac:dyDescent="0.3">
      <c r="R3384" s="1209"/>
    </row>
    <row r="3385" spans="18:18" ht="39" customHeight="1" x14ac:dyDescent="0.3">
      <c r="R3385" s="1209"/>
    </row>
    <row r="3386" spans="18:18" ht="39" customHeight="1" x14ac:dyDescent="0.3">
      <c r="R3386" s="1209"/>
    </row>
    <row r="3387" spans="18:18" ht="39" customHeight="1" x14ac:dyDescent="0.3">
      <c r="R3387" s="1209"/>
    </row>
    <row r="3388" spans="18:18" ht="39" customHeight="1" x14ac:dyDescent="0.3">
      <c r="R3388" s="1209"/>
    </row>
    <row r="3389" spans="18:18" ht="39" customHeight="1" x14ac:dyDescent="0.3">
      <c r="R3389" s="1209"/>
    </row>
    <row r="3390" spans="18:18" ht="39" customHeight="1" x14ac:dyDescent="0.3">
      <c r="R3390" s="1209"/>
    </row>
    <row r="3391" spans="18:18" ht="39" customHeight="1" x14ac:dyDescent="0.3">
      <c r="R3391" s="1209"/>
    </row>
    <row r="3392" spans="18:18" ht="39" customHeight="1" x14ac:dyDescent="0.3">
      <c r="R3392" s="1209"/>
    </row>
    <row r="3393" spans="18:18" ht="39" customHeight="1" x14ac:dyDescent="0.3">
      <c r="R3393" s="1209"/>
    </row>
    <row r="3394" spans="18:18" ht="39" customHeight="1" x14ac:dyDescent="0.3">
      <c r="R3394" s="1209"/>
    </row>
    <row r="3395" spans="18:18" ht="39" customHeight="1" x14ac:dyDescent="0.3">
      <c r="R3395" s="1209"/>
    </row>
    <row r="3396" spans="18:18" ht="39" customHeight="1" x14ac:dyDescent="0.3">
      <c r="R3396" s="1209"/>
    </row>
    <row r="3397" spans="18:18" ht="39" customHeight="1" x14ac:dyDescent="0.3">
      <c r="R3397" s="1209"/>
    </row>
    <row r="3398" spans="18:18" ht="39" customHeight="1" x14ac:dyDescent="0.3">
      <c r="R3398" s="1209"/>
    </row>
    <row r="3399" spans="18:18" ht="39" customHeight="1" x14ac:dyDescent="0.3">
      <c r="R3399" s="1209"/>
    </row>
    <row r="3400" spans="18:18" ht="39" customHeight="1" x14ac:dyDescent="0.3">
      <c r="R3400" s="1209"/>
    </row>
    <row r="3401" spans="18:18" ht="39" customHeight="1" x14ac:dyDescent="0.3">
      <c r="R3401" s="1209"/>
    </row>
    <row r="3402" spans="18:18" ht="39" customHeight="1" x14ac:dyDescent="0.3">
      <c r="R3402" s="1209"/>
    </row>
    <row r="3403" spans="18:18" ht="39" customHeight="1" x14ac:dyDescent="0.3">
      <c r="R3403" s="1209"/>
    </row>
    <row r="3404" spans="18:18" ht="39" customHeight="1" x14ac:dyDescent="0.3">
      <c r="R3404" s="1209"/>
    </row>
    <row r="3405" spans="18:18" ht="39" customHeight="1" x14ac:dyDescent="0.3">
      <c r="R3405" s="1209"/>
    </row>
    <row r="3406" spans="18:18" ht="39" customHeight="1" x14ac:dyDescent="0.3">
      <c r="R3406" s="1209"/>
    </row>
    <row r="3407" spans="18:18" ht="39" customHeight="1" x14ac:dyDescent="0.3">
      <c r="R3407" s="1209"/>
    </row>
    <row r="3408" spans="18:18" ht="39" customHeight="1" x14ac:dyDescent="0.3">
      <c r="R3408" s="1209"/>
    </row>
    <row r="3409" spans="18:18" ht="39" customHeight="1" x14ac:dyDescent="0.3">
      <c r="R3409" s="1209"/>
    </row>
    <row r="3410" spans="18:18" ht="39" customHeight="1" x14ac:dyDescent="0.3">
      <c r="R3410" s="1209"/>
    </row>
    <row r="3411" spans="18:18" ht="39" customHeight="1" x14ac:dyDescent="0.3">
      <c r="R3411" s="1209"/>
    </row>
    <row r="3412" spans="18:18" ht="39" customHeight="1" x14ac:dyDescent="0.3">
      <c r="R3412" s="1209"/>
    </row>
    <row r="3413" spans="18:18" ht="39" customHeight="1" x14ac:dyDescent="0.3">
      <c r="R3413" s="1209"/>
    </row>
    <row r="3414" spans="18:18" ht="39" customHeight="1" x14ac:dyDescent="0.3">
      <c r="R3414" s="1209"/>
    </row>
    <row r="3415" spans="18:18" ht="39" customHeight="1" x14ac:dyDescent="0.3">
      <c r="R3415" s="1209"/>
    </row>
    <row r="3416" spans="18:18" ht="39" customHeight="1" x14ac:dyDescent="0.3">
      <c r="R3416" s="1209"/>
    </row>
    <row r="3417" spans="18:18" ht="39" customHeight="1" x14ac:dyDescent="0.3">
      <c r="R3417" s="1209"/>
    </row>
    <row r="3418" spans="18:18" ht="39" customHeight="1" x14ac:dyDescent="0.3">
      <c r="R3418" s="1209"/>
    </row>
    <row r="3419" spans="18:18" ht="39" customHeight="1" x14ac:dyDescent="0.3">
      <c r="R3419" s="1209"/>
    </row>
    <row r="3420" spans="18:18" ht="39" customHeight="1" x14ac:dyDescent="0.3">
      <c r="R3420" s="1209"/>
    </row>
    <row r="3421" spans="18:18" ht="39" customHeight="1" x14ac:dyDescent="0.3">
      <c r="R3421" s="1209"/>
    </row>
    <row r="3422" spans="18:18" ht="39" customHeight="1" x14ac:dyDescent="0.3">
      <c r="R3422" s="1209"/>
    </row>
    <row r="3423" spans="18:18" ht="39" customHeight="1" x14ac:dyDescent="0.3">
      <c r="R3423" s="1209"/>
    </row>
    <row r="3424" spans="18:18" ht="39" customHeight="1" x14ac:dyDescent="0.3">
      <c r="R3424" s="1209"/>
    </row>
    <row r="3425" spans="18:18" ht="39" customHeight="1" x14ac:dyDescent="0.3">
      <c r="R3425" s="1209"/>
    </row>
    <row r="3426" spans="18:18" ht="39" customHeight="1" x14ac:dyDescent="0.3">
      <c r="R3426" s="1209"/>
    </row>
    <row r="3427" spans="18:18" ht="39" customHeight="1" x14ac:dyDescent="0.3">
      <c r="R3427" s="1209"/>
    </row>
    <row r="3428" spans="18:18" ht="39" customHeight="1" x14ac:dyDescent="0.3">
      <c r="R3428" s="1209"/>
    </row>
    <row r="3429" spans="18:18" ht="39" customHeight="1" x14ac:dyDescent="0.3">
      <c r="R3429" s="1209"/>
    </row>
    <row r="3430" spans="18:18" ht="39" customHeight="1" x14ac:dyDescent="0.3">
      <c r="R3430" s="1209"/>
    </row>
    <row r="3431" spans="18:18" ht="39" customHeight="1" x14ac:dyDescent="0.3">
      <c r="R3431" s="1209"/>
    </row>
    <row r="3432" spans="18:18" ht="39" customHeight="1" x14ac:dyDescent="0.3">
      <c r="R3432" s="1209"/>
    </row>
    <row r="3433" spans="18:18" ht="39" customHeight="1" x14ac:dyDescent="0.3">
      <c r="R3433" s="1209"/>
    </row>
    <row r="3434" spans="18:18" ht="39" customHeight="1" x14ac:dyDescent="0.3">
      <c r="R3434" s="1209"/>
    </row>
    <row r="3435" spans="18:18" ht="39" customHeight="1" x14ac:dyDescent="0.3">
      <c r="R3435" s="1209"/>
    </row>
    <row r="3436" spans="18:18" ht="39" customHeight="1" x14ac:dyDescent="0.3">
      <c r="R3436" s="1209"/>
    </row>
    <row r="3437" spans="18:18" ht="39" customHeight="1" x14ac:dyDescent="0.3">
      <c r="R3437" s="1209"/>
    </row>
    <row r="3438" spans="18:18" ht="39" customHeight="1" x14ac:dyDescent="0.3">
      <c r="R3438" s="1209"/>
    </row>
    <row r="3439" spans="18:18" ht="39" customHeight="1" x14ac:dyDescent="0.3">
      <c r="R3439" s="1209"/>
    </row>
    <row r="3440" spans="18:18" ht="39" customHeight="1" x14ac:dyDescent="0.3">
      <c r="R3440" s="1209"/>
    </row>
    <row r="3441" spans="18:18" ht="39" customHeight="1" x14ac:dyDescent="0.3">
      <c r="R3441" s="1209"/>
    </row>
    <row r="3442" spans="18:18" ht="39" customHeight="1" x14ac:dyDescent="0.3">
      <c r="R3442" s="1209"/>
    </row>
    <row r="3443" spans="18:18" ht="39" customHeight="1" x14ac:dyDescent="0.3">
      <c r="R3443" s="1209"/>
    </row>
    <row r="3444" spans="18:18" ht="39" customHeight="1" x14ac:dyDescent="0.3">
      <c r="R3444" s="1209"/>
    </row>
    <row r="3445" spans="18:18" ht="39" customHeight="1" x14ac:dyDescent="0.3">
      <c r="R3445" s="1209"/>
    </row>
    <row r="3446" spans="18:18" ht="39" customHeight="1" x14ac:dyDescent="0.3">
      <c r="R3446" s="1209"/>
    </row>
    <row r="3447" spans="18:18" ht="39" customHeight="1" x14ac:dyDescent="0.3">
      <c r="R3447" s="1209"/>
    </row>
    <row r="3448" spans="18:18" ht="39" customHeight="1" x14ac:dyDescent="0.3">
      <c r="R3448" s="1209"/>
    </row>
    <row r="3449" spans="18:18" ht="39" customHeight="1" x14ac:dyDescent="0.3">
      <c r="R3449" s="1209"/>
    </row>
    <row r="3450" spans="18:18" ht="39" customHeight="1" x14ac:dyDescent="0.3">
      <c r="R3450" s="1209"/>
    </row>
    <row r="3451" spans="18:18" ht="39" customHeight="1" x14ac:dyDescent="0.3">
      <c r="R3451" s="1209"/>
    </row>
    <row r="3452" spans="18:18" ht="39" customHeight="1" x14ac:dyDescent="0.3">
      <c r="R3452" s="1209"/>
    </row>
    <row r="3453" spans="18:18" ht="39" customHeight="1" x14ac:dyDescent="0.3">
      <c r="R3453" s="1209"/>
    </row>
    <row r="3454" spans="18:18" ht="39" customHeight="1" x14ac:dyDescent="0.3">
      <c r="R3454" s="1209"/>
    </row>
    <row r="3455" spans="18:18" ht="39" customHeight="1" x14ac:dyDescent="0.3">
      <c r="R3455" s="1209"/>
    </row>
    <row r="3456" spans="18:18" ht="39" customHeight="1" x14ac:dyDescent="0.3">
      <c r="R3456" s="1209"/>
    </row>
    <row r="3457" spans="18:18" ht="39" customHeight="1" x14ac:dyDescent="0.3">
      <c r="R3457" s="1209"/>
    </row>
    <row r="3458" spans="18:18" ht="39" customHeight="1" x14ac:dyDescent="0.3">
      <c r="R3458" s="1209"/>
    </row>
    <row r="3459" spans="18:18" ht="39" customHeight="1" x14ac:dyDescent="0.3">
      <c r="R3459" s="1209"/>
    </row>
    <row r="3460" spans="18:18" ht="39" customHeight="1" x14ac:dyDescent="0.3">
      <c r="R3460" s="1209"/>
    </row>
    <row r="3461" spans="18:18" ht="39" customHeight="1" x14ac:dyDescent="0.3">
      <c r="R3461" s="1209"/>
    </row>
    <row r="3462" spans="18:18" ht="39" customHeight="1" x14ac:dyDescent="0.3">
      <c r="R3462" s="1209"/>
    </row>
    <row r="3463" spans="18:18" ht="39" customHeight="1" x14ac:dyDescent="0.3">
      <c r="R3463" s="1209"/>
    </row>
    <row r="3464" spans="18:18" ht="39" customHeight="1" x14ac:dyDescent="0.3">
      <c r="R3464" s="1209"/>
    </row>
    <row r="3465" spans="18:18" ht="39" customHeight="1" x14ac:dyDescent="0.3">
      <c r="R3465" s="1209"/>
    </row>
    <row r="3466" spans="18:18" ht="39" customHeight="1" x14ac:dyDescent="0.3">
      <c r="R3466" s="1209"/>
    </row>
    <row r="3467" spans="18:18" ht="39" customHeight="1" x14ac:dyDescent="0.3">
      <c r="R3467" s="1209"/>
    </row>
    <row r="3468" spans="18:18" ht="39" customHeight="1" x14ac:dyDescent="0.3">
      <c r="R3468" s="1209"/>
    </row>
    <row r="3469" spans="18:18" ht="39" customHeight="1" x14ac:dyDescent="0.3">
      <c r="R3469" s="1209"/>
    </row>
    <row r="3470" spans="18:18" ht="39" customHeight="1" x14ac:dyDescent="0.3">
      <c r="R3470" s="1209"/>
    </row>
    <row r="3471" spans="18:18" ht="39" customHeight="1" x14ac:dyDescent="0.3">
      <c r="R3471" s="1209"/>
    </row>
    <row r="3472" spans="18:18" ht="39" customHeight="1" x14ac:dyDescent="0.3">
      <c r="R3472" s="1209"/>
    </row>
    <row r="3473" spans="18:18" ht="39" customHeight="1" x14ac:dyDescent="0.3">
      <c r="R3473" s="1209"/>
    </row>
    <row r="3474" spans="18:18" ht="39" customHeight="1" x14ac:dyDescent="0.3">
      <c r="R3474" s="1209"/>
    </row>
    <row r="3475" spans="18:18" ht="39" customHeight="1" x14ac:dyDescent="0.3">
      <c r="R3475" s="1209"/>
    </row>
    <row r="3476" spans="18:18" ht="39" customHeight="1" x14ac:dyDescent="0.3">
      <c r="R3476" s="1209"/>
    </row>
    <row r="3477" spans="18:18" ht="39" customHeight="1" x14ac:dyDescent="0.3">
      <c r="R3477" s="1209"/>
    </row>
    <row r="3478" spans="18:18" ht="39" customHeight="1" x14ac:dyDescent="0.3">
      <c r="R3478" s="1209"/>
    </row>
    <row r="3479" spans="18:18" ht="39" customHeight="1" x14ac:dyDescent="0.3">
      <c r="R3479" s="1209"/>
    </row>
    <row r="3480" spans="18:18" ht="39" customHeight="1" x14ac:dyDescent="0.3">
      <c r="R3480" s="1209"/>
    </row>
    <row r="3481" spans="18:18" ht="39" customHeight="1" x14ac:dyDescent="0.3">
      <c r="R3481" s="1209"/>
    </row>
    <row r="3482" spans="18:18" ht="39" customHeight="1" x14ac:dyDescent="0.3">
      <c r="R3482" s="1209"/>
    </row>
    <row r="3483" spans="18:18" ht="39" customHeight="1" x14ac:dyDescent="0.3">
      <c r="R3483" s="1209"/>
    </row>
    <row r="3484" spans="18:18" ht="39" customHeight="1" x14ac:dyDescent="0.3">
      <c r="R3484" s="1209"/>
    </row>
    <row r="3485" spans="18:18" ht="39" customHeight="1" x14ac:dyDescent="0.3">
      <c r="R3485" s="1209"/>
    </row>
    <row r="3486" spans="18:18" ht="39" customHeight="1" x14ac:dyDescent="0.3">
      <c r="R3486" s="1209"/>
    </row>
    <row r="3487" spans="18:18" ht="39" customHeight="1" x14ac:dyDescent="0.3">
      <c r="R3487" s="1209"/>
    </row>
    <row r="3488" spans="18:18" ht="39" customHeight="1" x14ac:dyDescent="0.3">
      <c r="R3488" s="1209"/>
    </row>
    <row r="3489" spans="18:18" ht="39" customHeight="1" x14ac:dyDescent="0.3">
      <c r="R3489" s="1209"/>
    </row>
    <row r="3490" spans="18:18" ht="39" customHeight="1" x14ac:dyDescent="0.3">
      <c r="R3490" s="1209"/>
    </row>
    <row r="3491" spans="18:18" ht="39" customHeight="1" x14ac:dyDescent="0.3">
      <c r="R3491" s="1209"/>
    </row>
    <row r="3492" spans="18:18" ht="39" customHeight="1" x14ac:dyDescent="0.3">
      <c r="R3492" s="1209"/>
    </row>
    <row r="3493" spans="18:18" ht="39" customHeight="1" x14ac:dyDescent="0.3">
      <c r="R3493" s="1209"/>
    </row>
    <row r="3494" spans="18:18" ht="39" customHeight="1" x14ac:dyDescent="0.3">
      <c r="R3494" s="1209"/>
    </row>
    <row r="3495" spans="18:18" ht="39" customHeight="1" x14ac:dyDescent="0.3">
      <c r="R3495" s="1209"/>
    </row>
    <row r="3496" spans="18:18" ht="39" customHeight="1" x14ac:dyDescent="0.3">
      <c r="R3496" s="1209"/>
    </row>
    <row r="3497" spans="18:18" ht="39" customHeight="1" x14ac:dyDescent="0.3">
      <c r="R3497" s="1209"/>
    </row>
    <row r="3498" spans="18:18" ht="39" customHeight="1" x14ac:dyDescent="0.3">
      <c r="R3498" s="1209"/>
    </row>
    <row r="3499" spans="18:18" ht="39" customHeight="1" x14ac:dyDescent="0.3">
      <c r="R3499" s="1209"/>
    </row>
    <row r="3500" spans="18:18" ht="39" customHeight="1" x14ac:dyDescent="0.3">
      <c r="R3500" s="1209"/>
    </row>
    <row r="3501" spans="18:18" ht="39" customHeight="1" x14ac:dyDescent="0.3">
      <c r="R3501" s="1209"/>
    </row>
    <row r="3502" spans="18:18" ht="39" customHeight="1" x14ac:dyDescent="0.3">
      <c r="R3502" s="1209"/>
    </row>
    <row r="3503" spans="18:18" ht="39" customHeight="1" x14ac:dyDescent="0.3">
      <c r="R3503" s="1209"/>
    </row>
    <row r="3504" spans="18:18" ht="39" customHeight="1" x14ac:dyDescent="0.3">
      <c r="R3504" s="1209"/>
    </row>
    <row r="3505" spans="18:18" ht="39" customHeight="1" x14ac:dyDescent="0.3">
      <c r="R3505" s="1209"/>
    </row>
    <row r="3506" spans="18:18" ht="39" customHeight="1" x14ac:dyDescent="0.3">
      <c r="R3506" s="1209"/>
    </row>
    <row r="3507" spans="18:18" ht="39" customHeight="1" x14ac:dyDescent="0.3">
      <c r="R3507" s="1209"/>
    </row>
    <row r="3508" spans="18:18" ht="39" customHeight="1" x14ac:dyDescent="0.3">
      <c r="R3508" s="1209"/>
    </row>
    <row r="3509" spans="18:18" ht="39" customHeight="1" x14ac:dyDescent="0.3">
      <c r="R3509" s="1209"/>
    </row>
    <row r="3510" spans="18:18" ht="39" customHeight="1" x14ac:dyDescent="0.3">
      <c r="R3510" s="1209"/>
    </row>
    <row r="3511" spans="18:18" ht="39" customHeight="1" x14ac:dyDescent="0.3">
      <c r="R3511" s="1209"/>
    </row>
    <row r="3512" spans="18:18" ht="39" customHeight="1" x14ac:dyDescent="0.3">
      <c r="R3512" s="1209"/>
    </row>
    <row r="3513" spans="18:18" ht="39" customHeight="1" x14ac:dyDescent="0.3">
      <c r="R3513" s="1209"/>
    </row>
    <row r="3514" spans="18:18" ht="39" customHeight="1" x14ac:dyDescent="0.3">
      <c r="R3514" s="1209"/>
    </row>
    <row r="3515" spans="18:18" ht="39" customHeight="1" x14ac:dyDescent="0.3">
      <c r="R3515" s="1209"/>
    </row>
    <row r="3516" spans="18:18" ht="39" customHeight="1" x14ac:dyDescent="0.3">
      <c r="R3516" s="1209"/>
    </row>
    <row r="3517" spans="18:18" ht="39" customHeight="1" x14ac:dyDescent="0.3">
      <c r="R3517" s="1209"/>
    </row>
    <row r="3518" spans="18:18" ht="39" customHeight="1" x14ac:dyDescent="0.3">
      <c r="R3518" s="1209"/>
    </row>
    <row r="3519" spans="18:18" ht="39" customHeight="1" x14ac:dyDescent="0.3">
      <c r="R3519" s="1209"/>
    </row>
    <row r="3520" spans="18:18" ht="39" customHeight="1" x14ac:dyDescent="0.3">
      <c r="R3520" s="1209"/>
    </row>
    <row r="3521" spans="18:18" ht="39" customHeight="1" x14ac:dyDescent="0.3">
      <c r="R3521" s="1209"/>
    </row>
    <row r="3522" spans="18:18" ht="39" customHeight="1" x14ac:dyDescent="0.3">
      <c r="R3522" s="1209"/>
    </row>
    <row r="3523" spans="18:18" ht="39" customHeight="1" x14ac:dyDescent="0.3">
      <c r="R3523" s="1209"/>
    </row>
    <row r="3524" spans="18:18" ht="39" customHeight="1" x14ac:dyDescent="0.3">
      <c r="R3524" s="1209"/>
    </row>
    <row r="3525" spans="18:18" ht="39" customHeight="1" x14ac:dyDescent="0.3">
      <c r="R3525" s="1209"/>
    </row>
    <row r="3526" spans="18:18" ht="39" customHeight="1" x14ac:dyDescent="0.3">
      <c r="R3526" s="1209"/>
    </row>
    <row r="3527" spans="18:18" ht="39" customHeight="1" x14ac:dyDescent="0.3">
      <c r="R3527" s="1209"/>
    </row>
    <row r="3528" spans="18:18" ht="39" customHeight="1" x14ac:dyDescent="0.3">
      <c r="R3528" s="1209"/>
    </row>
    <row r="3529" spans="18:18" ht="39" customHeight="1" x14ac:dyDescent="0.3">
      <c r="R3529" s="1209"/>
    </row>
    <row r="3530" spans="18:18" ht="39" customHeight="1" x14ac:dyDescent="0.3">
      <c r="R3530" s="1209"/>
    </row>
    <row r="3531" spans="18:18" ht="39" customHeight="1" x14ac:dyDescent="0.3">
      <c r="R3531" s="1209"/>
    </row>
    <row r="3532" spans="18:18" ht="39" customHeight="1" x14ac:dyDescent="0.3">
      <c r="R3532" s="1209"/>
    </row>
    <row r="3533" spans="18:18" ht="39" customHeight="1" x14ac:dyDescent="0.3">
      <c r="R3533" s="1209"/>
    </row>
    <row r="3534" spans="18:18" ht="39" customHeight="1" x14ac:dyDescent="0.3">
      <c r="R3534" s="1209"/>
    </row>
    <row r="3535" spans="18:18" ht="39" customHeight="1" x14ac:dyDescent="0.3">
      <c r="R3535" s="1209"/>
    </row>
    <row r="3536" spans="18:18" ht="39" customHeight="1" x14ac:dyDescent="0.3">
      <c r="R3536" s="1209"/>
    </row>
    <row r="3537" spans="18:18" ht="39" customHeight="1" x14ac:dyDescent="0.3">
      <c r="R3537" s="1209"/>
    </row>
    <row r="3538" spans="18:18" ht="39" customHeight="1" x14ac:dyDescent="0.3">
      <c r="R3538" s="1209"/>
    </row>
    <row r="3539" spans="18:18" ht="39" customHeight="1" x14ac:dyDescent="0.3">
      <c r="R3539" s="1209"/>
    </row>
    <row r="3540" spans="18:18" ht="39" customHeight="1" x14ac:dyDescent="0.3">
      <c r="R3540" s="1209"/>
    </row>
    <row r="3541" spans="18:18" ht="39" customHeight="1" x14ac:dyDescent="0.3">
      <c r="R3541" s="1209"/>
    </row>
    <row r="3542" spans="18:18" ht="39" customHeight="1" x14ac:dyDescent="0.3">
      <c r="R3542" s="1209"/>
    </row>
    <row r="3543" spans="18:18" ht="39" customHeight="1" x14ac:dyDescent="0.3">
      <c r="R3543" s="1209"/>
    </row>
    <row r="3544" spans="18:18" ht="39" customHeight="1" x14ac:dyDescent="0.3">
      <c r="R3544" s="1209"/>
    </row>
    <row r="3545" spans="18:18" ht="39" customHeight="1" x14ac:dyDescent="0.3">
      <c r="R3545" s="1209"/>
    </row>
    <row r="3546" spans="18:18" ht="39" customHeight="1" x14ac:dyDescent="0.3">
      <c r="R3546" s="1209"/>
    </row>
    <row r="3547" spans="18:18" ht="39" customHeight="1" x14ac:dyDescent="0.3">
      <c r="R3547" s="1209"/>
    </row>
    <row r="3548" spans="18:18" ht="39" customHeight="1" x14ac:dyDescent="0.3">
      <c r="R3548" s="1209"/>
    </row>
    <row r="3549" spans="18:18" ht="39" customHeight="1" x14ac:dyDescent="0.3">
      <c r="R3549" s="1209"/>
    </row>
    <row r="3550" spans="18:18" ht="39" customHeight="1" x14ac:dyDescent="0.3">
      <c r="R3550" s="1209"/>
    </row>
    <row r="3551" spans="18:18" ht="39" customHeight="1" x14ac:dyDescent="0.3">
      <c r="R3551" s="1209"/>
    </row>
    <row r="3552" spans="18:18" ht="39" customHeight="1" x14ac:dyDescent="0.3">
      <c r="R3552" s="1209"/>
    </row>
    <row r="3553" spans="18:18" ht="39" customHeight="1" x14ac:dyDescent="0.3">
      <c r="R3553" s="1209"/>
    </row>
    <row r="3554" spans="18:18" ht="39" customHeight="1" x14ac:dyDescent="0.3">
      <c r="R3554" s="1209"/>
    </row>
    <row r="3555" spans="18:18" ht="39" customHeight="1" x14ac:dyDescent="0.3">
      <c r="R3555" s="1209"/>
    </row>
    <row r="3556" spans="18:18" ht="39" customHeight="1" x14ac:dyDescent="0.3">
      <c r="R3556" s="1209"/>
    </row>
    <row r="3557" spans="18:18" ht="39" customHeight="1" x14ac:dyDescent="0.3">
      <c r="R3557" s="1209"/>
    </row>
    <row r="3558" spans="18:18" ht="39" customHeight="1" x14ac:dyDescent="0.3">
      <c r="R3558" s="1209"/>
    </row>
    <row r="3559" spans="18:18" ht="39" customHeight="1" x14ac:dyDescent="0.3">
      <c r="R3559" s="1209"/>
    </row>
    <row r="3560" spans="18:18" ht="39" customHeight="1" x14ac:dyDescent="0.3">
      <c r="R3560" s="1209"/>
    </row>
    <row r="3561" spans="18:18" ht="39" customHeight="1" x14ac:dyDescent="0.3">
      <c r="R3561" s="1209"/>
    </row>
    <row r="3562" spans="18:18" ht="39" customHeight="1" x14ac:dyDescent="0.3">
      <c r="R3562" s="1209"/>
    </row>
    <row r="3563" spans="18:18" ht="39" customHeight="1" x14ac:dyDescent="0.3">
      <c r="R3563" s="1209"/>
    </row>
    <row r="3564" spans="18:18" ht="39" customHeight="1" x14ac:dyDescent="0.3">
      <c r="R3564" s="1209"/>
    </row>
    <row r="3565" spans="18:18" ht="39" customHeight="1" x14ac:dyDescent="0.3">
      <c r="R3565" s="1209"/>
    </row>
    <row r="3566" spans="18:18" ht="39" customHeight="1" x14ac:dyDescent="0.3">
      <c r="R3566" s="1209"/>
    </row>
    <row r="3567" spans="18:18" ht="39" customHeight="1" x14ac:dyDescent="0.3">
      <c r="R3567" s="1209"/>
    </row>
    <row r="3568" spans="18:18" ht="39" customHeight="1" x14ac:dyDescent="0.3">
      <c r="R3568" s="1209"/>
    </row>
    <row r="3569" spans="18:18" ht="39" customHeight="1" x14ac:dyDescent="0.3">
      <c r="R3569" s="1209"/>
    </row>
    <row r="3570" spans="18:18" ht="39" customHeight="1" x14ac:dyDescent="0.3">
      <c r="R3570" s="1209"/>
    </row>
    <row r="3571" spans="18:18" ht="39" customHeight="1" x14ac:dyDescent="0.3">
      <c r="R3571" s="1209"/>
    </row>
    <row r="3572" spans="18:18" ht="39" customHeight="1" x14ac:dyDescent="0.3">
      <c r="R3572" s="1209"/>
    </row>
    <row r="3573" spans="18:18" ht="39" customHeight="1" x14ac:dyDescent="0.3">
      <c r="R3573" s="1209"/>
    </row>
    <row r="3574" spans="18:18" ht="39" customHeight="1" x14ac:dyDescent="0.3">
      <c r="R3574" s="1209"/>
    </row>
    <row r="3575" spans="18:18" ht="39" customHeight="1" x14ac:dyDescent="0.3">
      <c r="R3575" s="1209"/>
    </row>
    <row r="3576" spans="18:18" ht="39" customHeight="1" x14ac:dyDescent="0.3">
      <c r="R3576" s="1209"/>
    </row>
    <row r="3577" spans="18:18" ht="39" customHeight="1" x14ac:dyDescent="0.3">
      <c r="R3577" s="1209"/>
    </row>
    <row r="3578" spans="18:18" ht="39" customHeight="1" x14ac:dyDescent="0.3">
      <c r="R3578" s="1209"/>
    </row>
    <row r="3579" spans="18:18" ht="39" customHeight="1" x14ac:dyDescent="0.3">
      <c r="R3579" s="1209"/>
    </row>
    <row r="3580" spans="18:18" ht="39" customHeight="1" x14ac:dyDescent="0.3">
      <c r="R3580" s="1209"/>
    </row>
    <row r="3581" spans="18:18" ht="39" customHeight="1" x14ac:dyDescent="0.3">
      <c r="R3581" s="1209"/>
    </row>
    <row r="3582" spans="18:18" ht="39" customHeight="1" x14ac:dyDescent="0.3">
      <c r="R3582" s="1209"/>
    </row>
    <row r="3583" spans="18:18" ht="39" customHeight="1" x14ac:dyDescent="0.3">
      <c r="R3583" s="1209"/>
    </row>
    <row r="3584" spans="18:18" ht="39" customHeight="1" x14ac:dyDescent="0.3">
      <c r="R3584" s="1209"/>
    </row>
    <row r="3585" spans="18:18" ht="39" customHeight="1" x14ac:dyDescent="0.3">
      <c r="R3585" s="1209"/>
    </row>
    <row r="3586" spans="18:18" ht="39" customHeight="1" x14ac:dyDescent="0.3">
      <c r="R3586" s="1209"/>
    </row>
    <row r="3587" spans="18:18" ht="39" customHeight="1" x14ac:dyDescent="0.3">
      <c r="R3587" s="1209"/>
    </row>
    <row r="3588" spans="18:18" ht="39" customHeight="1" x14ac:dyDescent="0.3">
      <c r="R3588" s="1209"/>
    </row>
    <row r="3589" spans="18:18" ht="39" customHeight="1" x14ac:dyDescent="0.3">
      <c r="R3589" s="1209"/>
    </row>
    <row r="3590" spans="18:18" ht="39" customHeight="1" x14ac:dyDescent="0.3">
      <c r="R3590" s="1209"/>
    </row>
    <row r="3591" spans="18:18" ht="39" customHeight="1" x14ac:dyDescent="0.3">
      <c r="R3591" s="1209"/>
    </row>
    <row r="3592" spans="18:18" ht="39" customHeight="1" x14ac:dyDescent="0.3">
      <c r="R3592" s="1209"/>
    </row>
    <row r="3593" spans="18:18" ht="39" customHeight="1" x14ac:dyDescent="0.3">
      <c r="R3593" s="1209"/>
    </row>
    <row r="3594" spans="18:18" ht="39" customHeight="1" x14ac:dyDescent="0.3">
      <c r="R3594" s="1209"/>
    </row>
    <row r="3595" spans="18:18" ht="39" customHeight="1" x14ac:dyDescent="0.3">
      <c r="R3595" s="1209"/>
    </row>
    <row r="3596" spans="18:18" ht="39" customHeight="1" x14ac:dyDescent="0.3">
      <c r="R3596" s="1209"/>
    </row>
    <row r="3597" spans="18:18" ht="39" customHeight="1" x14ac:dyDescent="0.3">
      <c r="R3597" s="1209"/>
    </row>
    <row r="3598" spans="18:18" ht="39" customHeight="1" x14ac:dyDescent="0.3">
      <c r="R3598" s="1209"/>
    </row>
    <row r="3599" spans="18:18" ht="39" customHeight="1" x14ac:dyDescent="0.3">
      <c r="R3599" s="1209"/>
    </row>
    <row r="3600" spans="18:18" ht="39" customHeight="1" x14ac:dyDescent="0.3">
      <c r="R3600" s="1209"/>
    </row>
    <row r="3601" spans="18:18" ht="39" customHeight="1" x14ac:dyDescent="0.3">
      <c r="R3601" s="1209"/>
    </row>
    <row r="3602" spans="18:18" ht="39" customHeight="1" x14ac:dyDescent="0.3">
      <c r="R3602" s="1209"/>
    </row>
    <row r="3603" spans="18:18" ht="39" customHeight="1" x14ac:dyDescent="0.3">
      <c r="R3603" s="1209"/>
    </row>
    <row r="3604" spans="18:18" ht="39" customHeight="1" x14ac:dyDescent="0.3">
      <c r="R3604" s="1209"/>
    </row>
    <row r="3605" spans="18:18" ht="39" customHeight="1" x14ac:dyDescent="0.3">
      <c r="R3605" s="1209"/>
    </row>
    <row r="3606" spans="18:18" ht="39" customHeight="1" x14ac:dyDescent="0.3">
      <c r="R3606" s="1209"/>
    </row>
    <row r="3607" spans="18:18" ht="39" customHeight="1" x14ac:dyDescent="0.3">
      <c r="R3607" s="1209"/>
    </row>
    <row r="3608" spans="18:18" ht="39" customHeight="1" x14ac:dyDescent="0.3">
      <c r="R3608" s="1209"/>
    </row>
    <row r="3609" spans="18:18" ht="39" customHeight="1" x14ac:dyDescent="0.3">
      <c r="R3609" s="1209"/>
    </row>
    <row r="3610" spans="18:18" ht="39" customHeight="1" x14ac:dyDescent="0.3">
      <c r="R3610" s="1209"/>
    </row>
    <row r="3611" spans="18:18" ht="39" customHeight="1" x14ac:dyDescent="0.3">
      <c r="R3611" s="1209"/>
    </row>
    <row r="3612" spans="18:18" ht="39" customHeight="1" x14ac:dyDescent="0.3">
      <c r="R3612" s="1209"/>
    </row>
    <row r="3613" spans="18:18" ht="39" customHeight="1" x14ac:dyDescent="0.3">
      <c r="R3613" s="1209"/>
    </row>
    <row r="3614" spans="18:18" ht="39" customHeight="1" x14ac:dyDescent="0.3">
      <c r="R3614" s="1209"/>
    </row>
    <row r="3615" spans="18:18" ht="39" customHeight="1" x14ac:dyDescent="0.3">
      <c r="R3615" s="1209"/>
    </row>
    <row r="3616" spans="18:18" ht="39" customHeight="1" x14ac:dyDescent="0.3">
      <c r="R3616" s="1209"/>
    </row>
    <row r="3617" spans="18:18" ht="39" customHeight="1" x14ac:dyDescent="0.3">
      <c r="R3617" s="1209"/>
    </row>
    <row r="3618" spans="18:18" ht="39" customHeight="1" x14ac:dyDescent="0.3">
      <c r="R3618" s="1209"/>
    </row>
    <row r="3619" spans="18:18" ht="39" customHeight="1" x14ac:dyDescent="0.3">
      <c r="R3619" s="1209"/>
    </row>
    <row r="3620" spans="18:18" ht="39" customHeight="1" x14ac:dyDescent="0.3">
      <c r="R3620" s="1209"/>
    </row>
    <row r="3621" spans="18:18" ht="39" customHeight="1" x14ac:dyDescent="0.3">
      <c r="R3621" s="1209"/>
    </row>
    <row r="3622" spans="18:18" ht="39" customHeight="1" x14ac:dyDescent="0.3">
      <c r="R3622" s="1209"/>
    </row>
    <row r="3623" spans="18:18" ht="39" customHeight="1" x14ac:dyDescent="0.3">
      <c r="R3623" s="1209"/>
    </row>
    <row r="3624" spans="18:18" ht="39" customHeight="1" x14ac:dyDescent="0.3">
      <c r="R3624" s="1209"/>
    </row>
    <row r="3625" spans="18:18" ht="39" customHeight="1" x14ac:dyDescent="0.3">
      <c r="R3625" s="1209"/>
    </row>
    <row r="3626" spans="18:18" ht="39" customHeight="1" x14ac:dyDescent="0.3">
      <c r="R3626" s="1209"/>
    </row>
    <row r="3627" spans="18:18" ht="39" customHeight="1" x14ac:dyDescent="0.3">
      <c r="R3627" s="1209"/>
    </row>
    <row r="3628" spans="18:18" ht="39" customHeight="1" x14ac:dyDescent="0.3">
      <c r="R3628" s="1209"/>
    </row>
    <row r="3629" spans="18:18" ht="39" customHeight="1" x14ac:dyDescent="0.3">
      <c r="R3629" s="1209"/>
    </row>
    <row r="3630" spans="18:18" ht="39" customHeight="1" x14ac:dyDescent="0.3">
      <c r="R3630" s="1209"/>
    </row>
    <row r="3631" spans="18:18" ht="39" customHeight="1" x14ac:dyDescent="0.3">
      <c r="R3631" s="1209"/>
    </row>
    <row r="3632" spans="18:18" ht="39" customHeight="1" x14ac:dyDescent="0.3">
      <c r="R3632" s="1209"/>
    </row>
    <row r="3633" spans="18:18" ht="39" customHeight="1" x14ac:dyDescent="0.3">
      <c r="R3633" s="1209"/>
    </row>
    <row r="3634" spans="18:18" ht="39" customHeight="1" x14ac:dyDescent="0.3">
      <c r="R3634" s="1209"/>
    </row>
    <row r="3635" spans="18:18" ht="39" customHeight="1" x14ac:dyDescent="0.3">
      <c r="R3635" s="1209"/>
    </row>
    <row r="3636" spans="18:18" ht="39" customHeight="1" x14ac:dyDescent="0.3">
      <c r="R3636" s="1209"/>
    </row>
    <row r="3637" spans="18:18" ht="39" customHeight="1" x14ac:dyDescent="0.3">
      <c r="R3637" s="1209"/>
    </row>
    <row r="3638" spans="18:18" ht="39" customHeight="1" x14ac:dyDescent="0.3">
      <c r="R3638" s="1209"/>
    </row>
    <row r="3639" spans="18:18" ht="39" customHeight="1" x14ac:dyDescent="0.3">
      <c r="R3639" s="1209"/>
    </row>
    <row r="3640" spans="18:18" ht="39" customHeight="1" x14ac:dyDescent="0.3">
      <c r="R3640" s="1209"/>
    </row>
    <row r="3641" spans="18:18" ht="39" customHeight="1" x14ac:dyDescent="0.3">
      <c r="R3641" s="1209"/>
    </row>
    <row r="3642" spans="18:18" ht="39" customHeight="1" x14ac:dyDescent="0.3">
      <c r="R3642" s="1209"/>
    </row>
    <row r="3643" spans="18:18" ht="39" customHeight="1" x14ac:dyDescent="0.3">
      <c r="R3643" s="1209"/>
    </row>
    <row r="3644" spans="18:18" ht="39" customHeight="1" x14ac:dyDescent="0.3">
      <c r="R3644" s="1209"/>
    </row>
    <row r="3645" spans="18:18" ht="39" customHeight="1" x14ac:dyDescent="0.3">
      <c r="R3645" s="1209"/>
    </row>
    <row r="3646" spans="18:18" ht="39" customHeight="1" x14ac:dyDescent="0.3">
      <c r="R3646" s="1209"/>
    </row>
    <row r="3647" spans="18:18" ht="39" customHeight="1" x14ac:dyDescent="0.3">
      <c r="R3647" s="1209"/>
    </row>
    <row r="3648" spans="18:18" ht="39" customHeight="1" x14ac:dyDescent="0.3">
      <c r="R3648" s="1209"/>
    </row>
    <row r="3649" spans="18:18" ht="39" customHeight="1" x14ac:dyDescent="0.3">
      <c r="R3649" s="1209"/>
    </row>
    <row r="3650" spans="18:18" ht="39" customHeight="1" x14ac:dyDescent="0.3">
      <c r="R3650" s="1209"/>
    </row>
    <row r="3651" spans="18:18" ht="39" customHeight="1" x14ac:dyDescent="0.3">
      <c r="R3651" s="1209"/>
    </row>
    <row r="3652" spans="18:18" ht="39" customHeight="1" x14ac:dyDescent="0.3">
      <c r="R3652" s="1209"/>
    </row>
    <row r="3653" spans="18:18" ht="39" customHeight="1" x14ac:dyDescent="0.3">
      <c r="R3653" s="1209"/>
    </row>
    <row r="3654" spans="18:18" ht="39" customHeight="1" x14ac:dyDescent="0.3">
      <c r="R3654" s="1209"/>
    </row>
    <row r="3655" spans="18:18" ht="39" customHeight="1" x14ac:dyDescent="0.3">
      <c r="R3655" s="1209"/>
    </row>
    <row r="3656" spans="18:18" ht="39" customHeight="1" x14ac:dyDescent="0.3">
      <c r="R3656" s="1209"/>
    </row>
    <row r="3657" spans="18:18" ht="39" customHeight="1" x14ac:dyDescent="0.3">
      <c r="R3657" s="1209"/>
    </row>
    <row r="3658" spans="18:18" ht="39" customHeight="1" x14ac:dyDescent="0.3">
      <c r="R3658" s="1209"/>
    </row>
    <row r="3659" spans="18:18" ht="39" customHeight="1" x14ac:dyDescent="0.3">
      <c r="R3659" s="1209"/>
    </row>
    <row r="3660" spans="18:18" ht="39" customHeight="1" x14ac:dyDescent="0.3">
      <c r="R3660" s="1209"/>
    </row>
    <row r="3661" spans="18:18" ht="39" customHeight="1" x14ac:dyDescent="0.3">
      <c r="R3661" s="1209"/>
    </row>
    <row r="3662" spans="18:18" ht="39" customHeight="1" x14ac:dyDescent="0.3">
      <c r="R3662" s="1209"/>
    </row>
    <row r="3663" spans="18:18" ht="39" customHeight="1" x14ac:dyDescent="0.3">
      <c r="R3663" s="1209"/>
    </row>
    <row r="3664" spans="18:18" ht="39" customHeight="1" x14ac:dyDescent="0.3">
      <c r="R3664" s="1209"/>
    </row>
    <row r="3665" spans="18:18" ht="39" customHeight="1" x14ac:dyDescent="0.3">
      <c r="R3665" s="1209"/>
    </row>
    <row r="3666" spans="18:18" ht="39" customHeight="1" x14ac:dyDescent="0.3">
      <c r="R3666" s="1209"/>
    </row>
    <row r="3667" spans="18:18" ht="39" customHeight="1" x14ac:dyDescent="0.3">
      <c r="R3667" s="1209"/>
    </row>
    <row r="3668" spans="18:18" ht="39" customHeight="1" x14ac:dyDescent="0.3">
      <c r="R3668" s="1209"/>
    </row>
    <row r="3669" spans="18:18" ht="39" customHeight="1" x14ac:dyDescent="0.3">
      <c r="R3669" s="1209"/>
    </row>
    <row r="3670" spans="18:18" ht="39" customHeight="1" x14ac:dyDescent="0.3">
      <c r="R3670" s="1209"/>
    </row>
    <row r="3671" spans="18:18" ht="39" customHeight="1" x14ac:dyDescent="0.3">
      <c r="R3671" s="1209"/>
    </row>
    <row r="3672" spans="18:18" ht="39" customHeight="1" x14ac:dyDescent="0.3">
      <c r="R3672" s="1209"/>
    </row>
    <row r="3673" spans="18:18" ht="39" customHeight="1" x14ac:dyDescent="0.3">
      <c r="R3673" s="1209"/>
    </row>
    <row r="3674" spans="18:18" ht="39" customHeight="1" x14ac:dyDescent="0.3">
      <c r="R3674" s="1209"/>
    </row>
    <row r="3675" spans="18:18" ht="39" customHeight="1" x14ac:dyDescent="0.3">
      <c r="R3675" s="1209"/>
    </row>
    <row r="3676" spans="18:18" ht="39" customHeight="1" x14ac:dyDescent="0.3">
      <c r="R3676" s="1209"/>
    </row>
    <row r="3677" spans="18:18" ht="39" customHeight="1" x14ac:dyDescent="0.3">
      <c r="R3677" s="1209"/>
    </row>
    <row r="3678" spans="18:18" ht="39" customHeight="1" x14ac:dyDescent="0.3">
      <c r="R3678" s="1209"/>
    </row>
    <row r="3679" spans="18:18" ht="39" customHeight="1" x14ac:dyDescent="0.3">
      <c r="R3679" s="1209"/>
    </row>
    <row r="3680" spans="18:18" ht="39" customHeight="1" x14ac:dyDescent="0.3">
      <c r="R3680" s="1209"/>
    </row>
    <row r="3681" spans="18:18" ht="39" customHeight="1" x14ac:dyDescent="0.3">
      <c r="R3681" s="1209"/>
    </row>
    <row r="3682" spans="18:18" ht="39" customHeight="1" x14ac:dyDescent="0.3">
      <c r="R3682" s="1209"/>
    </row>
    <row r="3683" spans="18:18" ht="39" customHeight="1" x14ac:dyDescent="0.3">
      <c r="R3683" s="1209"/>
    </row>
    <row r="3684" spans="18:18" ht="39" customHeight="1" x14ac:dyDescent="0.3">
      <c r="R3684" s="1209"/>
    </row>
    <row r="3685" spans="18:18" ht="39" customHeight="1" x14ac:dyDescent="0.3">
      <c r="R3685" s="1209"/>
    </row>
    <row r="3686" spans="18:18" ht="39" customHeight="1" x14ac:dyDescent="0.3">
      <c r="R3686" s="1209"/>
    </row>
    <row r="3687" spans="18:18" ht="39" customHeight="1" x14ac:dyDescent="0.3">
      <c r="R3687" s="1209"/>
    </row>
    <row r="3688" spans="18:18" ht="39" customHeight="1" x14ac:dyDescent="0.3">
      <c r="R3688" s="1209"/>
    </row>
    <row r="3689" spans="18:18" ht="39" customHeight="1" x14ac:dyDescent="0.3">
      <c r="R3689" s="1209"/>
    </row>
    <row r="3690" spans="18:18" ht="39" customHeight="1" x14ac:dyDescent="0.3">
      <c r="R3690" s="1209"/>
    </row>
    <row r="3691" spans="18:18" ht="39" customHeight="1" x14ac:dyDescent="0.3">
      <c r="R3691" s="1209"/>
    </row>
    <row r="3692" spans="18:18" ht="39" customHeight="1" x14ac:dyDescent="0.3">
      <c r="R3692" s="1209"/>
    </row>
    <row r="3693" spans="18:18" ht="39" customHeight="1" x14ac:dyDescent="0.3">
      <c r="R3693" s="1209"/>
    </row>
    <row r="3694" spans="18:18" ht="39" customHeight="1" x14ac:dyDescent="0.3">
      <c r="R3694" s="1209"/>
    </row>
    <row r="3695" spans="18:18" ht="39" customHeight="1" x14ac:dyDescent="0.3">
      <c r="R3695" s="1209"/>
    </row>
    <row r="3696" spans="18:18" ht="39" customHeight="1" x14ac:dyDescent="0.3">
      <c r="R3696" s="1209"/>
    </row>
    <row r="3697" spans="18:18" ht="39" customHeight="1" x14ac:dyDescent="0.3">
      <c r="R3697" s="1209"/>
    </row>
    <row r="3698" spans="18:18" ht="39" customHeight="1" x14ac:dyDescent="0.3">
      <c r="R3698" s="1209"/>
    </row>
    <row r="3699" spans="18:18" ht="39" customHeight="1" x14ac:dyDescent="0.3">
      <c r="R3699" s="1209"/>
    </row>
    <row r="3700" spans="18:18" ht="39" customHeight="1" x14ac:dyDescent="0.3">
      <c r="R3700" s="1209"/>
    </row>
    <row r="3701" spans="18:18" ht="39" customHeight="1" x14ac:dyDescent="0.3">
      <c r="R3701" s="1209"/>
    </row>
    <row r="3702" spans="18:18" ht="39" customHeight="1" x14ac:dyDescent="0.3">
      <c r="R3702" s="1209"/>
    </row>
    <row r="3703" spans="18:18" ht="39" customHeight="1" x14ac:dyDescent="0.3">
      <c r="R3703" s="1209"/>
    </row>
    <row r="3704" spans="18:18" ht="39" customHeight="1" x14ac:dyDescent="0.3">
      <c r="R3704" s="1209"/>
    </row>
    <row r="3705" spans="18:18" ht="39" customHeight="1" x14ac:dyDescent="0.3">
      <c r="R3705" s="1209"/>
    </row>
    <row r="3706" spans="18:18" ht="39" customHeight="1" x14ac:dyDescent="0.3">
      <c r="R3706" s="1209"/>
    </row>
    <row r="3707" spans="18:18" ht="39" customHeight="1" x14ac:dyDescent="0.3">
      <c r="R3707" s="1209"/>
    </row>
    <row r="3708" spans="18:18" ht="39" customHeight="1" x14ac:dyDescent="0.3">
      <c r="R3708" s="1209"/>
    </row>
    <row r="3709" spans="18:18" ht="39" customHeight="1" x14ac:dyDescent="0.3">
      <c r="R3709" s="1209"/>
    </row>
    <row r="3710" spans="18:18" ht="39" customHeight="1" x14ac:dyDescent="0.3">
      <c r="R3710" s="1209"/>
    </row>
    <row r="3711" spans="18:18" ht="39" customHeight="1" x14ac:dyDescent="0.3">
      <c r="R3711" s="1209"/>
    </row>
    <row r="3712" spans="18:18" ht="39" customHeight="1" x14ac:dyDescent="0.3">
      <c r="R3712" s="1209"/>
    </row>
    <row r="3713" spans="18:18" ht="39" customHeight="1" x14ac:dyDescent="0.3">
      <c r="R3713" s="1209"/>
    </row>
    <row r="3714" spans="18:18" ht="39" customHeight="1" x14ac:dyDescent="0.3">
      <c r="R3714" s="1209"/>
    </row>
    <row r="3715" spans="18:18" ht="39" customHeight="1" x14ac:dyDescent="0.3">
      <c r="R3715" s="1209"/>
    </row>
    <row r="3716" spans="18:18" ht="39" customHeight="1" x14ac:dyDescent="0.3">
      <c r="R3716" s="1209"/>
    </row>
    <row r="3717" spans="18:18" ht="39" customHeight="1" x14ac:dyDescent="0.3">
      <c r="R3717" s="1209"/>
    </row>
    <row r="3718" spans="18:18" ht="39" customHeight="1" x14ac:dyDescent="0.3">
      <c r="R3718" s="1209"/>
    </row>
    <row r="3719" spans="18:18" ht="39" customHeight="1" x14ac:dyDescent="0.3">
      <c r="R3719" s="1209"/>
    </row>
    <row r="3720" spans="18:18" ht="39" customHeight="1" x14ac:dyDescent="0.3">
      <c r="R3720" s="1209"/>
    </row>
    <row r="3721" spans="18:18" ht="39" customHeight="1" x14ac:dyDescent="0.3">
      <c r="R3721" s="1209"/>
    </row>
    <row r="3722" spans="18:18" ht="39" customHeight="1" x14ac:dyDescent="0.3">
      <c r="R3722" s="1209"/>
    </row>
    <row r="3723" spans="18:18" ht="39" customHeight="1" x14ac:dyDescent="0.3">
      <c r="R3723" s="1209"/>
    </row>
    <row r="3724" spans="18:18" ht="39" customHeight="1" x14ac:dyDescent="0.3">
      <c r="R3724" s="1209"/>
    </row>
    <row r="3725" spans="18:18" ht="39" customHeight="1" x14ac:dyDescent="0.3">
      <c r="R3725" s="1209"/>
    </row>
    <row r="3726" spans="18:18" ht="39" customHeight="1" x14ac:dyDescent="0.3">
      <c r="R3726" s="1209"/>
    </row>
    <row r="3727" spans="18:18" ht="39" customHeight="1" x14ac:dyDescent="0.3">
      <c r="R3727" s="1209"/>
    </row>
    <row r="3728" spans="18:18" ht="39" customHeight="1" x14ac:dyDescent="0.3">
      <c r="R3728" s="1209"/>
    </row>
    <row r="3729" spans="18:18" ht="39" customHeight="1" x14ac:dyDescent="0.3">
      <c r="R3729" s="1209"/>
    </row>
    <row r="3730" spans="18:18" ht="39" customHeight="1" x14ac:dyDescent="0.3">
      <c r="R3730" s="1209"/>
    </row>
    <row r="3731" spans="18:18" ht="39" customHeight="1" x14ac:dyDescent="0.3">
      <c r="R3731" s="1209"/>
    </row>
    <row r="3732" spans="18:18" ht="39" customHeight="1" x14ac:dyDescent="0.3">
      <c r="R3732" s="1209"/>
    </row>
    <row r="3733" spans="18:18" ht="39" customHeight="1" x14ac:dyDescent="0.3">
      <c r="R3733" s="1209"/>
    </row>
    <row r="3734" spans="18:18" ht="39" customHeight="1" x14ac:dyDescent="0.3">
      <c r="R3734" s="1209"/>
    </row>
    <row r="3735" spans="18:18" ht="39" customHeight="1" x14ac:dyDescent="0.3">
      <c r="R3735" s="1209"/>
    </row>
    <row r="3736" spans="18:18" ht="39" customHeight="1" x14ac:dyDescent="0.3">
      <c r="R3736" s="1209"/>
    </row>
    <row r="3737" spans="18:18" ht="39" customHeight="1" x14ac:dyDescent="0.3">
      <c r="R3737" s="1209"/>
    </row>
    <row r="3738" spans="18:18" ht="39" customHeight="1" x14ac:dyDescent="0.3">
      <c r="R3738" s="1209"/>
    </row>
    <row r="3739" spans="18:18" ht="39" customHeight="1" x14ac:dyDescent="0.3">
      <c r="R3739" s="1209"/>
    </row>
    <row r="3740" spans="18:18" ht="39" customHeight="1" x14ac:dyDescent="0.3">
      <c r="R3740" s="1209"/>
    </row>
    <row r="3741" spans="18:18" ht="39" customHeight="1" x14ac:dyDescent="0.3">
      <c r="R3741" s="1209"/>
    </row>
    <row r="3742" spans="18:18" ht="39" customHeight="1" x14ac:dyDescent="0.3">
      <c r="R3742" s="1209"/>
    </row>
    <row r="3743" spans="18:18" ht="39" customHeight="1" x14ac:dyDescent="0.3">
      <c r="R3743" s="1209"/>
    </row>
    <row r="3744" spans="18:18" ht="39" customHeight="1" x14ac:dyDescent="0.3">
      <c r="R3744" s="1209"/>
    </row>
    <row r="3745" spans="18:18" ht="39" customHeight="1" x14ac:dyDescent="0.3">
      <c r="R3745" s="1209"/>
    </row>
    <row r="3746" spans="18:18" ht="39" customHeight="1" x14ac:dyDescent="0.3">
      <c r="R3746" s="1209"/>
    </row>
    <row r="3747" spans="18:18" ht="39" customHeight="1" x14ac:dyDescent="0.3">
      <c r="R3747" s="1209"/>
    </row>
    <row r="3748" spans="18:18" ht="39" customHeight="1" x14ac:dyDescent="0.3">
      <c r="R3748" s="1209"/>
    </row>
    <row r="3749" spans="18:18" ht="39" customHeight="1" x14ac:dyDescent="0.3">
      <c r="R3749" s="1209"/>
    </row>
    <row r="3750" spans="18:18" ht="39" customHeight="1" x14ac:dyDescent="0.3">
      <c r="R3750" s="1209"/>
    </row>
    <row r="3751" spans="18:18" ht="39" customHeight="1" x14ac:dyDescent="0.3">
      <c r="R3751" s="1209"/>
    </row>
    <row r="3752" spans="18:18" ht="39" customHeight="1" x14ac:dyDescent="0.3">
      <c r="R3752" s="1209"/>
    </row>
    <row r="3753" spans="18:18" ht="39" customHeight="1" x14ac:dyDescent="0.3">
      <c r="R3753" s="1209"/>
    </row>
    <row r="3754" spans="18:18" ht="39" customHeight="1" x14ac:dyDescent="0.3">
      <c r="R3754" s="1209"/>
    </row>
    <row r="3755" spans="18:18" ht="39" customHeight="1" x14ac:dyDescent="0.3">
      <c r="R3755" s="1209"/>
    </row>
    <row r="3756" spans="18:18" ht="39" customHeight="1" x14ac:dyDescent="0.3">
      <c r="R3756" s="1209"/>
    </row>
    <row r="3757" spans="18:18" ht="39" customHeight="1" x14ac:dyDescent="0.3">
      <c r="R3757" s="1209"/>
    </row>
    <row r="3758" spans="18:18" ht="39" customHeight="1" x14ac:dyDescent="0.3">
      <c r="R3758" s="1209"/>
    </row>
    <row r="3759" spans="18:18" ht="39" customHeight="1" x14ac:dyDescent="0.3">
      <c r="R3759" s="1209"/>
    </row>
    <row r="3760" spans="18:18" ht="39" customHeight="1" x14ac:dyDescent="0.3">
      <c r="R3760" s="1209"/>
    </row>
    <row r="3761" spans="18:18" ht="39" customHeight="1" x14ac:dyDescent="0.3">
      <c r="R3761" s="1209"/>
    </row>
    <row r="3762" spans="18:18" ht="39" customHeight="1" x14ac:dyDescent="0.3">
      <c r="R3762" s="1209"/>
    </row>
    <row r="3763" spans="18:18" ht="39" customHeight="1" x14ac:dyDescent="0.3">
      <c r="R3763" s="1209"/>
    </row>
    <row r="3764" spans="18:18" ht="39" customHeight="1" x14ac:dyDescent="0.3">
      <c r="R3764" s="1209"/>
    </row>
    <row r="3765" spans="18:18" ht="39" customHeight="1" x14ac:dyDescent="0.3">
      <c r="R3765" s="1209"/>
    </row>
    <row r="3766" spans="18:18" ht="39" customHeight="1" x14ac:dyDescent="0.3">
      <c r="R3766" s="1209"/>
    </row>
    <row r="3767" spans="18:18" ht="39" customHeight="1" x14ac:dyDescent="0.3">
      <c r="R3767" s="1209"/>
    </row>
    <row r="3768" spans="18:18" ht="39" customHeight="1" x14ac:dyDescent="0.3">
      <c r="R3768" s="1209"/>
    </row>
    <row r="3769" spans="18:18" ht="39" customHeight="1" x14ac:dyDescent="0.3">
      <c r="R3769" s="1209"/>
    </row>
    <row r="3770" spans="18:18" ht="39" customHeight="1" x14ac:dyDescent="0.3">
      <c r="R3770" s="1209"/>
    </row>
    <row r="3771" spans="18:18" ht="39" customHeight="1" x14ac:dyDescent="0.3">
      <c r="R3771" s="1209"/>
    </row>
    <row r="3772" spans="18:18" ht="39" customHeight="1" x14ac:dyDescent="0.3">
      <c r="R3772" s="1209"/>
    </row>
    <row r="3773" spans="18:18" ht="39" customHeight="1" x14ac:dyDescent="0.3">
      <c r="R3773" s="1209"/>
    </row>
    <row r="3774" spans="18:18" ht="39" customHeight="1" x14ac:dyDescent="0.3">
      <c r="R3774" s="1209"/>
    </row>
    <row r="3775" spans="18:18" ht="39" customHeight="1" x14ac:dyDescent="0.3">
      <c r="R3775" s="1209"/>
    </row>
    <row r="3776" spans="18:18" ht="39" customHeight="1" x14ac:dyDescent="0.3">
      <c r="R3776" s="1209"/>
    </row>
    <row r="3777" spans="18:18" ht="39" customHeight="1" x14ac:dyDescent="0.3">
      <c r="R3777" s="1209"/>
    </row>
    <row r="3778" spans="18:18" ht="39" customHeight="1" x14ac:dyDescent="0.3">
      <c r="R3778" s="1209"/>
    </row>
    <row r="3779" spans="18:18" ht="39" customHeight="1" x14ac:dyDescent="0.3">
      <c r="R3779" s="1209"/>
    </row>
    <row r="3780" spans="18:18" ht="39" customHeight="1" x14ac:dyDescent="0.3">
      <c r="R3780" s="1209"/>
    </row>
    <row r="3781" spans="18:18" ht="39" customHeight="1" x14ac:dyDescent="0.3">
      <c r="R3781" s="1209"/>
    </row>
    <row r="3782" spans="18:18" ht="39" customHeight="1" x14ac:dyDescent="0.3">
      <c r="R3782" s="1209"/>
    </row>
    <row r="3783" spans="18:18" ht="39" customHeight="1" x14ac:dyDescent="0.3">
      <c r="R3783" s="1209"/>
    </row>
    <row r="3784" spans="18:18" ht="39" customHeight="1" x14ac:dyDescent="0.3">
      <c r="R3784" s="1209"/>
    </row>
    <row r="3785" spans="18:18" ht="39" customHeight="1" x14ac:dyDescent="0.3">
      <c r="R3785" s="1209"/>
    </row>
    <row r="3786" spans="18:18" ht="39" customHeight="1" x14ac:dyDescent="0.3">
      <c r="R3786" s="1209"/>
    </row>
    <row r="3787" spans="18:18" ht="39" customHeight="1" x14ac:dyDescent="0.3">
      <c r="R3787" s="1209"/>
    </row>
    <row r="3788" spans="18:18" ht="39" customHeight="1" x14ac:dyDescent="0.3">
      <c r="R3788" s="1209"/>
    </row>
    <row r="3789" spans="18:18" ht="39" customHeight="1" x14ac:dyDescent="0.3">
      <c r="R3789" s="1209"/>
    </row>
    <row r="3790" spans="18:18" ht="39" customHeight="1" x14ac:dyDescent="0.3">
      <c r="R3790" s="1209"/>
    </row>
    <row r="3791" spans="18:18" ht="39" customHeight="1" x14ac:dyDescent="0.3">
      <c r="R3791" s="1209"/>
    </row>
    <row r="3792" spans="18:18" ht="39" customHeight="1" x14ac:dyDescent="0.3">
      <c r="R3792" s="1209"/>
    </row>
    <row r="3793" spans="18:18" ht="39" customHeight="1" x14ac:dyDescent="0.3">
      <c r="R3793" s="1209"/>
    </row>
    <row r="3794" spans="18:18" ht="39" customHeight="1" x14ac:dyDescent="0.3">
      <c r="R3794" s="1209"/>
    </row>
    <row r="3795" spans="18:18" ht="39" customHeight="1" x14ac:dyDescent="0.3">
      <c r="R3795" s="1209"/>
    </row>
    <row r="3796" spans="18:18" ht="39" customHeight="1" x14ac:dyDescent="0.3">
      <c r="R3796" s="1209"/>
    </row>
    <row r="3797" spans="18:18" ht="39" customHeight="1" x14ac:dyDescent="0.3">
      <c r="R3797" s="1209"/>
    </row>
    <row r="3798" spans="18:18" ht="39" customHeight="1" x14ac:dyDescent="0.3">
      <c r="R3798" s="1209"/>
    </row>
    <row r="3799" spans="18:18" ht="39" customHeight="1" x14ac:dyDescent="0.3">
      <c r="R3799" s="1209"/>
    </row>
    <row r="3800" spans="18:18" ht="39" customHeight="1" x14ac:dyDescent="0.3">
      <c r="R3800" s="1209"/>
    </row>
    <row r="3801" spans="18:18" ht="39" customHeight="1" x14ac:dyDescent="0.3">
      <c r="R3801" s="1209"/>
    </row>
    <row r="3802" spans="18:18" ht="39" customHeight="1" x14ac:dyDescent="0.3">
      <c r="R3802" s="1209"/>
    </row>
    <row r="3803" spans="18:18" ht="39" customHeight="1" x14ac:dyDescent="0.3">
      <c r="R3803" s="1209"/>
    </row>
    <row r="3804" spans="18:18" ht="39" customHeight="1" x14ac:dyDescent="0.3">
      <c r="R3804" s="1209"/>
    </row>
    <row r="3805" spans="18:18" ht="39" customHeight="1" x14ac:dyDescent="0.3">
      <c r="R3805" s="1209"/>
    </row>
    <row r="3806" spans="18:18" ht="39" customHeight="1" x14ac:dyDescent="0.3">
      <c r="R3806" s="1209"/>
    </row>
    <row r="3807" spans="18:18" ht="39" customHeight="1" x14ac:dyDescent="0.3">
      <c r="R3807" s="1209"/>
    </row>
    <row r="3808" spans="18:18" ht="39" customHeight="1" x14ac:dyDescent="0.3">
      <c r="R3808" s="1209"/>
    </row>
    <row r="3809" spans="18:18" ht="39" customHeight="1" x14ac:dyDescent="0.3">
      <c r="R3809" s="1209"/>
    </row>
    <row r="3810" spans="18:18" ht="39" customHeight="1" x14ac:dyDescent="0.3">
      <c r="R3810" s="1209"/>
    </row>
    <row r="3811" spans="18:18" ht="39" customHeight="1" x14ac:dyDescent="0.3">
      <c r="R3811" s="1209"/>
    </row>
    <row r="3812" spans="18:18" ht="39" customHeight="1" x14ac:dyDescent="0.3">
      <c r="R3812" s="1209"/>
    </row>
    <row r="3813" spans="18:18" ht="39" customHeight="1" x14ac:dyDescent="0.3">
      <c r="R3813" s="1209"/>
    </row>
    <row r="3814" spans="18:18" ht="39" customHeight="1" x14ac:dyDescent="0.3">
      <c r="R3814" s="1209"/>
    </row>
    <row r="3815" spans="18:18" ht="39" customHeight="1" x14ac:dyDescent="0.3">
      <c r="R3815" s="1209"/>
    </row>
    <row r="3816" spans="18:18" ht="39" customHeight="1" x14ac:dyDescent="0.3">
      <c r="R3816" s="1209"/>
    </row>
    <row r="3817" spans="18:18" ht="39" customHeight="1" x14ac:dyDescent="0.3">
      <c r="R3817" s="1209"/>
    </row>
    <row r="3818" spans="18:18" ht="39" customHeight="1" x14ac:dyDescent="0.3">
      <c r="R3818" s="1209"/>
    </row>
    <row r="3819" spans="18:18" ht="39" customHeight="1" x14ac:dyDescent="0.3">
      <c r="R3819" s="1209"/>
    </row>
    <row r="3820" spans="18:18" ht="39" customHeight="1" x14ac:dyDescent="0.3">
      <c r="R3820" s="1209"/>
    </row>
    <row r="3821" spans="18:18" ht="39" customHeight="1" x14ac:dyDescent="0.3">
      <c r="R3821" s="1209"/>
    </row>
    <row r="3822" spans="18:18" ht="39" customHeight="1" x14ac:dyDescent="0.3">
      <c r="R3822" s="1209"/>
    </row>
    <row r="3823" spans="18:18" ht="39" customHeight="1" x14ac:dyDescent="0.3">
      <c r="R3823" s="1209"/>
    </row>
    <row r="3824" spans="18:18" ht="39" customHeight="1" x14ac:dyDescent="0.3">
      <c r="R3824" s="1209"/>
    </row>
    <row r="3825" spans="18:18" ht="39" customHeight="1" x14ac:dyDescent="0.3">
      <c r="R3825" s="1209"/>
    </row>
    <row r="3826" spans="18:18" ht="39" customHeight="1" x14ac:dyDescent="0.3">
      <c r="R3826" s="1209"/>
    </row>
    <row r="3827" spans="18:18" ht="39" customHeight="1" x14ac:dyDescent="0.3">
      <c r="R3827" s="1209"/>
    </row>
    <row r="3828" spans="18:18" ht="39" customHeight="1" x14ac:dyDescent="0.3">
      <c r="R3828" s="1209"/>
    </row>
    <row r="3829" spans="18:18" ht="39" customHeight="1" x14ac:dyDescent="0.3">
      <c r="R3829" s="1209"/>
    </row>
    <row r="3830" spans="18:18" ht="39" customHeight="1" x14ac:dyDescent="0.3">
      <c r="R3830" s="1209"/>
    </row>
    <row r="3831" spans="18:18" ht="39" customHeight="1" x14ac:dyDescent="0.3">
      <c r="R3831" s="1209"/>
    </row>
    <row r="3832" spans="18:18" ht="39" customHeight="1" x14ac:dyDescent="0.3">
      <c r="R3832" s="1209"/>
    </row>
    <row r="3833" spans="18:18" ht="39" customHeight="1" x14ac:dyDescent="0.3">
      <c r="R3833" s="1209"/>
    </row>
    <row r="3834" spans="18:18" ht="39" customHeight="1" x14ac:dyDescent="0.3">
      <c r="R3834" s="1209"/>
    </row>
    <row r="3835" spans="18:18" ht="39" customHeight="1" x14ac:dyDescent="0.3">
      <c r="R3835" s="1209"/>
    </row>
    <row r="3836" spans="18:18" ht="39" customHeight="1" x14ac:dyDescent="0.3">
      <c r="R3836" s="1209"/>
    </row>
    <row r="3837" spans="18:18" ht="39" customHeight="1" x14ac:dyDescent="0.3">
      <c r="R3837" s="1209"/>
    </row>
    <row r="3838" spans="18:18" ht="39" customHeight="1" x14ac:dyDescent="0.3">
      <c r="R3838" s="1209"/>
    </row>
    <row r="3839" spans="18:18" ht="39" customHeight="1" x14ac:dyDescent="0.3">
      <c r="R3839" s="1209"/>
    </row>
    <row r="3840" spans="18:18" ht="39" customHeight="1" x14ac:dyDescent="0.3">
      <c r="R3840" s="1209"/>
    </row>
    <row r="3841" spans="18:18" ht="39" customHeight="1" x14ac:dyDescent="0.3">
      <c r="R3841" s="1209"/>
    </row>
    <row r="3842" spans="18:18" ht="39" customHeight="1" x14ac:dyDescent="0.3">
      <c r="R3842" s="1209"/>
    </row>
    <row r="3843" spans="18:18" ht="39" customHeight="1" x14ac:dyDescent="0.3">
      <c r="R3843" s="1209"/>
    </row>
    <row r="3844" spans="18:18" ht="39" customHeight="1" x14ac:dyDescent="0.3">
      <c r="R3844" s="1209"/>
    </row>
    <row r="3845" spans="18:18" ht="39" customHeight="1" x14ac:dyDescent="0.3">
      <c r="R3845" s="1209"/>
    </row>
    <row r="3846" spans="18:18" ht="39" customHeight="1" x14ac:dyDescent="0.3">
      <c r="R3846" s="1209"/>
    </row>
    <row r="3847" spans="18:18" ht="39" customHeight="1" x14ac:dyDescent="0.3">
      <c r="R3847" s="1209"/>
    </row>
    <row r="3848" spans="18:18" ht="39" customHeight="1" x14ac:dyDescent="0.3">
      <c r="R3848" s="1209"/>
    </row>
    <row r="3849" spans="18:18" ht="39" customHeight="1" x14ac:dyDescent="0.3">
      <c r="R3849" s="1209"/>
    </row>
    <row r="3850" spans="18:18" ht="39" customHeight="1" x14ac:dyDescent="0.3">
      <c r="R3850" s="1209"/>
    </row>
    <row r="3851" spans="18:18" ht="39" customHeight="1" x14ac:dyDescent="0.3">
      <c r="R3851" s="1209"/>
    </row>
    <row r="3852" spans="18:18" ht="39" customHeight="1" x14ac:dyDescent="0.3">
      <c r="R3852" s="1209"/>
    </row>
    <row r="3853" spans="18:18" ht="39" customHeight="1" x14ac:dyDescent="0.3">
      <c r="R3853" s="1209"/>
    </row>
    <row r="3854" spans="18:18" ht="39" customHeight="1" x14ac:dyDescent="0.3">
      <c r="R3854" s="1209"/>
    </row>
    <row r="3855" spans="18:18" ht="39" customHeight="1" x14ac:dyDescent="0.3">
      <c r="R3855" s="1209"/>
    </row>
    <row r="3856" spans="18:18" ht="39" customHeight="1" x14ac:dyDescent="0.3">
      <c r="R3856" s="1209"/>
    </row>
    <row r="3857" spans="18:18" ht="39" customHeight="1" x14ac:dyDescent="0.3">
      <c r="R3857" s="1209"/>
    </row>
    <row r="3858" spans="18:18" ht="39" customHeight="1" x14ac:dyDescent="0.3">
      <c r="R3858" s="1209"/>
    </row>
    <row r="3859" spans="18:18" ht="39" customHeight="1" x14ac:dyDescent="0.3">
      <c r="R3859" s="1209"/>
    </row>
    <row r="3860" spans="18:18" ht="39" customHeight="1" x14ac:dyDescent="0.3">
      <c r="R3860" s="1209"/>
    </row>
    <row r="3861" spans="18:18" ht="39" customHeight="1" x14ac:dyDescent="0.3">
      <c r="R3861" s="1209"/>
    </row>
    <row r="3862" spans="18:18" ht="39" customHeight="1" x14ac:dyDescent="0.3">
      <c r="R3862" s="1209"/>
    </row>
    <row r="3863" spans="18:18" ht="39" customHeight="1" x14ac:dyDescent="0.3">
      <c r="R3863" s="1209"/>
    </row>
    <row r="3864" spans="18:18" ht="39" customHeight="1" x14ac:dyDescent="0.3">
      <c r="R3864" s="1209"/>
    </row>
    <row r="3865" spans="18:18" ht="39" customHeight="1" x14ac:dyDescent="0.3">
      <c r="R3865" s="1209"/>
    </row>
    <row r="3866" spans="18:18" ht="39" customHeight="1" x14ac:dyDescent="0.3">
      <c r="R3866" s="1209"/>
    </row>
    <row r="3867" spans="18:18" ht="39" customHeight="1" x14ac:dyDescent="0.3">
      <c r="R3867" s="1209"/>
    </row>
    <row r="3868" spans="18:18" ht="39" customHeight="1" x14ac:dyDescent="0.3">
      <c r="R3868" s="1209"/>
    </row>
    <row r="3869" spans="18:18" ht="39" customHeight="1" x14ac:dyDescent="0.3">
      <c r="R3869" s="1209"/>
    </row>
    <row r="3870" spans="18:18" ht="39" customHeight="1" x14ac:dyDescent="0.3">
      <c r="R3870" s="1209"/>
    </row>
    <row r="3871" spans="18:18" ht="39" customHeight="1" x14ac:dyDescent="0.3">
      <c r="R3871" s="1209"/>
    </row>
    <row r="3872" spans="18:18" ht="39" customHeight="1" x14ac:dyDescent="0.3">
      <c r="R3872" s="1209"/>
    </row>
    <row r="3873" spans="18:18" ht="39" customHeight="1" x14ac:dyDescent="0.3">
      <c r="R3873" s="1209"/>
    </row>
    <row r="3874" spans="18:18" ht="39" customHeight="1" x14ac:dyDescent="0.3">
      <c r="R3874" s="1209"/>
    </row>
    <row r="3875" spans="18:18" ht="39" customHeight="1" x14ac:dyDescent="0.3">
      <c r="R3875" s="1209"/>
    </row>
    <row r="3876" spans="18:18" ht="39" customHeight="1" x14ac:dyDescent="0.3">
      <c r="R3876" s="1209"/>
    </row>
    <row r="3877" spans="18:18" ht="39" customHeight="1" x14ac:dyDescent="0.3">
      <c r="R3877" s="1209"/>
    </row>
    <row r="3878" spans="18:18" ht="39" customHeight="1" x14ac:dyDescent="0.3">
      <c r="R3878" s="1209"/>
    </row>
    <row r="3879" spans="18:18" ht="39" customHeight="1" x14ac:dyDescent="0.3">
      <c r="R3879" s="1209"/>
    </row>
    <row r="3880" spans="18:18" ht="39" customHeight="1" x14ac:dyDescent="0.3">
      <c r="R3880" s="1209"/>
    </row>
    <row r="3881" spans="18:18" ht="39" customHeight="1" x14ac:dyDescent="0.3">
      <c r="R3881" s="1209"/>
    </row>
    <row r="3882" spans="18:18" ht="39" customHeight="1" x14ac:dyDescent="0.3">
      <c r="R3882" s="1209"/>
    </row>
    <row r="3883" spans="18:18" ht="39" customHeight="1" x14ac:dyDescent="0.3">
      <c r="R3883" s="1209"/>
    </row>
    <row r="3884" spans="18:18" ht="39" customHeight="1" x14ac:dyDescent="0.3">
      <c r="R3884" s="1209"/>
    </row>
    <row r="3885" spans="18:18" ht="39" customHeight="1" x14ac:dyDescent="0.3">
      <c r="R3885" s="1209"/>
    </row>
    <row r="3886" spans="18:18" ht="39" customHeight="1" x14ac:dyDescent="0.3">
      <c r="R3886" s="1209"/>
    </row>
    <row r="3887" spans="18:18" ht="39" customHeight="1" x14ac:dyDescent="0.3">
      <c r="R3887" s="1209"/>
    </row>
    <row r="3888" spans="18:18" ht="39" customHeight="1" x14ac:dyDescent="0.3">
      <c r="R3888" s="1209"/>
    </row>
    <row r="3889" spans="18:18" ht="39" customHeight="1" x14ac:dyDescent="0.3">
      <c r="R3889" s="1209"/>
    </row>
    <row r="3890" spans="18:18" ht="39" customHeight="1" x14ac:dyDescent="0.3">
      <c r="R3890" s="1209"/>
    </row>
    <row r="3891" spans="18:18" ht="39" customHeight="1" x14ac:dyDescent="0.3">
      <c r="R3891" s="1209"/>
    </row>
    <row r="3892" spans="18:18" ht="39" customHeight="1" x14ac:dyDescent="0.3">
      <c r="R3892" s="1209"/>
    </row>
    <row r="3893" spans="18:18" ht="39" customHeight="1" x14ac:dyDescent="0.3">
      <c r="R3893" s="1209"/>
    </row>
    <row r="3894" spans="18:18" ht="39" customHeight="1" x14ac:dyDescent="0.3">
      <c r="R3894" s="1209"/>
    </row>
    <row r="3895" spans="18:18" ht="39" customHeight="1" x14ac:dyDescent="0.3">
      <c r="R3895" s="1209"/>
    </row>
    <row r="3896" spans="18:18" ht="39" customHeight="1" x14ac:dyDescent="0.3">
      <c r="R3896" s="1209"/>
    </row>
    <row r="3897" spans="18:18" ht="39" customHeight="1" x14ac:dyDescent="0.3">
      <c r="R3897" s="1209"/>
    </row>
    <row r="3898" spans="18:18" ht="39" customHeight="1" x14ac:dyDescent="0.3">
      <c r="R3898" s="1209"/>
    </row>
    <row r="3899" spans="18:18" ht="39" customHeight="1" x14ac:dyDescent="0.3">
      <c r="R3899" s="1209"/>
    </row>
    <row r="3900" spans="18:18" ht="39" customHeight="1" x14ac:dyDescent="0.3">
      <c r="R3900" s="1209"/>
    </row>
    <row r="3901" spans="18:18" ht="39" customHeight="1" x14ac:dyDescent="0.3">
      <c r="R3901" s="1209"/>
    </row>
    <row r="3902" spans="18:18" ht="39" customHeight="1" x14ac:dyDescent="0.3">
      <c r="R3902" s="1209"/>
    </row>
    <row r="3903" spans="18:18" ht="39" customHeight="1" x14ac:dyDescent="0.3">
      <c r="R3903" s="1209"/>
    </row>
    <row r="3904" spans="18:18" ht="39" customHeight="1" x14ac:dyDescent="0.3">
      <c r="R3904" s="1209"/>
    </row>
    <row r="3905" spans="18:18" ht="39" customHeight="1" x14ac:dyDescent="0.3">
      <c r="R3905" s="1209"/>
    </row>
    <row r="3906" spans="18:18" ht="39" customHeight="1" x14ac:dyDescent="0.3">
      <c r="R3906" s="1209"/>
    </row>
    <row r="3907" spans="18:18" ht="39" customHeight="1" x14ac:dyDescent="0.3">
      <c r="R3907" s="1209"/>
    </row>
    <row r="3908" spans="18:18" ht="39" customHeight="1" x14ac:dyDescent="0.3">
      <c r="R3908" s="1209"/>
    </row>
    <row r="3909" spans="18:18" ht="39" customHeight="1" x14ac:dyDescent="0.3">
      <c r="R3909" s="1209"/>
    </row>
    <row r="3910" spans="18:18" ht="39" customHeight="1" x14ac:dyDescent="0.3">
      <c r="R3910" s="1209"/>
    </row>
    <row r="3911" spans="18:18" ht="39" customHeight="1" x14ac:dyDescent="0.3">
      <c r="R3911" s="1209"/>
    </row>
    <row r="3912" spans="18:18" ht="39" customHeight="1" x14ac:dyDescent="0.3">
      <c r="R3912" s="1209"/>
    </row>
    <row r="3913" spans="18:18" ht="39" customHeight="1" x14ac:dyDescent="0.3">
      <c r="R3913" s="1209"/>
    </row>
    <row r="3914" spans="18:18" ht="39" customHeight="1" x14ac:dyDescent="0.3">
      <c r="R3914" s="1209"/>
    </row>
    <row r="3915" spans="18:18" ht="39" customHeight="1" x14ac:dyDescent="0.3">
      <c r="R3915" s="1209"/>
    </row>
    <row r="3916" spans="18:18" ht="39" customHeight="1" x14ac:dyDescent="0.3">
      <c r="R3916" s="1209"/>
    </row>
    <row r="3917" spans="18:18" ht="39" customHeight="1" x14ac:dyDescent="0.3">
      <c r="R3917" s="1209"/>
    </row>
    <row r="3918" spans="18:18" ht="39" customHeight="1" x14ac:dyDescent="0.3">
      <c r="R3918" s="1209"/>
    </row>
    <row r="3919" spans="18:18" ht="39" customHeight="1" x14ac:dyDescent="0.3">
      <c r="R3919" s="1209"/>
    </row>
    <row r="3920" spans="18:18" ht="39" customHeight="1" x14ac:dyDescent="0.3">
      <c r="R3920" s="1209"/>
    </row>
    <row r="3921" spans="18:18" ht="39" customHeight="1" x14ac:dyDescent="0.3">
      <c r="R3921" s="1209"/>
    </row>
    <row r="3922" spans="18:18" ht="39" customHeight="1" x14ac:dyDescent="0.3">
      <c r="R3922" s="1209"/>
    </row>
    <row r="3923" spans="18:18" ht="39" customHeight="1" x14ac:dyDescent="0.3">
      <c r="R3923" s="1209"/>
    </row>
    <row r="3924" spans="18:18" ht="39" customHeight="1" x14ac:dyDescent="0.3">
      <c r="R3924" s="1209"/>
    </row>
    <row r="3925" spans="18:18" ht="39" customHeight="1" x14ac:dyDescent="0.3">
      <c r="R3925" s="1209"/>
    </row>
    <row r="3926" spans="18:18" ht="39" customHeight="1" x14ac:dyDescent="0.3">
      <c r="R3926" s="1209"/>
    </row>
    <row r="3927" spans="18:18" ht="39" customHeight="1" x14ac:dyDescent="0.3">
      <c r="R3927" s="1209"/>
    </row>
    <row r="3928" spans="18:18" ht="39" customHeight="1" x14ac:dyDescent="0.3">
      <c r="R3928" s="1209"/>
    </row>
    <row r="3929" spans="18:18" ht="39" customHeight="1" x14ac:dyDescent="0.3">
      <c r="R3929" s="1209"/>
    </row>
    <row r="3930" spans="18:18" ht="39" customHeight="1" x14ac:dyDescent="0.3">
      <c r="R3930" s="1209"/>
    </row>
    <row r="3931" spans="18:18" ht="39" customHeight="1" x14ac:dyDescent="0.3">
      <c r="R3931" s="1209"/>
    </row>
    <row r="3932" spans="18:18" ht="39" customHeight="1" x14ac:dyDescent="0.3">
      <c r="R3932" s="1209"/>
    </row>
    <row r="3933" spans="18:18" ht="39" customHeight="1" x14ac:dyDescent="0.3">
      <c r="R3933" s="1209"/>
    </row>
    <row r="3934" spans="18:18" ht="39" customHeight="1" x14ac:dyDescent="0.3">
      <c r="R3934" s="1209"/>
    </row>
    <row r="3935" spans="18:18" ht="39" customHeight="1" x14ac:dyDescent="0.3">
      <c r="R3935" s="1209"/>
    </row>
    <row r="3936" spans="18:18" ht="39" customHeight="1" x14ac:dyDescent="0.3">
      <c r="R3936" s="1209"/>
    </row>
    <row r="3937" spans="18:18" ht="39" customHeight="1" x14ac:dyDescent="0.3">
      <c r="R3937" s="1209"/>
    </row>
    <row r="3938" spans="18:18" ht="39" customHeight="1" x14ac:dyDescent="0.3">
      <c r="R3938" s="1209"/>
    </row>
    <row r="3939" spans="18:18" ht="39" customHeight="1" x14ac:dyDescent="0.3">
      <c r="R3939" s="1209"/>
    </row>
    <row r="3940" spans="18:18" ht="39" customHeight="1" x14ac:dyDescent="0.3">
      <c r="R3940" s="1209"/>
    </row>
    <row r="3941" spans="18:18" ht="39" customHeight="1" x14ac:dyDescent="0.3">
      <c r="R3941" s="1209"/>
    </row>
    <row r="3942" spans="18:18" ht="39" customHeight="1" x14ac:dyDescent="0.3">
      <c r="R3942" s="1209"/>
    </row>
    <row r="3943" spans="18:18" ht="39" customHeight="1" x14ac:dyDescent="0.3">
      <c r="R3943" s="1209"/>
    </row>
    <row r="3944" spans="18:18" ht="39" customHeight="1" x14ac:dyDescent="0.3">
      <c r="R3944" s="1209"/>
    </row>
    <row r="3945" spans="18:18" ht="39" customHeight="1" x14ac:dyDescent="0.3">
      <c r="R3945" s="1209"/>
    </row>
    <row r="3946" spans="18:18" ht="39" customHeight="1" x14ac:dyDescent="0.3">
      <c r="R3946" s="1209"/>
    </row>
    <row r="3947" spans="18:18" ht="39" customHeight="1" x14ac:dyDescent="0.3">
      <c r="R3947" s="1209"/>
    </row>
    <row r="3948" spans="18:18" ht="39" customHeight="1" x14ac:dyDescent="0.3">
      <c r="R3948" s="1209"/>
    </row>
    <row r="3949" spans="18:18" ht="39" customHeight="1" x14ac:dyDescent="0.3">
      <c r="R3949" s="1209"/>
    </row>
    <row r="3950" spans="18:18" ht="39" customHeight="1" x14ac:dyDescent="0.3">
      <c r="R3950" s="1209"/>
    </row>
    <row r="3951" spans="18:18" ht="39" customHeight="1" x14ac:dyDescent="0.3">
      <c r="R3951" s="1209"/>
    </row>
    <row r="3952" spans="18:18" ht="39" customHeight="1" x14ac:dyDescent="0.3">
      <c r="R3952" s="1209"/>
    </row>
    <row r="3953" spans="18:18" ht="39" customHeight="1" x14ac:dyDescent="0.3">
      <c r="R3953" s="1209"/>
    </row>
    <row r="3954" spans="18:18" ht="39" customHeight="1" x14ac:dyDescent="0.3">
      <c r="R3954" s="1209"/>
    </row>
    <row r="3955" spans="18:18" ht="39" customHeight="1" x14ac:dyDescent="0.3">
      <c r="R3955" s="1209"/>
    </row>
    <row r="3956" spans="18:18" ht="39" customHeight="1" x14ac:dyDescent="0.3">
      <c r="R3956" s="1209"/>
    </row>
    <row r="3957" spans="18:18" ht="39" customHeight="1" x14ac:dyDescent="0.3">
      <c r="R3957" s="1209"/>
    </row>
    <row r="3958" spans="18:18" ht="39" customHeight="1" x14ac:dyDescent="0.3">
      <c r="R3958" s="1209"/>
    </row>
    <row r="3959" spans="18:18" ht="39" customHeight="1" x14ac:dyDescent="0.3">
      <c r="R3959" s="1209"/>
    </row>
    <row r="3960" spans="18:18" ht="39" customHeight="1" x14ac:dyDescent="0.3">
      <c r="R3960" s="1209"/>
    </row>
    <row r="3961" spans="18:18" ht="39" customHeight="1" x14ac:dyDescent="0.3">
      <c r="R3961" s="1209"/>
    </row>
    <row r="3962" spans="18:18" ht="39" customHeight="1" x14ac:dyDescent="0.3">
      <c r="R3962" s="1209"/>
    </row>
    <row r="3963" spans="18:18" ht="39" customHeight="1" x14ac:dyDescent="0.3">
      <c r="R3963" s="1209"/>
    </row>
    <row r="3964" spans="18:18" ht="39" customHeight="1" x14ac:dyDescent="0.3">
      <c r="R3964" s="1209"/>
    </row>
    <row r="3965" spans="18:18" ht="39" customHeight="1" x14ac:dyDescent="0.3">
      <c r="R3965" s="1209"/>
    </row>
    <row r="3966" spans="18:18" ht="39" customHeight="1" x14ac:dyDescent="0.3">
      <c r="R3966" s="1209"/>
    </row>
    <row r="3967" spans="18:18" ht="39" customHeight="1" x14ac:dyDescent="0.3">
      <c r="R3967" s="1209"/>
    </row>
    <row r="3968" spans="18:18" ht="39" customHeight="1" x14ac:dyDescent="0.3">
      <c r="R3968" s="1209"/>
    </row>
    <row r="3969" spans="18:18" ht="39" customHeight="1" x14ac:dyDescent="0.3">
      <c r="R3969" s="1209"/>
    </row>
    <row r="3970" spans="18:18" ht="39" customHeight="1" x14ac:dyDescent="0.3">
      <c r="R3970" s="1209"/>
    </row>
    <row r="3971" spans="18:18" ht="39" customHeight="1" x14ac:dyDescent="0.3">
      <c r="R3971" s="1209"/>
    </row>
    <row r="3972" spans="18:18" ht="39" customHeight="1" x14ac:dyDescent="0.3">
      <c r="R3972" s="1209"/>
    </row>
    <row r="3973" spans="18:18" ht="39" customHeight="1" x14ac:dyDescent="0.3">
      <c r="R3973" s="1209"/>
    </row>
    <row r="3974" spans="18:18" ht="39" customHeight="1" x14ac:dyDescent="0.3">
      <c r="R3974" s="1209"/>
    </row>
    <row r="3975" spans="18:18" ht="39" customHeight="1" x14ac:dyDescent="0.3">
      <c r="R3975" s="1209"/>
    </row>
    <row r="3976" spans="18:18" ht="39" customHeight="1" x14ac:dyDescent="0.3">
      <c r="R3976" s="1209"/>
    </row>
    <row r="3977" spans="18:18" ht="39" customHeight="1" x14ac:dyDescent="0.3">
      <c r="R3977" s="1209"/>
    </row>
    <row r="3978" spans="18:18" ht="39" customHeight="1" x14ac:dyDescent="0.3">
      <c r="R3978" s="1209"/>
    </row>
    <row r="3979" spans="18:18" ht="39" customHeight="1" x14ac:dyDescent="0.3">
      <c r="R3979" s="1209"/>
    </row>
    <row r="3980" spans="18:18" ht="39" customHeight="1" x14ac:dyDescent="0.3">
      <c r="R3980" s="1209"/>
    </row>
    <row r="3981" spans="18:18" ht="39" customHeight="1" x14ac:dyDescent="0.3">
      <c r="R3981" s="1209"/>
    </row>
    <row r="3982" spans="18:18" ht="39" customHeight="1" x14ac:dyDescent="0.3">
      <c r="R3982" s="1209"/>
    </row>
    <row r="3983" spans="18:18" ht="39" customHeight="1" x14ac:dyDescent="0.3">
      <c r="R3983" s="1209"/>
    </row>
    <row r="3984" spans="18:18" ht="39" customHeight="1" x14ac:dyDescent="0.3">
      <c r="R3984" s="1209"/>
    </row>
    <row r="3985" spans="18:18" ht="39" customHeight="1" x14ac:dyDescent="0.3">
      <c r="R3985" s="1209"/>
    </row>
    <row r="3986" spans="18:18" ht="39" customHeight="1" x14ac:dyDescent="0.3">
      <c r="R3986" s="1209"/>
    </row>
    <row r="3987" spans="18:18" ht="39" customHeight="1" x14ac:dyDescent="0.3">
      <c r="R3987" s="1209"/>
    </row>
    <row r="3988" spans="18:18" ht="39" customHeight="1" x14ac:dyDescent="0.3">
      <c r="R3988" s="1209"/>
    </row>
    <row r="3989" spans="18:18" ht="39" customHeight="1" x14ac:dyDescent="0.3">
      <c r="R3989" s="1209"/>
    </row>
    <row r="3990" spans="18:18" ht="39" customHeight="1" x14ac:dyDescent="0.3">
      <c r="R3990" s="1209"/>
    </row>
    <row r="3991" spans="18:18" ht="39" customHeight="1" x14ac:dyDescent="0.3">
      <c r="R3991" s="1209"/>
    </row>
    <row r="3992" spans="18:18" ht="39" customHeight="1" x14ac:dyDescent="0.3">
      <c r="R3992" s="1209"/>
    </row>
    <row r="3993" spans="18:18" ht="39" customHeight="1" x14ac:dyDescent="0.3">
      <c r="R3993" s="1209"/>
    </row>
    <row r="3994" spans="18:18" ht="39" customHeight="1" x14ac:dyDescent="0.3">
      <c r="R3994" s="1209"/>
    </row>
    <row r="3995" spans="18:18" ht="39" customHeight="1" x14ac:dyDescent="0.3">
      <c r="R3995" s="1209"/>
    </row>
    <row r="3996" spans="18:18" ht="39" customHeight="1" x14ac:dyDescent="0.3">
      <c r="R3996" s="1209"/>
    </row>
    <row r="3997" spans="18:18" ht="39" customHeight="1" x14ac:dyDescent="0.3">
      <c r="R3997" s="1209"/>
    </row>
    <row r="3998" spans="18:18" ht="39" customHeight="1" x14ac:dyDescent="0.3">
      <c r="R3998" s="1209"/>
    </row>
    <row r="3999" spans="18:18" ht="39" customHeight="1" x14ac:dyDescent="0.3">
      <c r="R3999" s="1209"/>
    </row>
    <row r="4000" spans="18:18" ht="39" customHeight="1" x14ac:dyDescent="0.3">
      <c r="R4000" s="1209"/>
    </row>
    <row r="4001" spans="18:18" ht="39" customHeight="1" x14ac:dyDescent="0.3">
      <c r="R4001" s="1209"/>
    </row>
    <row r="4002" spans="18:18" ht="39" customHeight="1" x14ac:dyDescent="0.3">
      <c r="R4002" s="1209"/>
    </row>
    <row r="4003" spans="18:18" ht="39" customHeight="1" x14ac:dyDescent="0.3">
      <c r="R4003" s="1209"/>
    </row>
    <row r="4004" spans="18:18" ht="39" customHeight="1" x14ac:dyDescent="0.3">
      <c r="R4004" s="1209"/>
    </row>
    <row r="4005" spans="18:18" ht="39" customHeight="1" x14ac:dyDescent="0.3">
      <c r="R4005" s="1209"/>
    </row>
    <row r="4006" spans="18:18" ht="39" customHeight="1" x14ac:dyDescent="0.3">
      <c r="R4006" s="1209"/>
    </row>
    <row r="4007" spans="18:18" ht="39" customHeight="1" x14ac:dyDescent="0.3">
      <c r="R4007" s="1209"/>
    </row>
    <row r="4008" spans="18:18" ht="39" customHeight="1" x14ac:dyDescent="0.3">
      <c r="R4008" s="1209"/>
    </row>
    <row r="4009" spans="18:18" ht="39" customHeight="1" x14ac:dyDescent="0.3">
      <c r="R4009" s="1209"/>
    </row>
    <row r="4010" spans="18:18" ht="39" customHeight="1" x14ac:dyDescent="0.3">
      <c r="R4010" s="1209"/>
    </row>
    <row r="4011" spans="18:18" ht="39" customHeight="1" x14ac:dyDescent="0.3">
      <c r="R4011" s="1209"/>
    </row>
    <row r="4012" spans="18:18" ht="39" customHeight="1" x14ac:dyDescent="0.3">
      <c r="R4012" s="1209"/>
    </row>
    <row r="4013" spans="18:18" ht="39" customHeight="1" x14ac:dyDescent="0.3">
      <c r="R4013" s="1209"/>
    </row>
    <row r="4014" spans="18:18" ht="39" customHeight="1" x14ac:dyDescent="0.3">
      <c r="R4014" s="1209"/>
    </row>
    <row r="4015" spans="18:18" ht="39" customHeight="1" x14ac:dyDescent="0.3">
      <c r="R4015" s="1209"/>
    </row>
    <row r="4016" spans="18:18" ht="39" customHeight="1" x14ac:dyDescent="0.3">
      <c r="R4016" s="1209"/>
    </row>
    <row r="4017" spans="18:18" ht="39" customHeight="1" x14ac:dyDescent="0.3">
      <c r="R4017" s="1209"/>
    </row>
    <row r="4018" spans="18:18" ht="39" customHeight="1" x14ac:dyDescent="0.3">
      <c r="R4018" s="1209"/>
    </row>
    <row r="4019" spans="18:18" ht="39" customHeight="1" x14ac:dyDescent="0.3">
      <c r="R4019" s="1209"/>
    </row>
    <row r="4020" spans="18:18" ht="39" customHeight="1" x14ac:dyDescent="0.3">
      <c r="R4020" s="1209"/>
    </row>
    <row r="4021" spans="18:18" ht="39" customHeight="1" x14ac:dyDescent="0.3">
      <c r="R4021" s="1209"/>
    </row>
    <row r="4022" spans="18:18" ht="39" customHeight="1" x14ac:dyDescent="0.3">
      <c r="R4022" s="1209"/>
    </row>
    <row r="4023" spans="18:18" ht="39" customHeight="1" x14ac:dyDescent="0.3">
      <c r="R4023" s="1209"/>
    </row>
    <row r="4024" spans="18:18" ht="39" customHeight="1" x14ac:dyDescent="0.3">
      <c r="R4024" s="1209"/>
    </row>
    <row r="4025" spans="18:18" ht="39" customHeight="1" x14ac:dyDescent="0.3">
      <c r="R4025" s="1209"/>
    </row>
    <row r="4026" spans="18:18" ht="39" customHeight="1" x14ac:dyDescent="0.3">
      <c r="R4026" s="1209"/>
    </row>
    <row r="4027" spans="18:18" ht="39" customHeight="1" x14ac:dyDescent="0.3">
      <c r="R4027" s="1209"/>
    </row>
    <row r="4028" spans="18:18" ht="39" customHeight="1" x14ac:dyDescent="0.3">
      <c r="R4028" s="1209"/>
    </row>
    <row r="4029" spans="18:18" ht="39" customHeight="1" x14ac:dyDescent="0.3">
      <c r="R4029" s="1209"/>
    </row>
    <row r="4030" spans="18:18" ht="39" customHeight="1" x14ac:dyDescent="0.3">
      <c r="R4030" s="1209"/>
    </row>
    <row r="4031" spans="18:18" ht="39" customHeight="1" x14ac:dyDescent="0.3">
      <c r="R4031" s="1209"/>
    </row>
    <row r="4032" spans="18:18" ht="39" customHeight="1" x14ac:dyDescent="0.3">
      <c r="R4032" s="1209"/>
    </row>
    <row r="4033" spans="18:18" ht="39" customHeight="1" x14ac:dyDescent="0.3">
      <c r="R4033" s="1209"/>
    </row>
    <row r="4034" spans="18:18" ht="39" customHeight="1" x14ac:dyDescent="0.3">
      <c r="R4034" s="1209"/>
    </row>
    <row r="4035" spans="18:18" ht="39" customHeight="1" x14ac:dyDescent="0.3">
      <c r="R4035" s="1209"/>
    </row>
    <row r="4036" spans="18:18" ht="39" customHeight="1" x14ac:dyDescent="0.3">
      <c r="R4036" s="1209"/>
    </row>
    <row r="4037" spans="18:18" ht="39" customHeight="1" x14ac:dyDescent="0.3">
      <c r="R4037" s="1209"/>
    </row>
    <row r="4038" spans="18:18" ht="39" customHeight="1" x14ac:dyDescent="0.3">
      <c r="R4038" s="1209"/>
    </row>
    <row r="4039" spans="18:18" ht="39" customHeight="1" x14ac:dyDescent="0.3">
      <c r="R4039" s="1209"/>
    </row>
    <row r="4040" spans="18:18" ht="39" customHeight="1" x14ac:dyDescent="0.3">
      <c r="R4040" s="1209"/>
    </row>
    <row r="4041" spans="18:18" ht="39" customHeight="1" x14ac:dyDescent="0.3">
      <c r="R4041" s="1209"/>
    </row>
    <row r="4042" spans="18:18" ht="39" customHeight="1" x14ac:dyDescent="0.3">
      <c r="R4042" s="1209"/>
    </row>
    <row r="4043" spans="18:18" ht="39" customHeight="1" x14ac:dyDescent="0.3">
      <c r="R4043" s="1209"/>
    </row>
    <row r="4044" spans="18:18" ht="39" customHeight="1" x14ac:dyDescent="0.3">
      <c r="R4044" s="1209"/>
    </row>
    <row r="4045" spans="18:18" ht="39" customHeight="1" x14ac:dyDescent="0.3">
      <c r="R4045" s="1209"/>
    </row>
    <row r="4046" spans="18:18" ht="39" customHeight="1" x14ac:dyDescent="0.3">
      <c r="R4046" s="1209"/>
    </row>
    <row r="4047" spans="18:18" ht="39" customHeight="1" x14ac:dyDescent="0.3">
      <c r="R4047" s="1209"/>
    </row>
    <row r="4048" spans="18:18" ht="39" customHeight="1" x14ac:dyDescent="0.3">
      <c r="R4048" s="1209"/>
    </row>
    <row r="4049" spans="18:18" ht="39" customHeight="1" x14ac:dyDescent="0.3">
      <c r="R4049" s="1209"/>
    </row>
    <row r="4050" spans="18:18" ht="39" customHeight="1" x14ac:dyDescent="0.3">
      <c r="R4050" s="1209"/>
    </row>
    <row r="4051" spans="18:18" ht="39" customHeight="1" x14ac:dyDescent="0.3">
      <c r="R4051" s="1209"/>
    </row>
    <row r="4052" spans="18:18" ht="39" customHeight="1" x14ac:dyDescent="0.3">
      <c r="R4052" s="1209"/>
    </row>
    <row r="4053" spans="18:18" ht="39" customHeight="1" x14ac:dyDescent="0.3">
      <c r="R4053" s="1209"/>
    </row>
    <row r="4054" spans="18:18" ht="39" customHeight="1" x14ac:dyDescent="0.3">
      <c r="R4054" s="1209"/>
    </row>
    <row r="4055" spans="18:18" ht="39" customHeight="1" x14ac:dyDescent="0.3">
      <c r="R4055" s="1209"/>
    </row>
    <row r="4056" spans="18:18" ht="39" customHeight="1" x14ac:dyDescent="0.3">
      <c r="R4056" s="1209"/>
    </row>
    <row r="4057" spans="18:18" ht="39" customHeight="1" x14ac:dyDescent="0.3">
      <c r="R4057" s="1209"/>
    </row>
    <row r="4058" spans="18:18" ht="39" customHeight="1" x14ac:dyDescent="0.3">
      <c r="R4058" s="1209"/>
    </row>
    <row r="4059" spans="18:18" ht="39" customHeight="1" x14ac:dyDescent="0.3">
      <c r="R4059" s="1209"/>
    </row>
    <row r="4060" spans="18:18" ht="39" customHeight="1" x14ac:dyDescent="0.3">
      <c r="R4060" s="1209"/>
    </row>
    <row r="4061" spans="18:18" ht="39" customHeight="1" x14ac:dyDescent="0.3">
      <c r="R4061" s="1209"/>
    </row>
    <row r="4062" spans="18:18" ht="39" customHeight="1" x14ac:dyDescent="0.3">
      <c r="R4062" s="1209"/>
    </row>
    <row r="4063" spans="18:18" ht="39" customHeight="1" x14ac:dyDescent="0.3">
      <c r="R4063" s="1209"/>
    </row>
    <row r="4064" spans="18:18" ht="39" customHeight="1" x14ac:dyDescent="0.3">
      <c r="R4064" s="1209"/>
    </row>
    <row r="4065" spans="18:18" ht="39" customHeight="1" x14ac:dyDescent="0.3">
      <c r="R4065" s="1209"/>
    </row>
    <row r="4066" spans="18:18" ht="39" customHeight="1" x14ac:dyDescent="0.3">
      <c r="R4066" s="1209"/>
    </row>
    <row r="4067" spans="18:18" ht="39" customHeight="1" x14ac:dyDescent="0.3">
      <c r="R4067" s="1209"/>
    </row>
    <row r="4068" spans="18:18" ht="39" customHeight="1" x14ac:dyDescent="0.3">
      <c r="R4068" s="1209"/>
    </row>
    <row r="4069" spans="18:18" ht="39" customHeight="1" x14ac:dyDescent="0.3">
      <c r="R4069" s="1209"/>
    </row>
    <row r="4070" spans="18:18" ht="39" customHeight="1" x14ac:dyDescent="0.3">
      <c r="R4070" s="1209"/>
    </row>
    <row r="4071" spans="18:18" ht="39" customHeight="1" x14ac:dyDescent="0.3">
      <c r="R4071" s="1209"/>
    </row>
    <row r="4072" spans="18:18" ht="39" customHeight="1" x14ac:dyDescent="0.3">
      <c r="R4072" s="1209"/>
    </row>
    <row r="4073" spans="18:18" ht="39" customHeight="1" x14ac:dyDescent="0.3">
      <c r="R4073" s="1209"/>
    </row>
    <row r="4074" spans="18:18" ht="39" customHeight="1" x14ac:dyDescent="0.3">
      <c r="R4074" s="1209"/>
    </row>
    <row r="4075" spans="18:18" ht="39" customHeight="1" x14ac:dyDescent="0.3">
      <c r="R4075" s="1209"/>
    </row>
    <row r="4076" spans="18:18" ht="39" customHeight="1" x14ac:dyDescent="0.3">
      <c r="R4076" s="1209"/>
    </row>
    <row r="4077" spans="18:18" ht="39" customHeight="1" x14ac:dyDescent="0.3">
      <c r="R4077" s="1209"/>
    </row>
    <row r="4078" spans="18:18" ht="39" customHeight="1" x14ac:dyDescent="0.3">
      <c r="R4078" s="1209"/>
    </row>
    <row r="4079" spans="18:18" ht="39" customHeight="1" x14ac:dyDescent="0.3">
      <c r="R4079" s="1209"/>
    </row>
    <row r="4080" spans="18:18" ht="39" customHeight="1" x14ac:dyDescent="0.3">
      <c r="R4080" s="1209"/>
    </row>
    <row r="4081" spans="18:18" ht="39" customHeight="1" x14ac:dyDescent="0.3">
      <c r="R4081" s="1209"/>
    </row>
    <row r="4082" spans="18:18" ht="39" customHeight="1" x14ac:dyDescent="0.3">
      <c r="R4082" s="1209"/>
    </row>
    <row r="4083" spans="18:18" ht="39" customHeight="1" x14ac:dyDescent="0.3">
      <c r="R4083" s="1209"/>
    </row>
    <row r="4084" spans="18:18" ht="39" customHeight="1" x14ac:dyDescent="0.3">
      <c r="R4084" s="1209"/>
    </row>
    <row r="4085" spans="18:18" ht="39" customHeight="1" x14ac:dyDescent="0.3">
      <c r="R4085" s="1209"/>
    </row>
    <row r="4086" spans="18:18" ht="39" customHeight="1" x14ac:dyDescent="0.3">
      <c r="R4086" s="1209"/>
    </row>
    <row r="4087" spans="18:18" ht="39" customHeight="1" x14ac:dyDescent="0.3">
      <c r="R4087" s="1209"/>
    </row>
    <row r="4088" spans="18:18" ht="39" customHeight="1" x14ac:dyDescent="0.3">
      <c r="R4088" s="1209"/>
    </row>
    <row r="4089" spans="18:18" ht="39" customHeight="1" x14ac:dyDescent="0.3">
      <c r="R4089" s="1209"/>
    </row>
    <row r="4090" spans="18:18" ht="39" customHeight="1" x14ac:dyDescent="0.3">
      <c r="R4090" s="1209"/>
    </row>
    <row r="4091" spans="18:18" ht="39" customHeight="1" x14ac:dyDescent="0.3">
      <c r="R4091" s="1209"/>
    </row>
    <row r="4092" spans="18:18" ht="39" customHeight="1" x14ac:dyDescent="0.3">
      <c r="R4092" s="1209"/>
    </row>
    <row r="4093" spans="18:18" ht="39" customHeight="1" x14ac:dyDescent="0.3">
      <c r="R4093" s="1209"/>
    </row>
    <row r="4094" spans="18:18" ht="39" customHeight="1" x14ac:dyDescent="0.3">
      <c r="R4094" s="1209"/>
    </row>
    <row r="4095" spans="18:18" ht="39" customHeight="1" x14ac:dyDescent="0.3">
      <c r="R4095" s="1209"/>
    </row>
    <row r="4096" spans="18:18" ht="39" customHeight="1" x14ac:dyDescent="0.3">
      <c r="R4096" s="1209"/>
    </row>
    <row r="4097" spans="18:18" ht="39" customHeight="1" x14ac:dyDescent="0.3">
      <c r="R4097" s="1209"/>
    </row>
    <row r="4098" spans="18:18" ht="39" customHeight="1" x14ac:dyDescent="0.3">
      <c r="R4098" s="1209"/>
    </row>
    <row r="4099" spans="18:18" ht="39" customHeight="1" x14ac:dyDescent="0.3">
      <c r="R4099" s="1209"/>
    </row>
    <row r="4100" spans="18:18" ht="39" customHeight="1" x14ac:dyDescent="0.3">
      <c r="R4100" s="1209"/>
    </row>
    <row r="4101" spans="18:18" ht="39" customHeight="1" x14ac:dyDescent="0.3">
      <c r="R4101" s="1209"/>
    </row>
    <row r="4102" spans="18:18" ht="39" customHeight="1" x14ac:dyDescent="0.3">
      <c r="R4102" s="1209"/>
    </row>
    <row r="4103" spans="18:18" ht="39" customHeight="1" x14ac:dyDescent="0.3">
      <c r="R4103" s="1209"/>
    </row>
    <row r="4104" spans="18:18" ht="39" customHeight="1" x14ac:dyDescent="0.3">
      <c r="R4104" s="1209"/>
    </row>
    <row r="4105" spans="18:18" ht="39" customHeight="1" x14ac:dyDescent="0.3">
      <c r="R4105" s="1209"/>
    </row>
    <row r="4106" spans="18:18" ht="39" customHeight="1" x14ac:dyDescent="0.3">
      <c r="R4106" s="1209"/>
    </row>
    <row r="4107" spans="18:18" ht="39" customHeight="1" x14ac:dyDescent="0.3">
      <c r="R4107" s="1209"/>
    </row>
    <row r="4108" spans="18:18" ht="39" customHeight="1" x14ac:dyDescent="0.3">
      <c r="R4108" s="1209"/>
    </row>
    <row r="4109" spans="18:18" ht="39" customHeight="1" x14ac:dyDescent="0.3">
      <c r="R4109" s="1209"/>
    </row>
    <row r="4110" spans="18:18" ht="39" customHeight="1" x14ac:dyDescent="0.3">
      <c r="R4110" s="1209"/>
    </row>
    <row r="4111" spans="18:18" ht="39" customHeight="1" x14ac:dyDescent="0.3">
      <c r="R4111" s="1209"/>
    </row>
    <row r="4112" spans="18:18" ht="39" customHeight="1" x14ac:dyDescent="0.3">
      <c r="R4112" s="1209"/>
    </row>
    <row r="4113" spans="18:18" ht="39" customHeight="1" x14ac:dyDescent="0.3">
      <c r="R4113" s="1209"/>
    </row>
    <row r="4114" spans="18:18" ht="39" customHeight="1" x14ac:dyDescent="0.3">
      <c r="R4114" s="1209"/>
    </row>
    <row r="4115" spans="18:18" ht="39" customHeight="1" x14ac:dyDescent="0.3">
      <c r="R4115" s="1209"/>
    </row>
    <row r="4116" spans="18:18" ht="39" customHeight="1" x14ac:dyDescent="0.3">
      <c r="R4116" s="1209"/>
    </row>
    <row r="4117" spans="18:18" ht="39" customHeight="1" x14ac:dyDescent="0.3">
      <c r="R4117" s="1209"/>
    </row>
    <row r="4118" spans="18:18" ht="39" customHeight="1" x14ac:dyDescent="0.3">
      <c r="R4118" s="1209"/>
    </row>
    <row r="4119" spans="18:18" ht="39" customHeight="1" x14ac:dyDescent="0.3">
      <c r="R4119" s="1209"/>
    </row>
    <row r="4120" spans="18:18" ht="39" customHeight="1" x14ac:dyDescent="0.3">
      <c r="R4120" s="1209"/>
    </row>
    <row r="4121" spans="18:18" ht="39" customHeight="1" x14ac:dyDescent="0.3">
      <c r="R4121" s="1209"/>
    </row>
    <row r="4122" spans="18:18" ht="39" customHeight="1" x14ac:dyDescent="0.3">
      <c r="R4122" s="1209"/>
    </row>
    <row r="4123" spans="18:18" ht="39" customHeight="1" x14ac:dyDescent="0.3">
      <c r="R4123" s="1209"/>
    </row>
    <row r="4124" spans="18:18" ht="39" customHeight="1" x14ac:dyDescent="0.3">
      <c r="R4124" s="1209"/>
    </row>
    <row r="4125" spans="18:18" ht="39" customHeight="1" x14ac:dyDescent="0.3">
      <c r="R4125" s="1209"/>
    </row>
    <row r="4126" spans="18:18" ht="39" customHeight="1" x14ac:dyDescent="0.3">
      <c r="R4126" s="1209"/>
    </row>
    <row r="4127" spans="18:18" ht="39" customHeight="1" x14ac:dyDescent="0.3">
      <c r="R4127" s="1209"/>
    </row>
    <row r="4128" spans="18:18" ht="39" customHeight="1" x14ac:dyDescent="0.3">
      <c r="R4128" s="1209"/>
    </row>
    <row r="4129" spans="18:18" ht="39" customHeight="1" x14ac:dyDescent="0.3">
      <c r="R4129" s="1209"/>
    </row>
    <row r="4130" spans="18:18" ht="39" customHeight="1" x14ac:dyDescent="0.3">
      <c r="R4130" s="1209"/>
    </row>
    <row r="4131" spans="18:18" ht="39" customHeight="1" x14ac:dyDescent="0.3">
      <c r="R4131" s="1209"/>
    </row>
    <row r="4132" spans="18:18" ht="39" customHeight="1" x14ac:dyDescent="0.3">
      <c r="R4132" s="1209"/>
    </row>
    <row r="4133" spans="18:18" ht="39" customHeight="1" x14ac:dyDescent="0.3">
      <c r="R4133" s="1209"/>
    </row>
    <row r="4134" spans="18:18" ht="39" customHeight="1" x14ac:dyDescent="0.3">
      <c r="R4134" s="1209"/>
    </row>
    <row r="4135" spans="18:18" ht="39" customHeight="1" x14ac:dyDescent="0.3">
      <c r="R4135" s="1209"/>
    </row>
    <row r="4136" spans="18:18" ht="39" customHeight="1" x14ac:dyDescent="0.3">
      <c r="R4136" s="1209"/>
    </row>
    <row r="4137" spans="18:18" ht="39" customHeight="1" x14ac:dyDescent="0.3">
      <c r="R4137" s="1209"/>
    </row>
    <row r="4138" spans="18:18" ht="39" customHeight="1" x14ac:dyDescent="0.3">
      <c r="R4138" s="1209"/>
    </row>
    <row r="4139" spans="18:18" ht="39" customHeight="1" x14ac:dyDescent="0.3">
      <c r="R4139" s="1209"/>
    </row>
    <row r="4140" spans="18:18" ht="39" customHeight="1" x14ac:dyDescent="0.3">
      <c r="R4140" s="1209"/>
    </row>
    <row r="4141" spans="18:18" ht="39" customHeight="1" x14ac:dyDescent="0.3">
      <c r="R4141" s="1209"/>
    </row>
    <row r="4142" spans="18:18" ht="39" customHeight="1" x14ac:dyDescent="0.3">
      <c r="R4142" s="1209"/>
    </row>
    <row r="4143" spans="18:18" ht="39" customHeight="1" x14ac:dyDescent="0.3">
      <c r="R4143" s="1209"/>
    </row>
    <row r="4144" spans="18:18" ht="39" customHeight="1" x14ac:dyDescent="0.3">
      <c r="R4144" s="1209"/>
    </row>
    <row r="4145" spans="18:18" ht="39" customHeight="1" x14ac:dyDescent="0.3">
      <c r="R4145" s="1209"/>
    </row>
    <row r="4146" spans="18:18" ht="39" customHeight="1" x14ac:dyDescent="0.3">
      <c r="R4146" s="1209"/>
    </row>
    <row r="4147" spans="18:18" ht="39" customHeight="1" x14ac:dyDescent="0.3">
      <c r="R4147" s="1209"/>
    </row>
    <row r="4148" spans="18:18" ht="39" customHeight="1" x14ac:dyDescent="0.3">
      <c r="R4148" s="1209"/>
    </row>
    <row r="4149" spans="18:18" ht="39" customHeight="1" x14ac:dyDescent="0.3">
      <c r="R4149" s="1209"/>
    </row>
    <row r="4150" spans="18:18" ht="39" customHeight="1" x14ac:dyDescent="0.3">
      <c r="R4150" s="1209"/>
    </row>
    <row r="4151" spans="18:18" ht="39" customHeight="1" x14ac:dyDescent="0.3">
      <c r="R4151" s="1209"/>
    </row>
    <row r="4152" spans="18:18" ht="39" customHeight="1" x14ac:dyDescent="0.3">
      <c r="R4152" s="1209"/>
    </row>
    <row r="4153" spans="18:18" ht="39" customHeight="1" x14ac:dyDescent="0.3">
      <c r="R4153" s="1209"/>
    </row>
    <row r="4154" spans="18:18" ht="39" customHeight="1" x14ac:dyDescent="0.3">
      <c r="R4154" s="1209"/>
    </row>
    <row r="4155" spans="18:18" ht="39" customHeight="1" x14ac:dyDescent="0.3">
      <c r="R4155" s="1209"/>
    </row>
    <row r="4156" spans="18:18" ht="39" customHeight="1" x14ac:dyDescent="0.3">
      <c r="R4156" s="1209"/>
    </row>
    <row r="4157" spans="18:18" ht="39" customHeight="1" x14ac:dyDescent="0.3">
      <c r="R4157" s="1209"/>
    </row>
    <row r="4158" spans="18:18" ht="39" customHeight="1" x14ac:dyDescent="0.3">
      <c r="R4158" s="1209"/>
    </row>
    <row r="4159" spans="18:18" ht="39" customHeight="1" x14ac:dyDescent="0.3">
      <c r="R4159" s="1209"/>
    </row>
    <row r="4160" spans="18:18" ht="39" customHeight="1" x14ac:dyDescent="0.3">
      <c r="R4160" s="1209"/>
    </row>
    <row r="4161" spans="18:18" ht="39" customHeight="1" x14ac:dyDescent="0.3">
      <c r="R4161" s="1209"/>
    </row>
    <row r="4162" spans="18:18" ht="39" customHeight="1" x14ac:dyDescent="0.3">
      <c r="R4162" s="1209"/>
    </row>
    <row r="4163" spans="18:18" ht="39" customHeight="1" x14ac:dyDescent="0.3">
      <c r="R4163" s="1209"/>
    </row>
    <row r="4164" spans="18:18" ht="39" customHeight="1" x14ac:dyDescent="0.3">
      <c r="R4164" s="1209"/>
    </row>
    <row r="4165" spans="18:18" ht="39" customHeight="1" x14ac:dyDescent="0.3">
      <c r="R4165" s="1209"/>
    </row>
    <row r="4166" spans="18:18" ht="39" customHeight="1" x14ac:dyDescent="0.3">
      <c r="R4166" s="1209"/>
    </row>
    <row r="4167" spans="18:18" ht="39" customHeight="1" x14ac:dyDescent="0.3">
      <c r="R4167" s="1209"/>
    </row>
    <row r="4168" spans="18:18" ht="39" customHeight="1" x14ac:dyDescent="0.3">
      <c r="R4168" s="1209"/>
    </row>
    <row r="4169" spans="18:18" ht="39" customHeight="1" x14ac:dyDescent="0.3">
      <c r="R4169" s="1209"/>
    </row>
    <row r="4170" spans="18:18" ht="39" customHeight="1" x14ac:dyDescent="0.3">
      <c r="R4170" s="1209"/>
    </row>
    <row r="4171" spans="18:18" ht="39" customHeight="1" x14ac:dyDescent="0.3">
      <c r="R4171" s="1209"/>
    </row>
    <row r="4172" spans="18:18" ht="39" customHeight="1" x14ac:dyDescent="0.3">
      <c r="R4172" s="1209"/>
    </row>
    <row r="4173" spans="18:18" ht="39" customHeight="1" x14ac:dyDescent="0.3">
      <c r="R4173" s="1209"/>
    </row>
    <row r="4174" spans="18:18" ht="39" customHeight="1" x14ac:dyDescent="0.3">
      <c r="R4174" s="1209"/>
    </row>
    <row r="4175" spans="18:18" ht="39" customHeight="1" x14ac:dyDescent="0.3">
      <c r="R4175" s="1209"/>
    </row>
    <row r="4176" spans="18:18" ht="39" customHeight="1" x14ac:dyDescent="0.3">
      <c r="R4176" s="1209"/>
    </row>
    <row r="4177" spans="18:18" ht="39" customHeight="1" x14ac:dyDescent="0.3">
      <c r="R4177" s="1209"/>
    </row>
    <row r="4178" spans="18:18" ht="39" customHeight="1" x14ac:dyDescent="0.3">
      <c r="R4178" s="1209"/>
    </row>
    <row r="4179" spans="18:18" ht="39" customHeight="1" x14ac:dyDescent="0.3">
      <c r="R4179" s="1209"/>
    </row>
    <row r="4180" spans="18:18" ht="39" customHeight="1" x14ac:dyDescent="0.3">
      <c r="R4180" s="1209"/>
    </row>
    <row r="4181" spans="18:18" ht="39" customHeight="1" x14ac:dyDescent="0.3">
      <c r="R4181" s="1209"/>
    </row>
    <row r="4182" spans="18:18" ht="39" customHeight="1" x14ac:dyDescent="0.3">
      <c r="R4182" s="1209"/>
    </row>
    <row r="4183" spans="18:18" ht="39" customHeight="1" x14ac:dyDescent="0.3">
      <c r="R4183" s="1209"/>
    </row>
    <row r="4184" spans="18:18" ht="39" customHeight="1" x14ac:dyDescent="0.3">
      <c r="R4184" s="1209"/>
    </row>
    <row r="4185" spans="18:18" ht="39" customHeight="1" x14ac:dyDescent="0.3">
      <c r="R4185" s="1209"/>
    </row>
    <row r="4186" spans="18:18" ht="39" customHeight="1" x14ac:dyDescent="0.3">
      <c r="R4186" s="1209"/>
    </row>
    <row r="4187" spans="18:18" ht="39" customHeight="1" x14ac:dyDescent="0.3">
      <c r="R4187" s="1209"/>
    </row>
    <row r="4188" spans="18:18" ht="39" customHeight="1" x14ac:dyDescent="0.3">
      <c r="R4188" s="1209"/>
    </row>
    <row r="4189" spans="18:18" ht="39" customHeight="1" x14ac:dyDescent="0.3">
      <c r="R4189" s="1209"/>
    </row>
    <row r="4190" spans="18:18" ht="39" customHeight="1" x14ac:dyDescent="0.3">
      <c r="R4190" s="1209"/>
    </row>
    <row r="4191" spans="18:18" ht="39" customHeight="1" x14ac:dyDescent="0.3">
      <c r="R4191" s="1209"/>
    </row>
    <row r="4192" spans="18:18" ht="39" customHeight="1" x14ac:dyDescent="0.3">
      <c r="R4192" s="1209"/>
    </row>
    <row r="4193" spans="18:18" ht="39" customHeight="1" x14ac:dyDescent="0.3">
      <c r="R4193" s="1209"/>
    </row>
    <row r="4194" spans="18:18" ht="39" customHeight="1" x14ac:dyDescent="0.3">
      <c r="R4194" s="1209"/>
    </row>
    <row r="4195" spans="18:18" ht="39" customHeight="1" x14ac:dyDescent="0.3">
      <c r="R4195" s="1209"/>
    </row>
    <row r="4196" spans="18:18" ht="39" customHeight="1" x14ac:dyDescent="0.3">
      <c r="R4196" s="1209"/>
    </row>
    <row r="4197" spans="18:18" ht="39" customHeight="1" x14ac:dyDescent="0.3">
      <c r="R4197" s="1209"/>
    </row>
    <row r="4198" spans="18:18" ht="39" customHeight="1" x14ac:dyDescent="0.3">
      <c r="R4198" s="1209"/>
    </row>
    <row r="4199" spans="18:18" ht="39" customHeight="1" x14ac:dyDescent="0.3">
      <c r="R4199" s="1209"/>
    </row>
    <row r="4200" spans="18:18" ht="39" customHeight="1" x14ac:dyDescent="0.3">
      <c r="R4200" s="1209"/>
    </row>
    <row r="4201" spans="18:18" ht="39" customHeight="1" x14ac:dyDescent="0.3">
      <c r="R4201" s="1209"/>
    </row>
    <row r="4202" spans="18:18" ht="39" customHeight="1" x14ac:dyDescent="0.3">
      <c r="R4202" s="1209"/>
    </row>
    <row r="4203" spans="18:18" ht="39" customHeight="1" x14ac:dyDescent="0.3">
      <c r="R4203" s="1209"/>
    </row>
    <row r="4204" spans="18:18" ht="39" customHeight="1" x14ac:dyDescent="0.3">
      <c r="R4204" s="1209"/>
    </row>
    <row r="4205" spans="18:18" ht="39" customHeight="1" x14ac:dyDescent="0.3">
      <c r="R4205" s="1209"/>
    </row>
    <row r="4206" spans="18:18" ht="39" customHeight="1" x14ac:dyDescent="0.3">
      <c r="R4206" s="1209"/>
    </row>
    <row r="4207" spans="18:18" ht="39" customHeight="1" x14ac:dyDescent="0.3">
      <c r="R4207" s="1209"/>
    </row>
    <row r="4208" spans="18:18" ht="39" customHeight="1" x14ac:dyDescent="0.3">
      <c r="R4208" s="1209"/>
    </row>
    <row r="4209" spans="18:18" ht="39" customHeight="1" x14ac:dyDescent="0.3">
      <c r="R4209" s="1209"/>
    </row>
    <row r="4210" spans="18:18" ht="39" customHeight="1" x14ac:dyDescent="0.3">
      <c r="R4210" s="1209"/>
    </row>
    <row r="4211" spans="18:18" ht="39" customHeight="1" x14ac:dyDescent="0.3">
      <c r="R4211" s="1209"/>
    </row>
    <row r="4212" spans="18:18" ht="39" customHeight="1" x14ac:dyDescent="0.3">
      <c r="R4212" s="1209"/>
    </row>
    <row r="4213" spans="18:18" ht="39" customHeight="1" x14ac:dyDescent="0.3">
      <c r="R4213" s="1209"/>
    </row>
    <row r="4214" spans="18:18" ht="39" customHeight="1" x14ac:dyDescent="0.3">
      <c r="R4214" s="1209"/>
    </row>
    <row r="4215" spans="18:18" ht="39" customHeight="1" x14ac:dyDescent="0.3">
      <c r="R4215" s="1209"/>
    </row>
    <row r="4216" spans="18:18" ht="39" customHeight="1" x14ac:dyDescent="0.3">
      <c r="R4216" s="1209"/>
    </row>
    <row r="4217" spans="18:18" ht="39" customHeight="1" x14ac:dyDescent="0.3">
      <c r="R4217" s="1209"/>
    </row>
    <row r="4218" spans="18:18" ht="39" customHeight="1" x14ac:dyDescent="0.3">
      <c r="R4218" s="1209"/>
    </row>
    <row r="4219" spans="18:18" ht="39" customHeight="1" x14ac:dyDescent="0.3">
      <c r="R4219" s="1209"/>
    </row>
    <row r="4220" spans="18:18" ht="39" customHeight="1" x14ac:dyDescent="0.3">
      <c r="R4220" s="1209"/>
    </row>
    <row r="4221" spans="18:18" ht="39" customHeight="1" x14ac:dyDescent="0.3">
      <c r="R4221" s="1209"/>
    </row>
    <row r="4222" spans="18:18" ht="39" customHeight="1" x14ac:dyDescent="0.3">
      <c r="R4222" s="1209"/>
    </row>
    <row r="4223" spans="18:18" ht="39" customHeight="1" x14ac:dyDescent="0.3">
      <c r="R4223" s="1209"/>
    </row>
    <row r="4224" spans="18:18" ht="39" customHeight="1" x14ac:dyDescent="0.3">
      <c r="R4224" s="1209"/>
    </row>
    <row r="4225" spans="18:18" ht="39" customHeight="1" x14ac:dyDescent="0.3">
      <c r="R4225" s="1209"/>
    </row>
    <row r="4226" spans="18:18" ht="39" customHeight="1" x14ac:dyDescent="0.3">
      <c r="R4226" s="1209"/>
    </row>
    <row r="4227" spans="18:18" ht="39" customHeight="1" x14ac:dyDescent="0.3">
      <c r="R4227" s="1209"/>
    </row>
    <row r="4228" spans="18:18" ht="39" customHeight="1" x14ac:dyDescent="0.3">
      <c r="R4228" s="1209"/>
    </row>
    <row r="4229" spans="18:18" ht="39" customHeight="1" x14ac:dyDescent="0.3">
      <c r="R4229" s="1209"/>
    </row>
    <row r="4230" spans="18:18" ht="39" customHeight="1" x14ac:dyDescent="0.3">
      <c r="R4230" s="1209"/>
    </row>
    <row r="4231" spans="18:18" ht="39" customHeight="1" x14ac:dyDescent="0.3">
      <c r="R4231" s="1209"/>
    </row>
    <row r="4232" spans="18:18" ht="39" customHeight="1" x14ac:dyDescent="0.3">
      <c r="R4232" s="1209"/>
    </row>
    <row r="4233" spans="18:18" ht="39" customHeight="1" x14ac:dyDescent="0.3">
      <c r="R4233" s="1209"/>
    </row>
    <row r="4234" spans="18:18" ht="39" customHeight="1" x14ac:dyDescent="0.3">
      <c r="R4234" s="1209"/>
    </row>
    <row r="4235" spans="18:18" ht="39" customHeight="1" x14ac:dyDescent="0.3">
      <c r="R4235" s="1209"/>
    </row>
    <row r="4236" spans="18:18" ht="39" customHeight="1" x14ac:dyDescent="0.3">
      <c r="R4236" s="1209"/>
    </row>
    <row r="4237" spans="18:18" ht="39" customHeight="1" x14ac:dyDescent="0.3">
      <c r="R4237" s="1209"/>
    </row>
    <row r="4238" spans="18:18" ht="39" customHeight="1" x14ac:dyDescent="0.3">
      <c r="R4238" s="1209"/>
    </row>
    <row r="4239" spans="18:18" ht="39" customHeight="1" x14ac:dyDescent="0.3">
      <c r="R4239" s="1209"/>
    </row>
    <row r="4240" spans="18:18" ht="39" customHeight="1" x14ac:dyDescent="0.3">
      <c r="R4240" s="1209"/>
    </row>
    <row r="4241" spans="18:18" ht="39" customHeight="1" x14ac:dyDescent="0.3">
      <c r="R4241" s="1209"/>
    </row>
    <row r="4242" spans="18:18" ht="39" customHeight="1" x14ac:dyDescent="0.3">
      <c r="R4242" s="1209"/>
    </row>
    <row r="4243" spans="18:18" ht="39" customHeight="1" x14ac:dyDescent="0.3">
      <c r="R4243" s="1209"/>
    </row>
    <row r="4244" spans="18:18" ht="39" customHeight="1" x14ac:dyDescent="0.3">
      <c r="R4244" s="1209"/>
    </row>
    <row r="4245" spans="18:18" ht="39" customHeight="1" x14ac:dyDescent="0.3">
      <c r="R4245" s="1209"/>
    </row>
    <row r="4246" spans="18:18" ht="39" customHeight="1" x14ac:dyDescent="0.3">
      <c r="R4246" s="1209"/>
    </row>
    <row r="4247" spans="18:18" ht="39" customHeight="1" x14ac:dyDescent="0.3">
      <c r="R4247" s="1209"/>
    </row>
    <row r="4248" spans="18:18" ht="39" customHeight="1" x14ac:dyDescent="0.3">
      <c r="R4248" s="1209"/>
    </row>
    <row r="4249" spans="18:18" ht="39" customHeight="1" x14ac:dyDescent="0.3">
      <c r="R4249" s="1209"/>
    </row>
    <row r="4250" spans="18:18" ht="39" customHeight="1" x14ac:dyDescent="0.3">
      <c r="R4250" s="1209"/>
    </row>
    <row r="4251" spans="18:18" ht="39" customHeight="1" x14ac:dyDescent="0.3">
      <c r="R4251" s="1209"/>
    </row>
    <row r="4252" spans="18:18" ht="39" customHeight="1" x14ac:dyDescent="0.3">
      <c r="R4252" s="1209"/>
    </row>
    <row r="4253" spans="18:18" ht="39" customHeight="1" x14ac:dyDescent="0.3">
      <c r="R4253" s="1209"/>
    </row>
    <row r="4254" spans="18:18" ht="39" customHeight="1" x14ac:dyDescent="0.3">
      <c r="R4254" s="1209"/>
    </row>
    <row r="4255" spans="18:18" ht="39" customHeight="1" x14ac:dyDescent="0.3">
      <c r="R4255" s="1209"/>
    </row>
    <row r="4256" spans="18:18" ht="39" customHeight="1" x14ac:dyDescent="0.3">
      <c r="R4256" s="1209"/>
    </row>
    <row r="4257" spans="18:18" ht="39" customHeight="1" x14ac:dyDescent="0.3">
      <c r="R4257" s="1209"/>
    </row>
    <row r="4258" spans="18:18" ht="39" customHeight="1" x14ac:dyDescent="0.3">
      <c r="R4258" s="1209"/>
    </row>
    <row r="4259" spans="18:18" ht="39" customHeight="1" x14ac:dyDescent="0.3">
      <c r="R4259" s="1209"/>
    </row>
    <row r="4260" spans="18:18" ht="39" customHeight="1" x14ac:dyDescent="0.3">
      <c r="R4260" s="1209"/>
    </row>
    <row r="4261" spans="18:18" ht="39" customHeight="1" x14ac:dyDescent="0.3">
      <c r="R4261" s="1209"/>
    </row>
    <row r="4262" spans="18:18" ht="39" customHeight="1" x14ac:dyDescent="0.3">
      <c r="R4262" s="1209"/>
    </row>
    <row r="4263" spans="18:18" ht="39" customHeight="1" x14ac:dyDescent="0.3">
      <c r="R4263" s="1209"/>
    </row>
    <row r="4264" spans="18:18" ht="39" customHeight="1" x14ac:dyDescent="0.3">
      <c r="R4264" s="1209"/>
    </row>
    <row r="4265" spans="18:18" ht="39" customHeight="1" x14ac:dyDescent="0.3">
      <c r="R4265" s="1209"/>
    </row>
    <row r="4266" spans="18:18" ht="39" customHeight="1" x14ac:dyDescent="0.3">
      <c r="R4266" s="1209"/>
    </row>
    <row r="4267" spans="18:18" ht="39" customHeight="1" x14ac:dyDescent="0.3">
      <c r="R4267" s="1209"/>
    </row>
    <row r="4268" spans="18:18" ht="39" customHeight="1" x14ac:dyDescent="0.3">
      <c r="R4268" s="1209"/>
    </row>
    <row r="4269" spans="18:18" ht="39" customHeight="1" x14ac:dyDescent="0.3">
      <c r="R4269" s="1209"/>
    </row>
    <row r="4270" spans="18:18" ht="39" customHeight="1" x14ac:dyDescent="0.3">
      <c r="R4270" s="1209"/>
    </row>
    <row r="4271" spans="18:18" ht="39" customHeight="1" x14ac:dyDescent="0.3">
      <c r="R4271" s="1209"/>
    </row>
    <row r="4272" spans="18:18" ht="39" customHeight="1" x14ac:dyDescent="0.3">
      <c r="R4272" s="1209"/>
    </row>
    <row r="4273" spans="18:18" ht="39" customHeight="1" x14ac:dyDescent="0.3">
      <c r="R4273" s="1209"/>
    </row>
    <row r="4274" spans="18:18" ht="39" customHeight="1" x14ac:dyDescent="0.3">
      <c r="R4274" s="1209"/>
    </row>
    <row r="4275" spans="18:18" ht="39" customHeight="1" x14ac:dyDescent="0.3">
      <c r="R4275" s="1209"/>
    </row>
    <row r="4276" spans="18:18" ht="39" customHeight="1" x14ac:dyDescent="0.3">
      <c r="R4276" s="1209"/>
    </row>
    <row r="4277" spans="18:18" ht="39" customHeight="1" x14ac:dyDescent="0.3">
      <c r="R4277" s="1209"/>
    </row>
    <row r="4278" spans="18:18" ht="39" customHeight="1" x14ac:dyDescent="0.3">
      <c r="R4278" s="1209"/>
    </row>
    <row r="4279" spans="18:18" ht="39" customHeight="1" x14ac:dyDescent="0.3">
      <c r="R4279" s="1209"/>
    </row>
    <row r="4280" spans="18:18" ht="39" customHeight="1" x14ac:dyDescent="0.3">
      <c r="R4280" s="1209"/>
    </row>
    <row r="4281" spans="18:18" ht="39" customHeight="1" x14ac:dyDescent="0.3">
      <c r="R4281" s="1209"/>
    </row>
    <row r="4282" spans="18:18" ht="39" customHeight="1" x14ac:dyDescent="0.3">
      <c r="R4282" s="1209"/>
    </row>
    <row r="4283" spans="18:18" ht="39" customHeight="1" x14ac:dyDescent="0.3">
      <c r="R4283" s="1209"/>
    </row>
    <row r="4284" spans="18:18" ht="39" customHeight="1" x14ac:dyDescent="0.3">
      <c r="R4284" s="1209"/>
    </row>
    <row r="4285" spans="18:18" ht="39" customHeight="1" x14ac:dyDescent="0.3">
      <c r="R4285" s="1209"/>
    </row>
    <row r="4286" spans="18:18" ht="39" customHeight="1" x14ac:dyDescent="0.3">
      <c r="R4286" s="1209"/>
    </row>
    <row r="4287" spans="18:18" ht="39" customHeight="1" x14ac:dyDescent="0.3">
      <c r="R4287" s="1209"/>
    </row>
    <row r="4288" spans="18:18" ht="39" customHeight="1" x14ac:dyDescent="0.3">
      <c r="R4288" s="1209"/>
    </row>
    <row r="4289" spans="18:18" ht="39" customHeight="1" x14ac:dyDescent="0.3">
      <c r="R4289" s="1209"/>
    </row>
    <row r="4290" spans="18:18" ht="39" customHeight="1" x14ac:dyDescent="0.3">
      <c r="R4290" s="1209"/>
    </row>
    <row r="4291" spans="18:18" ht="39" customHeight="1" x14ac:dyDescent="0.3">
      <c r="R4291" s="1209"/>
    </row>
    <row r="4292" spans="18:18" ht="39" customHeight="1" x14ac:dyDescent="0.3">
      <c r="R4292" s="1209"/>
    </row>
    <row r="4293" spans="18:18" ht="39" customHeight="1" x14ac:dyDescent="0.3">
      <c r="R4293" s="1209"/>
    </row>
    <row r="4294" spans="18:18" ht="39" customHeight="1" x14ac:dyDescent="0.3">
      <c r="R4294" s="1209"/>
    </row>
    <row r="4295" spans="18:18" ht="39" customHeight="1" x14ac:dyDescent="0.3">
      <c r="R4295" s="1209"/>
    </row>
    <row r="4296" spans="18:18" ht="39" customHeight="1" x14ac:dyDescent="0.3">
      <c r="R4296" s="1209"/>
    </row>
    <row r="4297" spans="18:18" ht="39" customHeight="1" x14ac:dyDescent="0.3">
      <c r="R4297" s="1209"/>
    </row>
    <row r="4298" spans="18:18" ht="39" customHeight="1" x14ac:dyDescent="0.3">
      <c r="R4298" s="1209"/>
    </row>
    <row r="4299" spans="18:18" ht="39" customHeight="1" x14ac:dyDescent="0.3">
      <c r="R4299" s="1209"/>
    </row>
    <row r="4300" spans="18:18" ht="39" customHeight="1" x14ac:dyDescent="0.3">
      <c r="R4300" s="1209"/>
    </row>
    <row r="4301" spans="18:18" ht="39" customHeight="1" x14ac:dyDescent="0.3">
      <c r="R4301" s="1209"/>
    </row>
    <row r="4302" spans="18:18" ht="39" customHeight="1" x14ac:dyDescent="0.3">
      <c r="R4302" s="1209"/>
    </row>
    <row r="4303" spans="18:18" ht="39" customHeight="1" x14ac:dyDescent="0.3">
      <c r="R4303" s="1209"/>
    </row>
    <row r="4304" spans="18:18" ht="39" customHeight="1" x14ac:dyDescent="0.3">
      <c r="R4304" s="1209"/>
    </row>
    <row r="4305" spans="18:18" ht="39" customHeight="1" x14ac:dyDescent="0.3">
      <c r="R4305" s="1209"/>
    </row>
    <row r="4306" spans="18:18" ht="39" customHeight="1" x14ac:dyDescent="0.3">
      <c r="R4306" s="1209"/>
    </row>
    <row r="4307" spans="18:18" ht="39" customHeight="1" x14ac:dyDescent="0.3">
      <c r="R4307" s="1209"/>
    </row>
    <row r="4308" spans="18:18" ht="39" customHeight="1" x14ac:dyDescent="0.3">
      <c r="R4308" s="1209"/>
    </row>
    <row r="4309" spans="18:18" ht="39" customHeight="1" x14ac:dyDescent="0.3">
      <c r="R4309" s="1209"/>
    </row>
    <row r="4310" spans="18:18" ht="39" customHeight="1" x14ac:dyDescent="0.3">
      <c r="R4310" s="1209"/>
    </row>
    <row r="4311" spans="18:18" ht="39" customHeight="1" x14ac:dyDescent="0.3">
      <c r="R4311" s="1209"/>
    </row>
    <row r="4312" spans="18:18" ht="39" customHeight="1" x14ac:dyDescent="0.3">
      <c r="R4312" s="1209"/>
    </row>
    <row r="4313" spans="18:18" ht="39" customHeight="1" x14ac:dyDescent="0.3">
      <c r="R4313" s="1209"/>
    </row>
    <row r="4314" spans="18:18" ht="39" customHeight="1" x14ac:dyDescent="0.3">
      <c r="R4314" s="1209"/>
    </row>
    <row r="4315" spans="18:18" ht="39" customHeight="1" x14ac:dyDescent="0.3">
      <c r="R4315" s="1209"/>
    </row>
    <row r="4316" spans="18:18" ht="39" customHeight="1" x14ac:dyDescent="0.3">
      <c r="R4316" s="1209"/>
    </row>
    <row r="4317" spans="18:18" ht="39" customHeight="1" x14ac:dyDescent="0.3">
      <c r="R4317" s="1209"/>
    </row>
    <row r="4318" spans="18:18" ht="39" customHeight="1" x14ac:dyDescent="0.3">
      <c r="R4318" s="1209"/>
    </row>
    <row r="4319" spans="18:18" ht="39" customHeight="1" x14ac:dyDescent="0.3">
      <c r="R4319" s="1209"/>
    </row>
    <row r="4320" spans="18:18" ht="39" customHeight="1" x14ac:dyDescent="0.3">
      <c r="R4320" s="1209"/>
    </row>
    <row r="4321" spans="18:18" ht="39" customHeight="1" x14ac:dyDescent="0.3">
      <c r="R4321" s="1209"/>
    </row>
    <row r="4322" spans="18:18" ht="39" customHeight="1" x14ac:dyDescent="0.3">
      <c r="R4322" s="1209"/>
    </row>
    <row r="4323" spans="18:18" ht="39" customHeight="1" x14ac:dyDescent="0.3">
      <c r="R4323" s="1209"/>
    </row>
    <row r="4324" spans="18:18" ht="39" customHeight="1" x14ac:dyDescent="0.3">
      <c r="R4324" s="1209"/>
    </row>
    <row r="4325" spans="18:18" ht="39" customHeight="1" x14ac:dyDescent="0.3">
      <c r="R4325" s="1209"/>
    </row>
    <row r="4326" spans="18:18" ht="39" customHeight="1" x14ac:dyDescent="0.3">
      <c r="R4326" s="1209"/>
    </row>
    <row r="4327" spans="18:18" ht="39" customHeight="1" x14ac:dyDescent="0.3">
      <c r="R4327" s="1209"/>
    </row>
    <row r="4328" spans="18:18" ht="39" customHeight="1" x14ac:dyDescent="0.3">
      <c r="R4328" s="1209"/>
    </row>
    <row r="4329" spans="18:18" ht="39" customHeight="1" x14ac:dyDescent="0.3">
      <c r="R4329" s="1209"/>
    </row>
    <row r="4330" spans="18:18" ht="39" customHeight="1" x14ac:dyDescent="0.3">
      <c r="R4330" s="1209"/>
    </row>
    <row r="4331" spans="18:18" ht="39" customHeight="1" x14ac:dyDescent="0.3">
      <c r="R4331" s="1209"/>
    </row>
    <row r="4332" spans="18:18" ht="39" customHeight="1" x14ac:dyDescent="0.3">
      <c r="R4332" s="1209"/>
    </row>
    <row r="4333" spans="18:18" ht="39" customHeight="1" x14ac:dyDescent="0.3">
      <c r="R4333" s="1209"/>
    </row>
    <row r="4334" spans="18:18" ht="39" customHeight="1" x14ac:dyDescent="0.3">
      <c r="R4334" s="1209"/>
    </row>
    <row r="4335" spans="18:18" ht="39" customHeight="1" x14ac:dyDescent="0.3">
      <c r="R4335" s="1209"/>
    </row>
    <row r="4336" spans="18:18" ht="39" customHeight="1" x14ac:dyDescent="0.3">
      <c r="R4336" s="1209"/>
    </row>
    <row r="4337" spans="18:18" ht="39" customHeight="1" x14ac:dyDescent="0.3">
      <c r="R4337" s="1209"/>
    </row>
    <row r="4338" spans="18:18" ht="39" customHeight="1" x14ac:dyDescent="0.3">
      <c r="R4338" s="1209"/>
    </row>
    <row r="4339" spans="18:18" ht="39" customHeight="1" x14ac:dyDescent="0.3">
      <c r="R4339" s="1209"/>
    </row>
    <row r="4340" spans="18:18" ht="39" customHeight="1" x14ac:dyDescent="0.3">
      <c r="R4340" s="1209"/>
    </row>
    <row r="4341" spans="18:18" ht="39" customHeight="1" x14ac:dyDescent="0.3">
      <c r="R4341" s="1209"/>
    </row>
    <row r="4342" spans="18:18" ht="39" customHeight="1" x14ac:dyDescent="0.3">
      <c r="R4342" s="1209"/>
    </row>
    <row r="4343" spans="18:18" ht="39" customHeight="1" x14ac:dyDescent="0.3">
      <c r="R4343" s="1209"/>
    </row>
    <row r="4344" spans="18:18" ht="39" customHeight="1" x14ac:dyDescent="0.3">
      <c r="R4344" s="1209"/>
    </row>
    <row r="4345" spans="18:18" ht="39" customHeight="1" x14ac:dyDescent="0.3">
      <c r="R4345" s="1209"/>
    </row>
    <row r="4346" spans="18:18" ht="39" customHeight="1" x14ac:dyDescent="0.3">
      <c r="R4346" s="1209"/>
    </row>
    <row r="4347" spans="18:18" ht="39" customHeight="1" x14ac:dyDescent="0.3">
      <c r="R4347" s="1209"/>
    </row>
    <row r="4348" spans="18:18" ht="39" customHeight="1" x14ac:dyDescent="0.3">
      <c r="R4348" s="1209"/>
    </row>
    <row r="4349" spans="18:18" ht="39" customHeight="1" x14ac:dyDescent="0.3">
      <c r="R4349" s="1209"/>
    </row>
    <row r="4350" spans="18:18" ht="39" customHeight="1" x14ac:dyDescent="0.3">
      <c r="R4350" s="1209"/>
    </row>
    <row r="4351" spans="18:18" ht="39" customHeight="1" x14ac:dyDescent="0.3">
      <c r="R4351" s="1209"/>
    </row>
    <row r="4352" spans="18:18" ht="39" customHeight="1" x14ac:dyDescent="0.3">
      <c r="R4352" s="1209"/>
    </row>
    <row r="4353" spans="18:18" ht="39" customHeight="1" x14ac:dyDescent="0.3">
      <c r="R4353" s="1209"/>
    </row>
    <row r="4354" spans="18:18" ht="39" customHeight="1" x14ac:dyDescent="0.3">
      <c r="R4354" s="1209"/>
    </row>
    <row r="4355" spans="18:18" ht="39" customHeight="1" x14ac:dyDescent="0.3">
      <c r="R4355" s="1209"/>
    </row>
    <row r="4356" spans="18:18" ht="39" customHeight="1" x14ac:dyDescent="0.3">
      <c r="R4356" s="1209"/>
    </row>
    <row r="4357" spans="18:18" ht="39" customHeight="1" x14ac:dyDescent="0.3">
      <c r="R4357" s="1209"/>
    </row>
    <row r="4358" spans="18:18" ht="39" customHeight="1" x14ac:dyDescent="0.3">
      <c r="R4358" s="1209"/>
    </row>
    <row r="4359" spans="18:18" ht="39" customHeight="1" x14ac:dyDescent="0.3">
      <c r="R4359" s="1209"/>
    </row>
    <row r="4360" spans="18:18" ht="39" customHeight="1" x14ac:dyDescent="0.3">
      <c r="R4360" s="1209"/>
    </row>
    <row r="4361" spans="18:18" ht="39" customHeight="1" x14ac:dyDescent="0.3">
      <c r="R4361" s="1209"/>
    </row>
    <row r="4362" spans="18:18" ht="39" customHeight="1" x14ac:dyDescent="0.3">
      <c r="R4362" s="1209"/>
    </row>
    <row r="4363" spans="18:18" ht="39" customHeight="1" x14ac:dyDescent="0.3">
      <c r="R4363" s="1209"/>
    </row>
    <row r="4364" spans="18:18" ht="39" customHeight="1" x14ac:dyDescent="0.3">
      <c r="R4364" s="1209"/>
    </row>
    <row r="4365" spans="18:18" ht="39" customHeight="1" x14ac:dyDescent="0.3">
      <c r="R4365" s="1209"/>
    </row>
    <row r="4366" spans="18:18" ht="39" customHeight="1" x14ac:dyDescent="0.3">
      <c r="R4366" s="1209"/>
    </row>
    <row r="4367" spans="18:18" ht="39" customHeight="1" x14ac:dyDescent="0.3">
      <c r="R4367" s="1209"/>
    </row>
    <row r="4368" spans="18:18" ht="39" customHeight="1" x14ac:dyDescent="0.3">
      <c r="R4368" s="1209"/>
    </row>
    <row r="4369" spans="18:18" ht="39" customHeight="1" x14ac:dyDescent="0.3">
      <c r="R4369" s="1209"/>
    </row>
    <row r="4370" spans="18:18" ht="39" customHeight="1" x14ac:dyDescent="0.3">
      <c r="R4370" s="1209"/>
    </row>
    <row r="4371" spans="18:18" ht="39" customHeight="1" x14ac:dyDescent="0.3">
      <c r="R4371" s="1209"/>
    </row>
    <row r="4372" spans="18:18" ht="39" customHeight="1" x14ac:dyDescent="0.3">
      <c r="R4372" s="1209"/>
    </row>
    <row r="4373" spans="18:18" ht="39" customHeight="1" x14ac:dyDescent="0.3">
      <c r="R4373" s="1209"/>
    </row>
    <row r="4374" spans="18:18" ht="39" customHeight="1" x14ac:dyDescent="0.3">
      <c r="R4374" s="1209"/>
    </row>
    <row r="4375" spans="18:18" ht="39" customHeight="1" x14ac:dyDescent="0.3">
      <c r="R4375" s="1209"/>
    </row>
    <row r="4376" spans="18:18" ht="39" customHeight="1" x14ac:dyDescent="0.3">
      <c r="R4376" s="1209"/>
    </row>
    <row r="4377" spans="18:18" ht="39" customHeight="1" x14ac:dyDescent="0.3">
      <c r="R4377" s="1209"/>
    </row>
    <row r="4378" spans="18:18" ht="39" customHeight="1" x14ac:dyDescent="0.3">
      <c r="R4378" s="1209"/>
    </row>
    <row r="4379" spans="18:18" ht="39" customHeight="1" x14ac:dyDescent="0.3">
      <c r="R4379" s="1209"/>
    </row>
    <row r="4380" spans="18:18" ht="39" customHeight="1" x14ac:dyDescent="0.3">
      <c r="R4380" s="1209"/>
    </row>
    <row r="4381" spans="18:18" ht="39" customHeight="1" x14ac:dyDescent="0.3">
      <c r="R4381" s="1209"/>
    </row>
    <row r="4382" spans="18:18" ht="39" customHeight="1" x14ac:dyDescent="0.3">
      <c r="R4382" s="1209"/>
    </row>
    <row r="4383" spans="18:18" ht="39" customHeight="1" x14ac:dyDescent="0.3">
      <c r="R4383" s="1209"/>
    </row>
    <row r="4384" spans="18:18" ht="39" customHeight="1" x14ac:dyDescent="0.3">
      <c r="R4384" s="1209"/>
    </row>
    <row r="4385" spans="18:18" ht="39" customHeight="1" x14ac:dyDescent="0.3">
      <c r="R4385" s="1209"/>
    </row>
    <row r="4386" spans="18:18" ht="39" customHeight="1" x14ac:dyDescent="0.3">
      <c r="R4386" s="1209"/>
    </row>
    <row r="4387" spans="18:18" ht="39" customHeight="1" x14ac:dyDescent="0.3">
      <c r="R4387" s="1209"/>
    </row>
    <row r="4388" spans="18:18" ht="39" customHeight="1" x14ac:dyDescent="0.3">
      <c r="R4388" s="1209"/>
    </row>
    <row r="4389" spans="18:18" ht="39" customHeight="1" x14ac:dyDescent="0.3">
      <c r="R4389" s="1209"/>
    </row>
    <row r="4390" spans="18:18" ht="39" customHeight="1" x14ac:dyDescent="0.3">
      <c r="R4390" s="1209"/>
    </row>
    <row r="4391" spans="18:18" ht="39" customHeight="1" x14ac:dyDescent="0.3">
      <c r="R4391" s="1209"/>
    </row>
    <row r="4392" spans="18:18" ht="39" customHeight="1" x14ac:dyDescent="0.3">
      <c r="R4392" s="1209"/>
    </row>
    <row r="4393" spans="18:18" ht="39" customHeight="1" x14ac:dyDescent="0.3">
      <c r="R4393" s="1209"/>
    </row>
    <row r="4394" spans="18:18" ht="39" customHeight="1" x14ac:dyDescent="0.3">
      <c r="R4394" s="1209"/>
    </row>
    <row r="4395" spans="18:18" ht="39" customHeight="1" x14ac:dyDescent="0.3">
      <c r="R4395" s="1209"/>
    </row>
    <row r="4396" spans="18:18" ht="39" customHeight="1" x14ac:dyDescent="0.3">
      <c r="R4396" s="1209"/>
    </row>
    <row r="4397" spans="18:18" ht="39" customHeight="1" x14ac:dyDescent="0.3">
      <c r="R4397" s="1209"/>
    </row>
    <row r="4398" spans="18:18" ht="39" customHeight="1" x14ac:dyDescent="0.3">
      <c r="R4398" s="1209"/>
    </row>
    <row r="4399" spans="18:18" ht="39" customHeight="1" x14ac:dyDescent="0.3">
      <c r="R4399" s="1209"/>
    </row>
    <row r="4400" spans="18:18" ht="39" customHeight="1" x14ac:dyDescent="0.3">
      <c r="R4400" s="1209"/>
    </row>
    <row r="4401" spans="18:18" ht="39" customHeight="1" x14ac:dyDescent="0.3">
      <c r="R4401" s="1209"/>
    </row>
    <row r="4402" spans="18:18" ht="39" customHeight="1" x14ac:dyDescent="0.3">
      <c r="R4402" s="1209"/>
    </row>
    <row r="4403" spans="18:18" ht="39" customHeight="1" x14ac:dyDescent="0.3">
      <c r="R4403" s="1209"/>
    </row>
    <row r="4404" spans="18:18" ht="39" customHeight="1" x14ac:dyDescent="0.3">
      <c r="R4404" s="1209"/>
    </row>
    <row r="4405" spans="18:18" ht="39" customHeight="1" x14ac:dyDescent="0.3">
      <c r="R4405" s="1209"/>
    </row>
    <row r="4406" spans="18:18" ht="39" customHeight="1" x14ac:dyDescent="0.3">
      <c r="R4406" s="1209"/>
    </row>
    <row r="4407" spans="18:18" ht="39" customHeight="1" x14ac:dyDescent="0.3">
      <c r="R4407" s="1209"/>
    </row>
    <row r="4408" spans="18:18" ht="39" customHeight="1" x14ac:dyDescent="0.3">
      <c r="R4408" s="1209"/>
    </row>
    <row r="4409" spans="18:18" ht="39" customHeight="1" x14ac:dyDescent="0.3">
      <c r="R4409" s="1209"/>
    </row>
    <row r="4410" spans="18:18" ht="39" customHeight="1" x14ac:dyDescent="0.3">
      <c r="R4410" s="1209"/>
    </row>
    <row r="4411" spans="18:18" ht="39" customHeight="1" x14ac:dyDescent="0.3">
      <c r="R4411" s="1209"/>
    </row>
    <row r="4412" spans="18:18" ht="39" customHeight="1" x14ac:dyDescent="0.3">
      <c r="R4412" s="1209"/>
    </row>
    <row r="4413" spans="18:18" ht="39" customHeight="1" x14ac:dyDescent="0.3">
      <c r="R4413" s="1209"/>
    </row>
    <row r="4414" spans="18:18" ht="39" customHeight="1" x14ac:dyDescent="0.3">
      <c r="R4414" s="1209"/>
    </row>
    <row r="4415" spans="18:18" ht="39" customHeight="1" x14ac:dyDescent="0.3">
      <c r="R4415" s="1209"/>
    </row>
    <row r="4416" spans="18:18" ht="39" customHeight="1" x14ac:dyDescent="0.3">
      <c r="R4416" s="1209"/>
    </row>
    <row r="4417" spans="18:18" ht="39" customHeight="1" x14ac:dyDescent="0.3">
      <c r="R4417" s="1209"/>
    </row>
    <row r="4418" spans="18:18" ht="39" customHeight="1" x14ac:dyDescent="0.3">
      <c r="R4418" s="1209"/>
    </row>
    <row r="4419" spans="18:18" ht="39" customHeight="1" x14ac:dyDescent="0.3">
      <c r="R4419" s="1209"/>
    </row>
    <row r="4420" spans="18:18" ht="39" customHeight="1" x14ac:dyDescent="0.3">
      <c r="R4420" s="1209"/>
    </row>
    <row r="4421" spans="18:18" ht="39" customHeight="1" x14ac:dyDescent="0.3">
      <c r="R4421" s="1209"/>
    </row>
    <row r="4422" spans="18:18" ht="39" customHeight="1" x14ac:dyDescent="0.3">
      <c r="R4422" s="1209"/>
    </row>
    <row r="4423" spans="18:18" ht="39" customHeight="1" x14ac:dyDescent="0.3">
      <c r="R4423" s="1209"/>
    </row>
    <row r="4424" spans="18:18" ht="39" customHeight="1" x14ac:dyDescent="0.3">
      <c r="R4424" s="1209"/>
    </row>
    <row r="4425" spans="18:18" ht="39" customHeight="1" x14ac:dyDescent="0.3">
      <c r="R4425" s="1209"/>
    </row>
    <row r="4426" spans="18:18" ht="39" customHeight="1" x14ac:dyDescent="0.3">
      <c r="R4426" s="1209"/>
    </row>
    <row r="4427" spans="18:18" ht="39" customHeight="1" x14ac:dyDescent="0.3">
      <c r="R4427" s="1209"/>
    </row>
    <row r="4428" spans="18:18" ht="39" customHeight="1" x14ac:dyDescent="0.3">
      <c r="R4428" s="1209"/>
    </row>
    <row r="4429" spans="18:18" ht="39" customHeight="1" x14ac:dyDescent="0.3">
      <c r="R4429" s="1209"/>
    </row>
    <row r="4430" spans="18:18" ht="39" customHeight="1" x14ac:dyDescent="0.3">
      <c r="R4430" s="1209"/>
    </row>
    <row r="4431" spans="18:18" ht="39" customHeight="1" x14ac:dyDescent="0.3">
      <c r="R4431" s="1209"/>
    </row>
    <row r="4432" spans="18:18" ht="39" customHeight="1" x14ac:dyDescent="0.3">
      <c r="R4432" s="1209"/>
    </row>
    <row r="4433" spans="18:18" ht="39" customHeight="1" x14ac:dyDescent="0.3">
      <c r="R4433" s="1209"/>
    </row>
    <row r="4434" spans="18:18" ht="39" customHeight="1" x14ac:dyDescent="0.3">
      <c r="R4434" s="1209"/>
    </row>
    <row r="4435" spans="18:18" ht="39" customHeight="1" x14ac:dyDescent="0.3">
      <c r="R4435" s="1209"/>
    </row>
    <row r="4436" spans="18:18" ht="39" customHeight="1" x14ac:dyDescent="0.3">
      <c r="R4436" s="1209"/>
    </row>
    <row r="4437" spans="18:18" ht="39" customHeight="1" x14ac:dyDescent="0.3">
      <c r="R4437" s="1209"/>
    </row>
    <row r="4438" spans="18:18" ht="39" customHeight="1" x14ac:dyDescent="0.3">
      <c r="R4438" s="1209"/>
    </row>
    <row r="4439" spans="18:18" ht="39" customHeight="1" x14ac:dyDescent="0.3">
      <c r="R4439" s="1209"/>
    </row>
    <row r="4440" spans="18:18" ht="39" customHeight="1" x14ac:dyDescent="0.3">
      <c r="R4440" s="1209"/>
    </row>
    <row r="4441" spans="18:18" ht="39" customHeight="1" x14ac:dyDescent="0.3">
      <c r="R4441" s="1209"/>
    </row>
    <row r="4442" spans="18:18" ht="39" customHeight="1" x14ac:dyDescent="0.3">
      <c r="R4442" s="1209"/>
    </row>
    <row r="4443" spans="18:18" ht="39" customHeight="1" x14ac:dyDescent="0.3">
      <c r="R4443" s="1209"/>
    </row>
    <row r="4444" spans="18:18" ht="39" customHeight="1" x14ac:dyDescent="0.3">
      <c r="R4444" s="1209"/>
    </row>
    <row r="4445" spans="18:18" ht="39" customHeight="1" x14ac:dyDescent="0.3">
      <c r="R4445" s="1209"/>
    </row>
    <row r="4446" spans="18:18" ht="39" customHeight="1" x14ac:dyDescent="0.3">
      <c r="R4446" s="1209"/>
    </row>
    <row r="4447" spans="18:18" ht="39" customHeight="1" x14ac:dyDescent="0.3">
      <c r="R4447" s="1209"/>
    </row>
    <row r="4448" spans="18:18" ht="39" customHeight="1" x14ac:dyDescent="0.3">
      <c r="R4448" s="1209"/>
    </row>
    <row r="4449" spans="18:18" ht="39" customHeight="1" x14ac:dyDescent="0.3">
      <c r="R4449" s="1209"/>
    </row>
    <row r="4450" spans="18:18" ht="39" customHeight="1" x14ac:dyDescent="0.3">
      <c r="R4450" s="1209"/>
    </row>
    <row r="4451" spans="18:18" ht="39" customHeight="1" x14ac:dyDescent="0.3">
      <c r="R4451" s="1209"/>
    </row>
    <row r="4452" spans="18:18" ht="39" customHeight="1" x14ac:dyDescent="0.3">
      <c r="R4452" s="1209"/>
    </row>
    <row r="4453" spans="18:18" ht="39" customHeight="1" x14ac:dyDescent="0.3">
      <c r="R4453" s="1209"/>
    </row>
    <row r="4454" spans="18:18" ht="39" customHeight="1" x14ac:dyDescent="0.3">
      <c r="R4454" s="1209"/>
    </row>
    <row r="4455" spans="18:18" ht="39" customHeight="1" x14ac:dyDescent="0.3">
      <c r="R4455" s="1209"/>
    </row>
    <row r="4456" spans="18:18" ht="39" customHeight="1" x14ac:dyDescent="0.3">
      <c r="R4456" s="1209"/>
    </row>
    <row r="4457" spans="18:18" ht="39" customHeight="1" x14ac:dyDescent="0.3">
      <c r="R4457" s="1209"/>
    </row>
    <row r="4458" spans="18:18" ht="39" customHeight="1" x14ac:dyDescent="0.3">
      <c r="R4458" s="1209"/>
    </row>
    <row r="4459" spans="18:18" ht="39" customHeight="1" x14ac:dyDescent="0.3">
      <c r="R4459" s="1209"/>
    </row>
    <row r="4460" spans="18:18" ht="39" customHeight="1" x14ac:dyDescent="0.3">
      <c r="R4460" s="1209"/>
    </row>
    <row r="4461" spans="18:18" ht="39" customHeight="1" x14ac:dyDescent="0.3">
      <c r="R4461" s="1209"/>
    </row>
    <row r="4462" spans="18:18" ht="39" customHeight="1" x14ac:dyDescent="0.3">
      <c r="R4462" s="1209"/>
    </row>
    <row r="4463" spans="18:18" ht="39" customHeight="1" x14ac:dyDescent="0.3">
      <c r="R4463" s="1209"/>
    </row>
    <row r="4464" spans="18:18" ht="39" customHeight="1" x14ac:dyDescent="0.3">
      <c r="R4464" s="1209"/>
    </row>
    <row r="4465" spans="18:18" ht="39" customHeight="1" x14ac:dyDescent="0.3">
      <c r="R4465" s="1209"/>
    </row>
    <row r="4466" spans="18:18" ht="39" customHeight="1" x14ac:dyDescent="0.3">
      <c r="R4466" s="1209"/>
    </row>
    <row r="4467" spans="18:18" ht="39" customHeight="1" x14ac:dyDescent="0.3">
      <c r="R4467" s="1209"/>
    </row>
    <row r="4468" spans="18:18" ht="39" customHeight="1" x14ac:dyDescent="0.3">
      <c r="R4468" s="1209"/>
    </row>
    <row r="4469" spans="18:18" ht="39" customHeight="1" x14ac:dyDescent="0.3">
      <c r="R4469" s="1209"/>
    </row>
    <row r="4470" spans="18:18" ht="39" customHeight="1" x14ac:dyDescent="0.3">
      <c r="R4470" s="1209"/>
    </row>
    <row r="4471" spans="18:18" ht="39" customHeight="1" x14ac:dyDescent="0.3">
      <c r="R4471" s="1209"/>
    </row>
    <row r="4472" spans="18:18" ht="39" customHeight="1" x14ac:dyDescent="0.3">
      <c r="R4472" s="1209"/>
    </row>
    <row r="4473" spans="18:18" ht="39" customHeight="1" x14ac:dyDescent="0.3">
      <c r="R4473" s="1209"/>
    </row>
    <row r="4474" spans="18:18" ht="39" customHeight="1" x14ac:dyDescent="0.3">
      <c r="R4474" s="1209"/>
    </row>
    <row r="4475" spans="18:18" ht="39" customHeight="1" x14ac:dyDescent="0.3">
      <c r="R4475" s="1209"/>
    </row>
    <row r="4476" spans="18:18" ht="39" customHeight="1" x14ac:dyDescent="0.3">
      <c r="R4476" s="1209"/>
    </row>
    <row r="4477" spans="18:18" ht="39" customHeight="1" x14ac:dyDescent="0.3">
      <c r="R4477" s="1209"/>
    </row>
    <row r="4478" spans="18:18" ht="39" customHeight="1" x14ac:dyDescent="0.3">
      <c r="R4478" s="1209"/>
    </row>
    <row r="4479" spans="18:18" ht="39" customHeight="1" x14ac:dyDescent="0.3">
      <c r="R4479" s="1209"/>
    </row>
    <row r="4480" spans="18:18" ht="39" customHeight="1" x14ac:dyDescent="0.3">
      <c r="R4480" s="1209"/>
    </row>
    <row r="4481" spans="18:18" ht="39" customHeight="1" x14ac:dyDescent="0.3">
      <c r="R4481" s="1209"/>
    </row>
    <row r="4482" spans="18:18" ht="39" customHeight="1" x14ac:dyDescent="0.3">
      <c r="R4482" s="1209"/>
    </row>
    <row r="4483" spans="18:18" ht="39" customHeight="1" x14ac:dyDescent="0.3">
      <c r="R4483" s="1209"/>
    </row>
    <row r="4484" spans="18:18" ht="39" customHeight="1" x14ac:dyDescent="0.3">
      <c r="R4484" s="1209"/>
    </row>
    <row r="4485" spans="18:18" ht="39" customHeight="1" x14ac:dyDescent="0.3">
      <c r="R4485" s="1209"/>
    </row>
    <row r="4486" spans="18:18" ht="39" customHeight="1" x14ac:dyDescent="0.3">
      <c r="R4486" s="1209"/>
    </row>
    <row r="4487" spans="18:18" ht="39" customHeight="1" x14ac:dyDescent="0.3">
      <c r="R4487" s="1209"/>
    </row>
    <row r="4488" spans="18:18" ht="39" customHeight="1" x14ac:dyDescent="0.3">
      <c r="R4488" s="1209"/>
    </row>
    <row r="4489" spans="18:18" ht="39" customHeight="1" x14ac:dyDescent="0.3">
      <c r="R4489" s="1209"/>
    </row>
    <row r="4490" spans="18:18" ht="39" customHeight="1" x14ac:dyDescent="0.3">
      <c r="R4490" s="1209"/>
    </row>
    <row r="4491" spans="18:18" ht="39" customHeight="1" x14ac:dyDescent="0.3">
      <c r="R4491" s="1209"/>
    </row>
    <row r="4492" spans="18:18" ht="39" customHeight="1" x14ac:dyDescent="0.3">
      <c r="R4492" s="1209"/>
    </row>
    <row r="4493" spans="18:18" ht="39" customHeight="1" x14ac:dyDescent="0.3">
      <c r="R4493" s="1209"/>
    </row>
    <row r="4494" spans="18:18" ht="39" customHeight="1" x14ac:dyDescent="0.3">
      <c r="R4494" s="1209"/>
    </row>
    <row r="4495" spans="18:18" ht="39" customHeight="1" x14ac:dyDescent="0.3">
      <c r="R4495" s="1209"/>
    </row>
    <row r="4496" spans="18:18" ht="39" customHeight="1" x14ac:dyDescent="0.3">
      <c r="R4496" s="1209"/>
    </row>
    <row r="4497" spans="18:18" ht="39" customHeight="1" x14ac:dyDescent="0.3">
      <c r="R4497" s="1209"/>
    </row>
    <row r="4498" spans="18:18" ht="39" customHeight="1" x14ac:dyDescent="0.3">
      <c r="R4498" s="1209"/>
    </row>
    <row r="4499" spans="18:18" ht="39" customHeight="1" x14ac:dyDescent="0.3">
      <c r="R4499" s="1209"/>
    </row>
    <row r="4500" spans="18:18" ht="39" customHeight="1" x14ac:dyDescent="0.3">
      <c r="R4500" s="1209"/>
    </row>
    <row r="4501" spans="18:18" ht="39" customHeight="1" x14ac:dyDescent="0.3">
      <c r="R4501" s="1209"/>
    </row>
    <row r="4502" spans="18:18" ht="39" customHeight="1" x14ac:dyDescent="0.3">
      <c r="R4502" s="1209"/>
    </row>
    <row r="4503" spans="18:18" ht="39" customHeight="1" x14ac:dyDescent="0.3">
      <c r="R4503" s="1209"/>
    </row>
    <row r="4504" spans="18:18" ht="39" customHeight="1" x14ac:dyDescent="0.3">
      <c r="R4504" s="1209"/>
    </row>
    <row r="4505" spans="18:18" ht="39" customHeight="1" x14ac:dyDescent="0.3">
      <c r="R4505" s="1209"/>
    </row>
    <row r="4506" spans="18:18" ht="39" customHeight="1" x14ac:dyDescent="0.3">
      <c r="R4506" s="1209"/>
    </row>
    <row r="4507" spans="18:18" ht="39" customHeight="1" x14ac:dyDescent="0.3">
      <c r="R4507" s="1209"/>
    </row>
    <row r="4508" spans="18:18" ht="39" customHeight="1" x14ac:dyDescent="0.3">
      <c r="R4508" s="1209"/>
    </row>
    <row r="4509" spans="18:18" ht="39" customHeight="1" x14ac:dyDescent="0.3">
      <c r="R4509" s="1209"/>
    </row>
    <row r="4510" spans="18:18" ht="39" customHeight="1" x14ac:dyDescent="0.3">
      <c r="R4510" s="1209"/>
    </row>
    <row r="4511" spans="18:18" ht="39" customHeight="1" x14ac:dyDescent="0.3">
      <c r="R4511" s="1209"/>
    </row>
    <row r="4512" spans="18:18" ht="39" customHeight="1" x14ac:dyDescent="0.3">
      <c r="R4512" s="1209"/>
    </row>
    <row r="4513" spans="18:18" ht="39" customHeight="1" x14ac:dyDescent="0.3">
      <c r="R4513" s="1209"/>
    </row>
    <row r="4514" spans="18:18" ht="39" customHeight="1" x14ac:dyDescent="0.3">
      <c r="R4514" s="1209"/>
    </row>
    <row r="4515" spans="18:18" ht="39" customHeight="1" x14ac:dyDescent="0.3">
      <c r="R4515" s="1209"/>
    </row>
    <row r="4516" spans="18:18" ht="39" customHeight="1" x14ac:dyDescent="0.3">
      <c r="R4516" s="1209"/>
    </row>
    <row r="4517" spans="18:18" ht="39" customHeight="1" x14ac:dyDescent="0.3">
      <c r="R4517" s="1209"/>
    </row>
    <row r="4518" spans="18:18" ht="39" customHeight="1" x14ac:dyDescent="0.3">
      <c r="R4518" s="1209"/>
    </row>
    <row r="4519" spans="18:18" ht="39" customHeight="1" x14ac:dyDescent="0.3">
      <c r="R4519" s="1209"/>
    </row>
    <row r="4520" spans="18:18" ht="39" customHeight="1" x14ac:dyDescent="0.3">
      <c r="R4520" s="1209"/>
    </row>
    <row r="4521" spans="18:18" ht="39" customHeight="1" x14ac:dyDescent="0.3">
      <c r="R4521" s="1209"/>
    </row>
    <row r="4522" spans="18:18" ht="39" customHeight="1" x14ac:dyDescent="0.3">
      <c r="R4522" s="1209"/>
    </row>
    <row r="4523" spans="18:18" ht="39" customHeight="1" x14ac:dyDescent="0.3">
      <c r="R4523" s="1209"/>
    </row>
    <row r="4524" spans="18:18" ht="39" customHeight="1" x14ac:dyDescent="0.3">
      <c r="R4524" s="1209"/>
    </row>
    <row r="4525" spans="18:18" ht="39" customHeight="1" x14ac:dyDescent="0.3">
      <c r="R4525" s="1209"/>
    </row>
    <row r="4526" spans="18:18" ht="39" customHeight="1" x14ac:dyDescent="0.3">
      <c r="R4526" s="1209"/>
    </row>
    <row r="4527" spans="18:18" ht="39" customHeight="1" x14ac:dyDescent="0.3">
      <c r="R4527" s="1209"/>
    </row>
    <row r="4528" spans="18:18" ht="39" customHeight="1" x14ac:dyDescent="0.3">
      <c r="R4528" s="1209"/>
    </row>
    <row r="4529" spans="18:18" ht="39" customHeight="1" x14ac:dyDescent="0.3">
      <c r="R4529" s="1209"/>
    </row>
    <row r="4530" spans="18:18" ht="39" customHeight="1" x14ac:dyDescent="0.3">
      <c r="R4530" s="1209"/>
    </row>
    <row r="4531" spans="18:18" ht="39" customHeight="1" x14ac:dyDescent="0.3">
      <c r="R4531" s="1209"/>
    </row>
    <row r="4532" spans="18:18" ht="39" customHeight="1" x14ac:dyDescent="0.3">
      <c r="R4532" s="1209"/>
    </row>
    <row r="4533" spans="18:18" ht="39" customHeight="1" x14ac:dyDescent="0.3">
      <c r="R4533" s="1209"/>
    </row>
    <row r="4534" spans="18:18" ht="39" customHeight="1" x14ac:dyDescent="0.3">
      <c r="R4534" s="1209"/>
    </row>
    <row r="4535" spans="18:18" ht="39" customHeight="1" x14ac:dyDescent="0.3">
      <c r="R4535" s="1209"/>
    </row>
    <row r="4536" spans="18:18" ht="39" customHeight="1" x14ac:dyDescent="0.3">
      <c r="R4536" s="1209"/>
    </row>
    <row r="4537" spans="18:18" ht="39" customHeight="1" x14ac:dyDescent="0.3">
      <c r="R4537" s="1209"/>
    </row>
    <row r="4538" spans="18:18" ht="39" customHeight="1" x14ac:dyDescent="0.3">
      <c r="R4538" s="1209"/>
    </row>
    <row r="4539" spans="18:18" ht="39" customHeight="1" x14ac:dyDescent="0.3">
      <c r="R4539" s="1209"/>
    </row>
    <row r="4540" spans="18:18" ht="39" customHeight="1" x14ac:dyDescent="0.3">
      <c r="R4540" s="1209"/>
    </row>
    <row r="4541" spans="18:18" ht="39" customHeight="1" x14ac:dyDescent="0.3">
      <c r="R4541" s="1209"/>
    </row>
    <row r="4542" spans="18:18" ht="39" customHeight="1" x14ac:dyDescent="0.3">
      <c r="R4542" s="1209"/>
    </row>
    <row r="4543" spans="18:18" ht="39" customHeight="1" x14ac:dyDescent="0.3">
      <c r="R4543" s="1209"/>
    </row>
    <row r="4544" spans="18:18" ht="39" customHeight="1" x14ac:dyDescent="0.3">
      <c r="R4544" s="1209"/>
    </row>
    <row r="4545" spans="18:18" ht="39" customHeight="1" x14ac:dyDescent="0.3">
      <c r="R4545" s="1209"/>
    </row>
    <row r="4546" spans="18:18" ht="39" customHeight="1" x14ac:dyDescent="0.3">
      <c r="R4546" s="1209"/>
    </row>
    <row r="4547" spans="18:18" ht="39" customHeight="1" x14ac:dyDescent="0.3">
      <c r="R4547" s="1209"/>
    </row>
    <row r="4548" spans="18:18" ht="39" customHeight="1" x14ac:dyDescent="0.3">
      <c r="R4548" s="1209"/>
    </row>
    <row r="4549" spans="18:18" ht="39" customHeight="1" x14ac:dyDescent="0.3">
      <c r="R4549" s="1209"/>
    </row>
    <row r="4550" spans="18:18" ht="39" customHeight="1" x14ac:dyDescent="0.3">
      <c r="R4550" s="1209"/>
    </row>
    <row r="4551" spans="18:18" ht="39" customHeight="1" x14ac:dyDescent="0.3">
      <c r="R4551" s="1209"/>
    </row>
    <row r="4552" spans="18:18" ht="39" customHeight="1" x14ac:dyDescent="0.3">
      <c r="R4552" s="1209"/>
    </row>
    <row r="4553" spans="18:18" ht="39" customHeight="1" x14ac:dyDescent="0.3">
      <c r="R4553" s="1209"/>
    </row>
    <row r="4554" spans="18:18" ht="39" customHeight="1" x14ac:dyDescent="0.3">
      <c r="R4554" s="1209"/>
    </row>
    <row r="4555" spans="18:18" ht="39" customHeight="1" x14ac:dyDescent="0.3">
      <c r="R4555" s="1209"/>
    </row>
    <row r="4556" spans="18:18" ht="39" customHeight="1" x14ac:dyDescent="0.3">
      <c r="R4556" s="1209"/>
    </row>
    <row r="4557" spans="18:18" ht="39" customHeight="1" x14ac:dyDescent="0.3">
      <c r="R4557" s="1209"/>
    </row>
    <row r="4558" spans="18:18" ht="39" customHeight="1" x14ac:dyDescent="0.3">
      <c r="R4558" s="1209"/>
    </row>
    <row r="4559" spans="18:18" ht="39" customHeight="1" x14ac:dyDescent="0.3">
      <c r="R4559" s="1209"/>
    </row>
    <row r="4560" spans="18:18" ht="39" customHeight="1" x14ac:dyDescent="0.3">
      <c r="R4560" s="1209"/>
    </row>
    <row r="4561" spans="18:18" ht="39" customHeight="1" x14ac:dyDescent="0.3">
      <c r="R4561" s="1209"/>
    </row>
    <row r="4562" spans="18:18" ht="39" customHeight="1" x14ac:dyDescent="0.3">
      <c r="R4562" s="1209"/>
    </row>
    <row r="4563" spans="18:18" ht="39" customHeight="1" x14ac:dyDescent="0.3">
      <c r="R4563" s="1209"/>
    </row>
    <row r="4564" spans="18:18" ht="39" customHeight="1" x14ac:dyDescent="0.3">
      <c r="R4564" s="1209"/>
    </row>
    <row r="4565" spans="18:18" ht="39" customHeight="1" x14ac:dyDescent="0.3">
      <c r="R4565" s="1209"/>
    </row>
    <row r="4566" spans="18:18" ht="39" customHeight="1" x14ac:dyDescent="0.3">
      <c r="R4566" s="1209"/>
    </row>
    <row r="4567" spans="18:18" ht="39" customHeight="1" x14ac:dyDescent="0.3">
      <c r="R4567" s="1209"/>
    </row>
    <row r="4568" spans="18:18" ht="39" customHeight="1" x14ac:dyDescent="0.3">
      <c r="R4568" s="1209"/>
    </row>
    <row r="4569" spans="18:18" ht="39" customHeight="1" x14ac:dyDescent="0.3">
      <c r="R4569" s="1209"/>
    </row>
    <row r="4570" spans="18:18" ht="39" customHeight="1" x14ac:dyDescent="0.3">
      <c r="R4570" s="1209"/>
    </row>
    <row r="4571" spans="18:18" ht="39" customHeight="1" x14ac:dyDescent="0.3">
      <c r="R4571" s="1209"/>
    </row>
    <row r="4572" spans="18:18" ht="39" customHeight="1" x14ac:dyDescent="0.3">
      <c r="R4572" s="1209"/>
    </row>
    <row r="4573" spans="18:18" ht="39" customHeight="1" x14ac:dyDescent="0.3">
      <c r="R4573" s="1209"/>
    </row>
    <row r="4574" spans="18:18" ht="39" customHeight="1" x14ac:dyDescent="0.3">
      <c r="R4574" s="1209"/>
    </row>
    <row r="4575" spans="18:18" ht="39" customHeight="1" x14ac:dyDescent="0.3">
      <c r="R4575" s="1209"/>
    </row>
    <row r="4576" spans="18:18" ht="39" customHeight="1" x14ac:dyDescent="0.3">
      <c r="R4576" s="1209"/>
    </row>
    <row r="4577" spans="18:18" ht="39" customHeight="1" x14ac:dyDescent="0.3">
      <c r="R4577" s="1209"/>
    </row>
    <row r="4578" spans="18:18" ht="39" customHeight="1" x14ac:dyDescent="0.3">
      <c r="R4578" s="1209"/>
    </row>
    <row r="4579" spans="18:18" ht="39" customHeight="1" x14ac:dyDescent="0.3">
      <c r="R4579" s="1209"/>
    </row>
    <row r="4580" spans="18:18" ht="39" customHeight="1" x14ac:dyDescent="0.3">
      <c r="R4580" s="1209"/>
    </row>
    <row r="4581" spans="18:18" ht="39" customHeight="1" x14ac:dyDescent="0.3">
      <c r="R4581" s="1209"/>
    </row>
    <row r="4582" spans="18:18" ht="39" customHeight="1" x14ac:dyDescent="0.3">
      <c r="R4582" s="1209"/>
    </row>
    <row r="4583" spans="18:18" ht="39" customHeight="1" x14ac:dyDescent="0.3">
      <c r="R4583" s="1209"/>
    </row>
    <row r="4584" spans="18:18" ht="39" customHeight="1" x14ac:dyDescent="0.3">
      <c r="R4584" s="1209"/>
    </row>
    <row r="4585" spans="18:18" ht="39" customHeight="1" x14ac:dyDescent="0.3">
      <c r="R4585" s="1209"/>
    </row>
    <row r="4586" spans="18:18" ht="39" customHeight="1" x14ac:dyDescent="0.3">
      <c r="R4586" s="1209"/>
    </row>
    <row r="4587" spans="18:18" ht="39" customHeight="1" x14ac:dyDescent="0.3">
      <c r="R4587" s="1209"/>
    </row>
    <row r="4588" spans="18:18" ht="39" customHeight="1" x14ac:dyDescent="0.3">
      <c r="R4588" s="1209"/>
    </row>
    <row r="4589" spans="18:18" ht="39" customHeight="1" x14ac:dyDescent="0.3">
      <c r="R4589" s="1209"/>
    </row>
    <row r="4590" spans="18:18" ht="39" customHeight="1" x14ac:dyDescent="0.3">
      <c r="R4590" s="1209"/>
    </row>
    <row r="4591" spans="18:18" ht="39" customHeight="1" x14ac:dyDescent="0.3">
      <c r="R4591" s="1209"/>
    </row>
    <row r="4592" spans="18:18" ht="39" customHeight="1" x14ac:dyDescent="0.3">
      <c r="R4592" s="1209"/>
    </row>
    <row r="4593" spans="18:18" ht="39" customHeight="1" x14ac:dyDescent="0.3">
      <c r="R4593" s="1209"/>
    </row>
    <row r="4594" spans="18:18" ht="39" customHeight="1" x14ac:dyDescent="0.3">
      <c r="R4594" s="1209"/>
    </row>
    <row r="4595" spans="18:18" ht="39" customHeight="1" x14ac:dyDescent="0.3">
      <c r="R4595" s="1209"/>
    </row>
    <row r="4596" spans="18:18" ht="39" customHeight="1" x14ac:dyDescent="0.3">
      <c r="R4596" s="1209"/>
    </row>
    <row r="4597" spans="18:18" ht="39" customHeight="1" x14ac:dyDescent="0.3">
      <c r="R4597" s="1209"/>
    </row>
    <row r="4598" spans="18:18" ht="39" customHeight="1" x14ac:dyDescent="0.3">
      <c r="R4598" s="1209"/>
    </row>
    <row r="4599" spans="18:18" ht="39" customHeight="1" x14ac:dyDescent="0.3">
      <c r="R4599" s="1209"/>
    </row>
    <row r="4600" spans="18:18" ht="39" customHeight="1" x14ac:dyDescent="0.3">
      <c r="R4600" s="1209"/>
    </row>
    <row r="4601" spans="18:18" ht="39" customHeight="1" x14ac:dyDescent="0.3">
      <c r="R4601" s="1209"/>
    </row>
    <row r="4602" spans="18:18" ht="39" customHeight="1" x14ac:dyDescent="0.3">
      <c r="R4602" s="1209"/>
    </row>
    <row r="4603" spans="18:18" ht="39" customHeight="1" x14ac:dyDescent="0.3">
      <c r="R4603" s="1209"/>
    </row>
    <row r="4604" spans="18:18" ht="39" customHeight="1" x14ac:dyDescent="0.3">
      <c r="R4604" s="1209"/>
    </row>
    <row r="4605" spans="18:18" ht="39" customHeight="1" x14ac:dyDescent="0.3">
      <c r="R4605" s="1209"/>
    </row>
    <row r="4606" spans="18:18" ht="39" customHeight="1" x14ac:dyDescent="0.3">
      <c r="R4606" s="1209"/>
    </row>
    <row r="4607" spans="18:18" ht="39" customHeight="1" x14ac:dyDescent="0.3">
      <c r="R4607" s="1209"/>
    </row>
    <row r="4608" spans="18:18" ht="39" customHeight="1" x14ac:dyDescent="0.3">
      <c r="R4608" s="1209"/>
    </row>
    <row r="4609" spans="18:18" ht="39" customHeight="1" x14ac:dyDescent="0.3">
      <c r="R4609" s="1209"/>
    </row>
    <row r="4610" spans="18:18" ht="39" customHeight="1" x14ac:dyDescent="0.3">
      <c r="R4610" s="1209"/>
    </row>
    <row r="4611" spans="18:18" ht="39" customHeight="1" x14ac:dyDescent="0.3">
      <c r="R4611" s="1209"/>
    </row>
    <row r="4612" spans="18:18" ht="39" customHeight="1" x14ac:dyDescent="0.3">
      <c r="R4612" s="1209"/>
    </row>
    <row r="4613" spans="18:18" ht="39" customHeight="1" x14ac:dyDescent="0.3">
      <c r="R4613" s="1209"/>
    </row>
    <row r="4614" spans="18:18" ht="39" customHeight="1" x14ac:dyDescent="0.3">
      <c r="R4614" s="1209"/>
    </row>
    <row r="4615" spans="18:18" ht="39" customHeight="1" x14ac:dyDescent="0.3">
      <c r="R4615" s="1209"/>
    </row>
    <row r="4616" spans="18:18" ht="39" customHeight="1" x14ac:dyDescent="0.3">
      <c r="R4616" s="1209"/>
    </row>
    <row r="4617" spans="18:18" ht="39" customHeight="1" x14ac:dyDescent="0.3">
      <c r="R4617" s="1209"/>
    </row>
    <row r="4618" spans="18:18" ht="39" customHeight="1" x14ac:dyDescent="0.3">
      <c r="R4618" s="1209"/>
    </row>
    <row r="4619" spans="18:18" ht="39" customHeight="1" x14ac:dyDescent="0.3">
      <c r="R4619" s="1209"/>
    </row>
    <row r="4620" spans="18:18" ht="39" customHeight="1" x14ac:dyDescent="0.3">
      <c r="R4620" s="1209"/>
    </row>
    <row r="4621" spans="18:18" ht="39" customHeight="1" x14ac:dyDescent="0.3">
      <c r="R4621" s="1209"/>
    </row>
    <row r="4622" spans="18:18" ht="39" customHeight="1" x14ac:dyDescent="0.3">
      <c r="R4622" s="1209"/>
    </row>
    <row r="4623" spans="18:18" ht="39" customHeight="1" x14ac:dyDescent="0.3">
      <c r="R4623" s="1209"/>
    </row>
    <row r="4624" spans="18:18" ht="39" customHeight="1" x14ac:dyDescent="0.3">
      <c r="R4624" s="1209"/>
    </row>
    <row r="4625" spans="18:18" ht="39" customHeight="1" x14ac:dyDescent="0.3">
      <c r="R4625" s="1209"/>
    </row>
    <row r="4626" spans="18:18" ht="39" customHeight="1" x14ac:dyDescent="0.3">
      <c r="R4626" s="1209"/>
    </row>
    <row r="4627" spans="18:18" ht="39" customHeight="1" x14ac:dyDescent="0.3">
      <c r="R4627" s="1209"/>
    </row>
    <row r="4628" spans="18:18" ht="39" customHeight="1" x14ac:dyDescent="0.3">
      <c r="R4628" s="1209"/>
    </row>
    <row r="4629" spans="18:18" ht="39" customHeight="1" x14ac:dyDescent="0.3">
      <c r="R4629" s="1209"/>
    </row>
    <row r="4630" spans="18:18" ht="39" customHeight="1" x14ac:dyDescent="0.3">
      <c r="R4630" s="1209"/>
    </row>
    <row r="4631" spans="18:18" ht="39" customHeight="1" x14ac:dyDescent="0.3">
      <c r="R4631" s="1209"/>
    </row>
    <row r="4632" spans="18:18" ht="39" customHeight="1" x14ac:dyDescent="0.3">
      <c r="R4632" s="1209"/>
    </row>
    <row r="4633" spans="18:18" ht="39" customHeight="1" x14ac:dyDescent="0.3">
      <c r="R4633" s="1209"/>
    </row>
    <row r="4634" spans="18:18" ht="39" customHeight="1" x14ac:dyDescent="0.3">
      <c r="R4634" s="1209"/>
    </row>
    <row r="4635" spans="18:18" ht="39" customHeight="1" x14ac:dyDescent="0.3">
      <c r="R4635" s="1209"/>
    </row>
    <row r="4636" spans="18:18" ht="39" customHeight="1" x14ac:dyDescent="0.3">
      <c r="R4636" s="1209"/>
    </row>
    <row r="4637" spans="18:18" ht="39" customHeight="1" x14ac:dyDescent="0.3">
      <c r="R4637" s="1209"/>
    </row>
    <row r="4638" spans="18:18" ht="39" customHeight="1" x14ac:dyDescent="0.3">
      <c r="R4638" s="1209"/>
    </row>
    <row r="4639" spans="18:18" ht="39" customHeight="1" x14ac:dyDescent="0.3">
      <c r="R4639" s="1209"/>
    </row>
    <row r="4640" spans="18:18" ht="39" customHeight="1" x14ac:dyDescent="0.3">
      <c r="R4640" s="1209"/>
    </row>
    <row r="4641" spans="18:18" ht="39" customHeight="1" x14ac:dyDescent="0.3">
      <c r="R4641" s="1209"/>
    </row>
    <row r="4642" spans="18:18" ht="39" customHeight="1" x14ac:dyDescent="0.3">
      <c r="R4642" s="1209"/>
    </row>
    <row r="4643" spans="18:18" ht="39" customHeight="1" x14ac:dyDescent="0.3">
      <c r="R4643" s="1209"/>
    </row>
    <row r="4644" spans="18:18" ht="39" customHeight="1" x14ac:dyDescent="0.3">
      <c r="R4644" s="1209"/>
    </row>
    <row r="4645" spans="18:18" ht="39" customHeight="1" x14ac:dyDescent="0.3">
      <c r="R4645" s="1209"/>
    </row>
    <row r="4646" spans="18:18" ht="39" customHeight="1" x14ac:dyDescent="0.3">
      <c r="R4646" s="1209"/>
    </row>
    <row r="4647" spans="18:18" ht="39" customHeight="1" x14ac:dyDescent="0.3">
      <c r="R4647" s="1209"/>
    </row>
    <row r="4648" spans="18:18" ht="39" customHeight="1" x14ac:dyDescent="0.3">
      <c r="R4648" s="1209"/>
    </row>
    <row r="4649" spans="18:18" ht="39" customHeight="1" x14ac:dyDescent="0.3">
      <c r="R4649" s="1209"/>
    </row>
    <row r="4650" spans="18:18" ht="39" customHeight="1" x14ac:dyDescent="0.3">
      <c r="R4650" s="1209"/>
    </row>
    <row r="4651" spans="18:18" ht="39" customHeight="1" x14ac:dyDescent="0.3">
      <c r="R4651" s="1209"/>
    </row>
    <row r="4652" spans="18:18" ht="39" customHeight="1" x14ac:dyDescent="0.3">
      <c r="R4652" s="1209"/>
    </row>
    <row r="4653" spans="18:18" ht="39" customHeight="1" x14ac:dyDescent="0.3">
      <c r="R4653" s="1209"/>
    </row>
    <row r="4654" spans="18:18" ht="39" customHeight="1" x14ac:dyDescent="0.3">
      <c r="R4654" s="1209"/>
    </row>
    <row r="4655" spans="18:18" ht="39" customHeight="1" x14ac:dyDescent="0.3">
      <c r="R4655" s="1209"/>
    </row>
    <row r="4656" spans="18:18" ht="39" customHeight="1" x14ac:dyDescent="0.3">
      <c r="R4656" s="1209"/>
    </row>
    <row r="4657" spans="18:18" ht="39" customHeight="1" x14ac:dyDescent="0.3">
      <c r="R4657" s="1209"/>
    </row>
    <row r="4658" spans="18:18" ht="39" customHeight="1" x14ac:dyDescent="0.3">
      <c r="R4658" s="1209"/>
    </row>
    <row r="4659" spans="18:18" ht="39" customHeight="1" x14ac:dyDescent="0.3">
      <c r="R4659" s="1209"/>
    </row>
    <row r="4660" spans="18:18" ht="39" customHeight="1" x14ac:dyDescent="0.3">
      <c r="R4660" s="1209"/>
    </row>
    <row r="4661" spans="18:18" ht="39" customHeight="1" x14ac:dyDescent="0.3">
      <c r="R4661" s="1209"/>
    </row>
    <row r="4662" spans="18:18" ht="39" customHeight="1" x14ac:dyDescent="0.3">
      <c r="R4662" s="1209"/>
    </row>
    <row r="4663" spans="18:18" ht="39" customHeight="1" x14ac:dyDescent="0.3">
      <c r="R4663" s="1209"/>
    </row>
    <row r="4664" spans="18:18" ht="39" customHeight="1" x14ac:dyDescent="0.3">
      <c r="R4664" s="1209"/>
    </row>
    <row r="4665" spans="18:18" ht="39" customHeight="1" x14ac:dyDescent="0.3">
      <c r="R4665" s="1209"/>
    </row>
    <row r="4666" spans="18:18" ht="39" customHeight="1" x14ac:dyDescent="0.3">
      <c r="R4666" s="1209"/>
    </row>
    <row r="4667" spans="18:18" ht="39" customHeight="1" x14ac:dyDescent="0.3">
      <c r="R4667" s="1209"/>
    </row>
    <row r="4668" spans="18:18" ht="39" customHeight="1" x14ac:dyDescent="0.3">
      <c r="R4668" s="1209"/>
    </row>
    <row r="4669" spans="18:18" ht="39" customHeight="1" x14ac:dyDescent="0.3">
      <c r="R4669" s="1209"/>
    </row>
    <row r="4670" spans="18:18" ht="39" customHeight="1" x14ac:dyDescent="0.3">
      <c r="R4670" s="1209"/>
    </row>
    <row r="4671" spans="18:18" ht="39" customHeight="1" x14ac:dyDescent="0.3">
      <c r="R4671" s="1209"/>
    </row>
    <row r="4672" spans="18:18" ht="39" customHeight="1" x14ac:dyDescent="0.3">
      <c r="R4672" s="1209"/>
    </row>
    <row r="4673" spans="18:18" ht="39" customHeight="1" x14ac:dyDescent="0.3">
      <c r="R4673" s="1209"/>
    </row>
    <row r="4674" spans="18:18" ht="39" customHeight="1" x14ac:dyDescent="0.3">
      <c r="R4674" s="1209"/>
    </row>
    <row r="4675" spans="18:18" ht="39" customHeight="1" x14ac:dyDescent="0.3">
      <c r="R4675" s="1209"/>
    </row>
    <row r="4676" spans="18:18" ht="39" customHeight="1" x14ac:dyDescent="0.3">
      <c r="R4676" s="1209"/>
    </row>
    <row r="4677" spans="18:18" ht="39" customHeight="1" x14ac:dyDescent="0.3">
      <c r="R4677" s="1209"/>
    </row>
    <row r="4678" spans="18:18" ht="39" customHeight="1" x14ac:dyDescent="0.3">
      <c r="R4678" s="1209"/>
    </row>
    <row r="4679" spans="18:18" ht="39" customHeight="1" x14ac:dyDescent="0.3">
      <c r="R4679" s="1209"/>
    </row>
    <row r="4680" spans="18:18" ht="39" customHeight="1" x14ac:dyDescent="0.3">
      <c r="R4680" s="1209"/>
    </row>
    <row r="4681" spans="18:18" ht="39" customHeight="1" x14ac:dyDescent="0.3">
      <c r="R4681" s="1209"/>
    </row>
    <row r="4682" spans="18:18" ht="39" customHeight="1" x14ac:dyDescent="0.3">
      <c r="R4682" s="1209"/>
    </row>
    <row r="4683" spans="18:18" ht="39" customHeight="1" x14ac:dyDescent="0.3">
      <c r="R4683" s="1209"/>
    </row>
    <row r="4684" spans="18:18" ht="39" customHeight="1" x14ac:dyDescent="0.3">
      <c r="R4684" s="1209"/>
    </row>
    <row r="4685" spans="18:18" ht="39" customHeight="1" x14ac:dyDescent="0.3">
      <c r="R4685" s="1209"/>
    </row>
    <row r="4686" spans="18:18" ht="39" customHeight="1" x14ac:dyDescent="0.3">
      <c r="R4686" s="1209"/>
    </row>
    <row r="4687" spans="18:18" ht="39" customHeight="1" x14ac:dyDescent="0.3">
      <c r="R4687" s="1209"/>
    </row>
    <row r="4688" spans="18:18" ht="39" customHeight="1" x14ac:dyDescent="0.3">
      <c r="R4688" s="1209"/>
    </row>
    <row r="4689" spans="18:18" ht="39" customHeight="1" x14ac:dyDescent="0.3">
      <c r="R4689" s="1209"/>
    </row>
    <row r="4690" spans="18:18" ht="39" customHeight="1" x14ac:dyDescent="0.3">
      <c r="R4690" s="1209"/>
    </row>
    <row r="4691" spans="18:18" ht="39" customHeight="1" x14ac:dyDescent="0.3">
      <c r="R4691" s="1209"/>
    </row>
    <row r="4692" spans="18:18" ht="39" customHeight="1" x14ac:dyDescent="0.3">
      <c r="R4692" s="1209"/>
    </row>
    <row r="4693" spans="18:18" ht="39" customHeight="1" x14ac:dyDescent="0.3">
      <c r="R4693" s="1209"/>
    </row>
  </sheetData>
  <autoFilter ref="A1:AU2389"/>
  <pageMargins left="0" right="0" top="0" bottom="0" header="0" footer="0"/>
  <pageSetup paperSize="9" scale="13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B1:L103"/>
  <sheetViews>
    <sheetView topLeftCell="A4" zoomScale="115" zoomScaleNormal="115" workbookViewId="0">
      <selection activeCell="K13" sqref="K13"/>
    </sheetView>
  </sheetViews>
  <sheetFormatPr defaultRowHeight="15" x14ac:dyDescent="0.25"/>
  <cols>
    <col min="2" max="2" width="16.7109375" customWidth="1"/>
    <col min="3" max="3" width="7" customWidth="1"/>
    <col min="4" max="4" width="7.42578125" customWidth="1"/>
    <col min="5" max="5" width="6.7109375" customWidth="1"/>
    <col min="6" max="6" width="6.28515625" customWidth="1"/>
    <col min="7" max="8" width="6.7109375" customWidth="1"/>
    <col min="9" max="9" width="6.5703125" customWidth="1"/>
    <col min="10" max="10" width="7.85546875" customWidth="1"/>
    <col min="11" max="11" width="11.5703125" customWidth="1"/>
  </cols>
  <sheetData>
    <row r="1" spans="2:12" ht="1.5" customHeight="1" x14ac:dyDescent="0.25"/>
    <row r="2" spans="2:12" ht="18.75" customHeight="1" x14ac:dyDescent="0.25">
      <c r="K2" s="1313" t="s">
        <v>4967</v>
      </c>
    </row>
    <row r="3" spans="2:12" x14ac:dyDescent="0.25">
      <c r="B3" s="1710" t="s">
        <v>4968</v>
      </c>
      <c r="C3" s="1710"/>
      <c r="D3" s="1710"/>
      <c r="E3" s="1710"/>
      <c r="F3" s="1710"/>
      <c r="G3" s="1710"/>
      <c r="H3" s="1710"/>
      <c r="I3" s="1710"/>
      <c r="J3" s="1710"/>
      <c r="K3" s="1710"/>
    </row>
    <row r="4" spans="2:12" x14ac:dyDescent="0.25">
      <c r="B4" s="1710"/>
      <c r="C4" s="1710"/>
      <c r="D4" s="1710"/>
      <c r="E4" s="1710"/>
      <c r="F4" s="1710"/>
      <c r="G4" s="1710"/>
      <c r="H4" s="1710"/>
      <c r="I4" s="1710"/>
      <c r="J4" s="1710"/>
      <c r="K4" s="1710"/>
    </row>
    <row r="5" spans="2:12" ht="18.75" x14ac:dyDescent="0.3">
      <c r="B5" s="1314"/>
      <c r="C5" s="1314"/>
      <c r="D5" s="1711" t="s">
        <v>4969</v>
      </c>
      <c r="E5" s="1711"/>
      <c r="F5" s="1711"/>
      <c r="G5" s="1711"/>
      <c r="H5" s="1712"/>
      <c r="I5" s="1314"/>
      <c r="J5" s="1314"/>
      <c r="K5" s="1314"/>
    </row>
    <row r="6" spans="2:12" x14ac:dyDescent="0.25">
      <c r="B6" s="1713" t="s">
        <v>4970</v>
      </c>
      <c r="C6" s="1713"/>
      <c r="D6" s="1713"/>
      <c r="E6" s="1713"/>
      <c r="F6" s="1713"/>
      <c r="G6" s="1713"/>
      <c r="H6" s="1713"/>
      <c r="I6" s="1713"/>
      <c r="J6" s="1713"/>
      <c r="K6" s="1713"/>
    </row>
    <row r="7" spans="2:12" x14ac:dyDescent="0.25">
      <c r="B7" s="1313"/>
      <c r="C7" s="1313"/>
      <c r="D7" s="1313"/>
      <c r="E7" s="1313"/>
      <c r="F7" s="1313"/>
      <c r="G7" s="1313"/>
      <c r="H7" s="1313"/>
      <c r="I7" s="1313"/>
      <c r="J7" s="1313"/>
      <c r="K7" s="1313"/>
    </row>
    <row r="8" spans="2:12" x14ac:dyDescent="0.25">
      <c r="B8" s="1714" t="s">
        <v>4971</v>
      </c>
      <c r="C8" s="1714"/>
      <c r="D8" s="1714"/>
      <c r="E8" s="1714"/>
      <c r="F8" s="1714"/>
      <c r="G8" s="1714"/>
      <c r="H8" s="1714"/>
      <c r="I8" s="1714"/>
      <c r="J8" s="1714"/>
      <c r="K8" s="1714"/>
    </row>
    <row r="9" spans="2:12" ht="15.75" thickBot="1" x14ac:dyDescent="0.3">
      <c r="B9" s="1313"/>
      <c r="C9" s="1313"/>
      <c r="D9" s="1315"/>
      <c r="E9" s="1313"/>
      <c r="F9" s="1313"/>
      <c r="G9" s="1313"/>
      <c r="H9" s="1313"/>
      <c r="I9" s="1313"/>
      <c r="J9" s="1313"/>
      <c r="K9" s="1315"/>
    </row>
    <row r="10" spans="2:12" ht="21.75" customHeight="1" x14ac:dyDescent="0.25">
      <c r="B10" s="1715"/>
      <c r="C10" s="1717" t="s">
        <v>1834</v>
      </c>
      <c r="D10" s="1717" t="s">
        <v>4972</v>
      </c>
      <c r="E10" s="1717" t="s">
        <v>4973</v>
      </c>
      <c r="F10" s="1717"/>
      <c r="G10" s="1717"/>
      <c r="H10" s="1717" t="s">
        <v>4974</v>
      </c>
      <c r="I10" s="1717"/>
      <c r="J10" s="1717"/>
      <c r="K10" s="1708" t="s">
        <v>4975</v>
      </c>
      <c r="L10" s="1316"/>
    </row>
    <row r="11" spans="2:12" ht="21" customHeight="1" thickBot="1" x14ac:dyDescent="0.3">
      <c r="B11" s="1716"/>
      <c r="C11" s="1718"/>
      <c r="D11" s="1718"/>
      <c r="E11" s="1317" t="s">
        <v>888</v>
      </c>
      <c r="F11" s="1317" t="s">
        <v>909</v>
      </c>
      <c r="G11" s="1317" t="s">
        <v>908</v>
      </c>
      <c r="H11" s="1317" t="s">
        <v>888</v>
      </c>
      <c r="I11" s="1317" t="s">
        <v>909</v>
      </c>
      <c r="J11" s="1317" t="s">
        <v>908</v>
      </c>
      <c r="K11" s="1709"/>
      <c r="L11" s="1316"/>
    </row>
    <row r="12" spans="2:12" ht="27.75" customHeight="1" thickBot="1" x14ac:dyDescent="0.3">
      <c r="B12" s="1318" t="s">
        <v>4976</v>
      </c>
      <c r="C12" s="1344">
        <f>'Развернутая строевая'!G24</f>
        <v>161</v>
      </c>
      <c r="D12" s="1344">
        <f>'Развернутая строевая'!H24</f>
        <v>64</v>
      </c>
      <c r="E12" s="1344">
        <f>'Развернутая строевая'!I24</f>
        <v>274</v>
      </c>
      <c r="F12" s="1344"/>
      <c r="G12" s="1344"/>
      <c r="H12" s="1344">
        <f>'Развернутая строевая'!J24</f>
        <v>1480</v>
      </c>
      <c r="I12" s="1344"/>
      <c r="J12" s="1344"/>
      <c r="K12" s="1345">
        <f>C12+D12+E12+H12</f>
        <v>1979</v>
      </c>
      <c r="L12" s="1316"/>
    </row>
    <row r="13" spans="2:12" ht="27.75" customHeight="1" thickBot="1" x14ac:dyDescent="0.3">
      <c r="B13" s="1319" t="s">
        <v>4977</v>
      </c>
      <c r="C13" s="1350">
        <f>COUNTIFS(ШТАТ!$AJ:$AJ,"о")</f>
        <v>163</v>
      </c>
      <c r="D13" s="1350">
        <f>COUNTIFS(ШТАТ!$AJ:$AJ,"п")</f>
        <v>46</v>
      </c>
      <c r="E13" s="1350">
        <f t="shared" ref="E13:E18" si="0">F13+G13</f>
        <v>206</v>
      </c>
      <c r="F13" s="1350">
        <f>COUNTIFS(ШТАТ!$AJ:$AJ,"с/с",ШТАТ!$AK:$AK,3)</f>
        <v>43</v>
      </c>
      <c r="G13" s="1350">
        <f>COUNTIFS(ШТАТ!$AJ:$AJ,"к/с",ШТАТ!$AK:$AK,3)</f>
        <v>163</v>
      </c>
      <c r="H13" s="1350">
        <f t="shared" ref="H13:H18" si="1">I13+J13</f>
        <v>1359</v>
      </c>
      <c r="I13" s="1350">
        <f>COUNTIFS(ШТАТ!$AJ:$AJ,"с/с",ШТАТ!$AK:$AK,4)</f>
        <v>611</v>
      </c>
      <c r="J13" s="1350">
        <f>COUNTIFS(ШТАТ!$AJ:$AJ,"к/с",ШТАТ!$AK:$AK,4)</f>
        <v>748</v>
      </c>
      <c r="K13" s="1345">
        <f>C13+D13+E13+H13</f>
        <v>1774</v>
      </c>
      <c r="L13" s="1316"/>
    </row>
    <row r="14" spans="2:12" ht="35.25" customHeight="1" thickBot="1" x14ac:dyDescent="0.3">
      <c r="B14" s="1320" t="s">
        <v>4978</v>
      </c>
      <c r="C14" s="1346">
        <f>COUNTIFS(ШТАТ!$AJ:$AJ,"о",ШТАТ!$U:$U,"отпуск")</f>
        <v>3</v>
      </c>
      <c r="D14" s="1346">
        <f>COUNTIFS(ШТАТ!$AJ:$AJ,"п",ШТАТ!$U:$U,"отпуск")</f>
        <v>0</v>
      </c>
      <c r="E14" s="1350">
        <f t="shared" si="0"/>
        <v>4</v>
      </c>
      <c r="F14" s="1346">
        <f>COUNTIFS(ШТАТ!$AJ:$AJ,"к/с",ШТАТ!$U:$U,"отпуск",ШТАТ!$AK:$AK,3)</f>
        <v>4</v>
      </c>
      <c r="G14" s="1346">
        <f>COUNTIFS(ШТАТ!$AJ:$AJ,"с/с",ШТАТ!$U:$U,"отпуск",ШТАТ!$AK:$AK,3)</f>
        <v>0</v>
      </c>
      <c r="H14" s="1350">
        <f t="shared" si="1"/>
        <v>12</v>
      </c>
      <c r="I14" s="1346">
        <f>COUNTIFS(ШТАТ!$AJ:$AJ,"с/с",ШТАТ!$U:$U,"отпуск",ШТАТ!$AK:$AK,4)</f>
        <v>1</v>
      </c>
      <c r="J14" s="1346">
        <f>COUNTIFS(ШТАТ!$AJ:$AJ,"к/с",ШТАТ!$U:$U,"отпуск",ШТАТ!$AK:$AK,4)</f>
        <v>11</v>
      </c>
      <c r="K14" s="1351">
        <f>C14+D14+E14+H14</f>
        <v>19</v>
      </c>
      <c r="L14" s="1316"/>
    </row>
    <row r="15" spans="2:12" ht="27.75" customHeight="1" thickBot="1" x14ac:dyDescent="0.3">
      <c r="B15" s="1321" t="s">
        <v>4979</v>
      </c>
      <c r="C15" s="1346">
        <f>COUNTIFS(ШТАТ!$AJ:$AJ,"о",ШТАТ!$U:$U,"госп")</f>
        <v>0</v>
      </c>
      <c r="D15" s="1346">
        <f>COUNTIFS(ШТАТ!$AJ:$AJ,"п",ШТАТ!$U:$U,"госп")</f>
        <v>2</v>
      </c>
      <c r="E15" s="1350">
        <f t="shared" si="0"/>
        <v>1</v>
      </c>
      <c r="F15" s="1346">
        <f>COUNTIFS(ШТАТ!$AJ:$AJ,"к/с",ШТАТ!$U:$U,"госп",ШТАТ!$AK:$AK,3)</f>
        <v>1</v>
      </c>
      <c r="G15" s="1346">
        <f>COUNTIFS(ШТАТ!$AJ:$AJ,"с/с",ШТАТ!$U:$U,"госп",ШТАТ!$AK:$AK,3)</f>
        <v>0</v>
      </c>
      <c r="H15" s="1350">
        <f t="shared" si="1"/>
        <v>19</v>
      </c>
      <c r="I15" s="1346">
        <f>COUNTIFS(ШТАТ!$AJ:$AJ,"с/с",ШТАТ!$U:$U,"госп",ШТАТ!$AK:$AK,4)</f>
        <v>7</v>
      </c>
      <c r="J15" s="1346">
        <f>COUNTIFS(ШТАТ!$AJ:$AJ,"к/с",ШТАТ!$U:$U,"госп",ШТАТ!$AK:$AK,4)</f>
        <v>12</v>
      </c>
      <c r="K15" s="1345">
        <f>C15+D15+E15+H15</f>
        <v>22</v>
      </c>
      <c r="L15" s="1316"/>
    </row>
    <row r="16" spans="2:12" ht="27.75" customHeight="1" thickBot="1" x14ac:dyDescent="0.3">
      <c r="B16" s="1322" t="s">
        <v>4980</v>
      </c>
      <c r="C16" s="1346"/>
      <c r="D16" s="1346"/>
      <c r="E16" s="1350">
        <f t="shared" si="0"/>
        <v>0</v>
      </c>
      <c r="F16" s="1346"/>
      <c r="G16" s="1346"/>
      <c r="H16" s="1350">
        <f t="shared" si="1"/>
        <v>0</v>
      </c>
      <c r="I16" s="1346"/>
      <c r="J16" s="1346"/>
      <c r="K16" s="1345">
        <f t="shared" ref="K16:K33" si="2">C16+D16+E16+H16</f>
        <v>0</v>
      </c>
      <c r="L16" s="1316"/>
    </row>
    <row r="17" spans="2:12" ht="27.75" customHeight="1" thickBot="1" x14ac:dyDescent="0.3">
      <c r="B17" s="1321" t="s">
        <v>4981</v>
      </c>
      <c r="C17" s="1346">
        <f>COUNTIFS(ШТАТ!$AJ:$AJ,"о",ШТАТ!$U:$U,"ком-ка")</f>
        <v>107</v>
      </c>
      <c r="D17" s="1346">
        <f>COUNTIFS(ШТАТ!$AJ:$AJ,"п",ШТАТ!$U:$U,"ком-ка")</f>
        <v>25</v>
      </c>
      <c r="E17" s="1350">
        <f t="shared" si="0"/>
        <v>155</v>
      </c>
      <c r="F17" s="1346">
        <f>COUNTIFS(ШТАТ!$AJ:$AJ,"к/с",ШТАТ!$U:$U,"ком-ка",ШТАТ!$AK:$AK,3)</f>
        <v>123</v>
      </c>
      <c r="G17" s="1346">
        <f>COUNTIFS(ШТАТ!$AJ:$AJ,"с/с",ШТАТ!$U:$U,"ком-ка",ШТАТ!$AK:$AK,3)</f>
        <v>32</v>
      </c>
      <c r="H17" s="1350">
        <f t="shared" si="1"/>
        <v>957</v>
      </c>
      <c r="I17" s="1346">
        <f>COUNTIFS(ШТАТ!$AJ:$AJ,"с/с",ШТАТ!$U:$U,"ком-ка",ШТАТ!$AK:$AK,4)</f>
        <v>365</v>
      </c>
      <c r="J17" s="1346">
        <f>COUNTIFS(ШТАТ!$AJ:$AJ,"к/с",ШТАТ!$U:$U,"ком-ка",ШТАТ!$AK:$AK,4)</f>
        <v>592</v>
      </c>
      <c r="K17" s="1345">
        <f t="shared" si="2"/>
        <v>1244</v>
      </c>
      <c r="L17" s="1316"/>
    </row>
    <row r="18" spans="2:12" ht="27.75" customHeight="1" thickBot="1" x14ac:dyDescent="0.3">
      <c r="B18" s="1321" t="s">
        <v>4982</v>
      </c>
      <c r="C18" s="1346">
        <f>COUNTIFS(ШТАТ!$AJ:$AJ,"о",ШТАТ!$U:$U,"полигон")</f>
        <v>1</v>
      </c>
      <c r="D18" s="1346">
        <f>COUNTIFS(ШТАТ!$AJ:$AJ,"п",ШТАТ!$U:$U,"полигон")</f>
        <v>0</v>
      </c>
      <c r="E18" s="1350">
        <f t="shared" si="0"/>
        <v>8</v>
      </c>
      <c r="F18" s="1346">
        <f>COUNTIFS(ШТАТ!$AJ:$AJ,"к/с",ШТАТ!$U:$U,"полигон",ШТАТ!$AK:$AK,3)</f>
        <v>1</v>
      </c>
      <c r="G18" s="1346">
        <f>COUNTIFS(ШТАТ!$AJ:$AJ,"с/с",ШТАТ!$U:$U,"полигон",ШТАТ!$AK:$AK,3)</f>
        <v>7</v>
      </c>
      <c r="H18" s="1350">
        <f t="shared" si="1"/>
        <v>38</v>
      </c>
      <c r="I18" s="1346">
        <f>COUNTIFS(ШТАТ!$AJ:$AJ,"с/с",ШТАТ!$U:$U,"полигон",ШТАТ!$AK:$AK,4)</f>
        <v>37</v>
      </c>
      <c r="J18" s="1346">
        <f>COUNTIFS(ШТАТ!$AJ:$AJ,"к/с",ШТАТ!$U:$U,"полигон",ШТАТ!$AK:$AK,4)</f>
        <v>1</v>
      </c>
      <c r="K18" s="1345">
        <f t="shared" si="2"/>
        <v>47</v>
      </c>
      <c r="L18" s="1316"/>
    </row>
    <row r="19" spans="2:12" ht="27.75" customHeight="1" thickBot="1" x14ac:dyDescent="0.3">
      <c r="B19" s="1322" t="s">
        <v>4983</v>
      </c>
      <c r="C19" s="1346"/>
      <c r="D19" s="1346"/>
      <c r="E19" s="1350"/>
      <c r="F19" s="1346"/>
      <c r="G19" s="1346"/>
      <c r="H19" s="1350"/>
      <c r="I19" s="1346"/>
      <c r="J19" s="1346"/>
      <c r="K19" s="1345">
        <f t="shared" si="2"/>
        <v>0</v>
      </c>
      <c r="L19" s="1316"/>
    </row>
    <row r="20" spans="2:12" ht="36.75" customHeight="1" thickBot="1" x14ac:dyDescent="0.3">
      <c r="B20" s="1322" t="s">
        <v>4984</v>
      </c>
      <c r="C20" s="1346">
        <f>COUNTIFS(ШТАТ!$AJ:$AJ,"о",ШТАТ!$U:$U,"СОЧ")</f>
        <v>0</v>
      </c>
      <c r="D20" s="1346">
        <f>COUNTIFS(ШТАТ!$AJ:$AJ,"п",ШТАТ!$U:$U,"СОЧ")</f>
        <v>0</v>
      </c>
      <c r="E20" s="1350">
        <f>F20+G20</f>
        <v>10</v>
      </c>
      <c r="F20" s="1346">
        <f>COUNTIFS(ШТАТ!$AJ:$AJ,"к/с",ШТАТ!$U:$U,"СОЧ",ШТАТ!$AK:$AK,3)</f>
        <v>10</v>
      </c>
      <c r="G20" s="1346">
        <f>COUNTIFS(ШТАТ!$AJ:$AJ,"с/с",ШТАТ!$U:$U,"СОЧ",ШТАТ!$AK:$AK,3)</f>
        <v>0</v>
      </c>
      <c r="H20" s="1350">
        <f>I20+J20</f>
        <v>44</v>
      </c>
      <c r="I20" s="1346">
        <f>COUNTIFS(ШТАТ!$AJ:$AJ,"с/с",ШТАТ!$U:$U,"СОЧ",ШТАТ!$AK:$AK,4)</f>
        <v>0</v>
      </c>
      <c r="J20" s="1346">
        <f>COUNTIFS(ШТАТ!$AJ:$AJ,"к/с",ШТАТ!$U:$U,"СОЧ",ШТАТ!$AK:$AK,4)</f>
        <v>44</v>
      </c>
      <c r="K20" s="1345">
        <f>C20+D20+E20+H20</f>
        <v>54</v>
      </c>
      <c r="L20" s="1316"/>
    </row>
    <row r="21" spans="2:12" ht="27.75" customHeight="1" thickBot="1" x14ac:dyDescent="0.3">
      <c r="B21" s="1321" t="s">
        <v>4985</v>
      </c>
      <c r="C21" s="1346"/>
      <c r="D21" s="1346"/>
      <c r="E21" s="1350"/>
      <c r="F21" s="1346"/>
      <c r="G21" s="1346"/>
      <c r="H21" s="1350"/>
      <c r="I21" s="1346"/>
      <c r="J21" s="1346"/>
      <c r="K21" s="1345">
        <f t="shared" si="2"/>
        <v>0</v>
      </c>
      <c r="L21" s="1316"/>
    </row>
    <row r="22" spans="2:12" ht="27.75" customHeight="1" thickBot="1" x14ac:dyDescent="0.3">
      <c r="B22" s="1321" t="s">
        <v>4986</v>
      </c>
      <c r="C22" s="1346"/>
      <c r="D22" s="1346"/>
      <c r="E22" s="1350"/>
      <c r="F22" s="1346"/>
      <c r="G22" s="1346"/>
      <c r="H22" s="1350"/>
      <c r="I22" s="1346"/>
      <c r="J22" s="1346"/>
      <c r="K22" s="1345">
        <f t="shared" si="2"/>
        <v>0</v>
      </c>
      <c r="L22" s="1316"/>
    </row>
    <row r="23" spans="2:12" ht="24.75" customHeight="1" thickBot="1" x14ac:dyDescent="0.3">
      <c r="B23" s="1323" t="s">
        <v>4987</v>
      </c>
      <c r="C23" s="1347">
        <f>SUM(C14:C22)</f>
        <v>111</v>
      </c>
      <c r="D23" s="1347">
        <f>SUM(D14:D22)</f>
        <v>27</v>
      </c>
      <c r="E23" s="1347">
        <f t="shared" ref="E23:E28" si="3">F23+G23</f>
        <v>178</v>
      </c>
      <c r="F23" s="1347">
        <f>SUM(F14:F22)</f>
        <v>139</v>
      </c>
      <c r="G23" s="1347">
        <f>SUM(G14:G22)</f>
        <v>39</v>
      </c>
      <c r="H23" s="1347">
        <f t="shared" ref="H23:H28" si="4">I23+J23</f>
        <v>1070</v>
      </c>
      <c r="I23" s="1347">
        <f>SUM(I14:I22)</f>
        <v>410</v>
      </c>
      <c r="J23" s="1347">
        <f>SUM(J14:J22)</f>
        <v>660</v>
      </c>
      <c r="K23" s="1345">
        <f t="shared" si="2"/>
        <v>1386</v>
      </c>
      <c r="L23" s="1316"/>
    </row>
    <row r="24" spans="2:12" ht="24.75" customHeight="1" thickBot="1" x14ac:dyDescent="0.3">
      <c r="B24" s="1324" t="s">
        <v>4988</v>
      </c>
      <c r="C24" s="1346">
        <f>SUM(C25:C33)</f>
        <v>60</v>
      </c>
      <c r="D24" s="1346">
        <f>SUM(D25:D33)</f>
        <v>20</v>
      </c>
      <c r="E24" s="1350">
        <f t="shared" si="3"/>
        <v>28</v>
      </c>
      <c r="F24" s="1346">
        <f>SUM(F25:F33)</f>
        <v>6</v>
      </c>
      <c r="G24" s="1346">
        <f>SUM(G25:G33)</f>
        <v>22</v>
      </c>
      <c r="H24" s="1350">
        <f t="shared" si="4"/>
        <v>284</v>
      </c>
      <c r="I24" s="1346">
        <f>SUM(I25:I33)</f>
        <v>199</v>
      </c>
      <c r="J24" s="1346">
        <f>SUM(J25:J33)</f>
        <v>85</v>
      </c>
      <c r="K24" s="1351">
        <f>C24+D24+E24+H24</f>
        <v>392</v>
      </c>
      <c r="L24" s="1325"/>
    </row>
    <row r="25" spans="2:12" ht="24.75" customHeight="1" thickBot="1" x14ac:dyDescent="0.3">
      <c r="B25" s="1326" t="s">
        <v>4989</v>
      </c>
      <c r="C25" s="1346">
        <f>SUM('Развернутая строевая'!X8:X22)</f>
        <v>46</v>
      </c>
      <c r="D25" s="1346">
        <f>SUM('Развернутая строевая'!Y8:Y22)</f>
        <v>18</v>
      </c>
      <c r="E25" s="1350">
        <f t="shared" si="3"/>
        <v>26</v>
      </c>
      <c r="F25" s="1350">
        <f>'СТРОЕВКА(расширенная)'!Y77</f>
        <v>4</v>
      </c>
      <c r="G25" s="1350">
        <f>'СТРОЕВКА(расширенная)'!X77</f>
        <v>22</v>
      </c>
      <c r="H25" s="1350">
        <f t="shared" si="4"/>
        <v>276</v>
      </c>
      <c r="I25" s="1350">
        <f>'СТРОЕВКА(расширенная)'!AB63</f>
        <v>193</v>
      </c>
      <c r="J25" s="1350">
        <f>'СТРОЕВКА(расширенная)'!AA77</f>
        <v>83</v>
      </c>
      <c r="K25" s="1345">
        <f>C25+D25+E25+H25</f>
        <v>366</v>
      </c>
      <c r="L25" s="1325"/>
    </row>
    <row r="26" spans="2:12" ht="24.75" customHeight="1" thickBot="1" x14ac:dyDescent="0.3">
      <c r="B26" s="1326" t="s">
        <v>4990</v>
      </c>
      <c r="C26" s="1346"/>
      <c r="D26" s="1346"/>
      <c r="E26" s="1350">
        <f t="shared" si="3"/>
        <v>0</v>
      </c>
      <c r="F26" s="1346"/>
      <c r="G26" s="1346"/>
      <c r="H26" s="1350">
        <f t="shared" si="4"/>
        <v>0</v>
      </c>
      <c r="I26" s="1346"/>
      <c r="J26" s="1346"/>
      <c r="K26" s="1345">
        <f t="shared" si="2"/>
        <v>0</v>
      </c>
      <c r="L26" s="1325"/>
    </row>
    <row r="27" spans="2:12" ht="24.75" customHeight="1" thickBot="1" x14ac:dyDescent="0.3">
      <c r="B27" s="1326" t="s">
        <v>4991</v>
      </c>
      <c r="C27" s="1346">
        <f>COUNTIFS(ШТАТ!$AJ:$AJ,"о",ШТАТ!$U:$U,"осв-ие")</f>
        <v>1</v>
      </c>
      <c r="D27" s="1346">
        <f>COUNTIFS(ШТАТ!$AJ:$AJ,"п",ШТАТ!$U:$U,"осв-ие")</f>
        <v>1</v>
      </c>
      <c r="E27" s="1350">
        <f t="shared" si="3"/>
        <v>2</v>
      </c>
      <c r="F27" s="1346">
        <f>COUNTIFS(ШТАТ!$AJ:$AJ,"к/с",ШТАТ!$U:$U,"осв-ие",ШТАТ!$AK:$AK,3)</f>
        <v>2</v>
      </c>
      <c r="G27" s="1346">
        <f>COUNTIFS(ШТАТ!$AJ:$AJ,"с/с",ШТАТ!$U:$U,"осв-ие",ШТАТ!$AK:$AK,3)</f>
        <v>0</v>
      </c>
      <c r="H27" s="1350">
        <f t="shared" si="4"/>
        <v>2</v>
      </c>
      <c r="I27" s="1346">
        <f>COUNTIFS(ШТАТ!$AJ:$AJ,"с/с",ШТАТ!$U:$U,"осв-ие",ШТАТ!$AK:$AK,4)</f>
        <v>0</v>
      </c>
      <c r="J27" s="1346">
        <f>COUNTIFS(ШТАТ!$AJ:$AJ,"к/с",ШТАТ!$U:$U,"осв-ие",ШТАТ!$AK:$AK,4)</f>
        <v>2</v>
      </c>
      <c r="K27" s="1345">
        <f t="shared" si="2"/>
        <v>6</v>
      </c>
      <c r="L27" s="1325"/>
    </row>
    <row r="28" spans="2:12" ht="24.75" customHeight="1" thickBot="1" x14ac:dyDescent="0.3">
      <c r="B28" s="1326" t="s">
        <v>4992</v>
      </c>
      <c r="C28" s="1346">
        <f>COUNTIFS(ШТАТ!$AJ:$AJ,"о",ШТАТ!$U:$U,"МП")</f>
        <v>0</v>
      </c>
      <c r="D28" s="1346">
        <f>COUNTIFS(ШТАТ!$AJ:$AJ,"п",ШТАТ!$U:$U,"МП")</f>
        <v>0</v>
      </c>
      <c r="E28" s="1350">
        <f t="shared" si="3"/>
        <v>0</v>
      </c>
      <c r="F28" s="1346">
        <f>COUNTIFS(ШТАТ!$AJ:$AJ,"к/с",ШТАТ!$U:$U,"МП",ШТАТ!$AK:$AK,3)</f>
        <v>0</v>
      </c>
      <c r="G28" s="1346">
        <f>COUNTIFS(ШТАТ!$AJ:$AJ,"с/с",ШТАТ!$U:$U,"МП",ШТАТ!$AK:$AK,3)</f>
        <v>0</v>
      </c>
      <c r="H28" s="1350">
        <f t="shared" si="4"/>
        <v>6</v>
      </c>
      <c r="I28" s="1346">
        <f>COUNTIFS(ШТАТ!$AJ:$AJ,"с/с",ШТАТ!$U:$U,"МП",ШТАТ!$AK:$AK,4)</f>
        <v>6</v>
      </c>
      <c r="J28" s="1346">
        <f>COUNTIFS(ШТАТ!$AJ:$AJ,"к/с",ШТАТ!$U:$U,"МП",ШТАТ!$AK:$AK,4)</f>
        <v>0</v>
      </c>
      <c r="K28" s="1345">
        <f>C28+D28+E28+H28</f>
        <v>6</v>
      </c>
      <c r="L28" s="1325"/>
    </row>
    <row r="29" spans="2:12" ht="24.75" customHeight="1" thickBot="1" x14ac:dyDescent="0.3">
      <c r="B29" s="1326" t="s">
        <v>4993</v>
      </c>
      <c r="C29" s="1346"/>
      <c r="D29" s="1346"/>
      <c r="E29" s="1350"/>
      <c r="F29" s="1346"/>
      <c r="G29" s="1346"/>
      <c r="H29" s="1350"/>
      <c r="I29" s="1346"/>
      <c r="J29" s="1346"/>
      <c r="K29" s="1345">
        <f t="shared" si="2"/>
        <v>0</v>
      </c>
      <c r="L29" s="1325"/>
    </row>
    <row r="30" spans="2:12" ht="24.75" customHeight="1" thickBot="1" x14ac:dyDescent="0.3">
      <c r="B30" s="1326" t="s">
        <v>4994</v>
      </c>
      <c r="C30" s="1346"/>
      <c r="D30" s="1346"/>
      <c r="E30" s="1350"/>
      <c r="F30" s="1346"/>
      <c r="G30" s="1346"/>
      <c r="H30" s="1350"/>
      <c r="I30" s="1346"/>
      <c r="J30" s="1346"/>
      <c r="K30" s="1345">
        <f t="shared" si="2"/>
        <v>0</v>
      </c>
      <c r="L30" s="1325"/>
    </row>
    <row r="31" spans="2:12" ht="31.5" customHeight="1" thickBot="1" x14ac:dyDescent="0.3">
      <c r="B31" s="1327" t="s">
        <v>4995</v>
      </c>
      <c r="C31" s="1348"/>
      <c r="D31" s="1348"/>
      <c r="E31" s="1350"/>
      <c r="F31" s="1348"/>
      <c r="G31" s="1348"/>
      <c r="H31" s="1350"/>
      <c r="I31" s="1348"/>
      <c r="J31" s="1348"/>
      <c r="K31" s="1345">
        <f t="shared" si="2"/>
        <v>0</v>
      </c>
      <c r="L31" s="1325"/>
    </row>
    <row r="32" spans="2:12" ht="23.25" customHeight="1" thickBot="1" x14ac:dyDescent="0.3">
      <c r="B32" s="1328" t="s">
        <v>4996</v>
      </c>
      <c r="C32" s="1348"/>
      <c r="D32" s="1348"/>
      <c r="E32" s="1350"/>
      <c r="F32" s="1348"/>
      <c r="G32" s="1348"/>
      <c r="H32" s="1350"/>
      <c r="I32" s="1348"/>
      <c r="J32" s="1348"/>
      <c r="K32" s="1345">
        <f t="shared" si="2"/>
        <v>0</v>
      </c>
      <c r="L32" s="1325"/>
    </row>
    <row r="33" spans="2:12" ht="21.75" customHeight="1" x14ac:dyDescent="0.25">
      <c r="B33" s="1328" t="s">
        <v>4997</v>
      </c>
      <c r="C33" s="1346">
        <f>'Развернутая строевая'!M23</f>
        <v>13</v>
      </c>
      <c r="D33" s="1346">
        <f>'Развернутая строевая'!N23</f>
        <v>1</v>
      </c>
      <c r="E33" s="1350">
        <f>F33+G33</f>
        <v>0</v>
      </c>
      <c r="F33" s="1346">
        <f>COUNTIFS(ШТАТ!$AM:$AM,"ЗШ",ШТАТ!$AK:$AK,3,ШТАТ!$AJ:$AJ,"с/с")</f>
        <v>0</v>
      </c>
      <c r="G33" s="1346">
        <f>COUNTIFS(ШТАТ!$AM:$AM,"ЗШ",ШТАТ!$AK:$AK,3,ШТАТ!$AJ:$AJ,"r/с")</f>
        <v>0</v>
      </c>
      <c r="H33" s="1350">
        <f>I33+J33</f>
        <v>0</v>
      </c>
      <c r="I33" s="1346">
        <f>COUNTIFS(ШТАТ!$AM:$AM,"ЗШ",ШТАТ!$AK:$AK,4,ШТАТ!$AJ:$AJ,"с/с")</f>
        <v>0</v>
      </c>
      <c r="J33" s="1346">
        <f>COUNTIFS(ШТАТ!$AM:$AM,"ЗШ",ШТАТ!$AK:$AK,4,ШТАТ!$AJ:$AJ,"r/с")</f>
        <v>0</v>
      </c>
      <c r="K33" s="1345">
        <f t="shared" si="2"/>
        <v>14</v>
      </c>
      <c r="L33" s="1325"/>
    </row>
    <row r="34" spans="2:12" ht="18" customHeight="1" thickBot="1" x14ac:dyDescent="0.3">
      <c r="B34" s="1329"/>
      <c r="C34" s="1349"/>
      <c r="D34" s="1349"/>
      <c r="E34" s="1349"/>
      <c r="F34" s="1349"/>
      <c r="G34" s="1349"/>
      <c r="H34" s="1349"/>
      <c r="I34" s="1349"/>
      <c r="J34" s="1349"/>
      <c r="K34" s="1349"/>
      <c r="L34" s="1325"/>
    </row>
    <row r="35" spans="2:12" ht="18" customHeight="1" x14ac:dyDescent="0.25">
      <c r="B35" s="1313"/>
      <c r="C35" s="1313"/>
      <c r="D35" s="1313"/>
      <c r="E35" s="1313"/>
      <c r="F35" s="1313"/>
      <c r="G35" s="1313"/>
      <c r="H35" s="1313"/>
      <c r="I35" s="1313"/>
      <c r="J35" s="1313"/>
      <c r="K35" s="1313"/>
      <c r="L35" s="1325"/>
    </row>
    <row r="36" spans="2:12" x14ac:dyDescent="0.25">
      <c r="B36" s="1313"/>
      <c r="C36" s="1313"/>
      <c r="D36" s="1313"/>
      <c r="E36" s="1313"/>
      <c r="F36" s="1313"/>
      <c r="G36" s="1313"/>
      <c r="H36" s="1313"/>
      <c r="I36" s="1313"/>
      <c r="J36" s="1313"/>
      <c r="K36" s="1313"/>
      <c r="L36" s="1325"/>
    </row>
    <row r="37" spans="2:12" x14ac:dyDescent="0.25">
      <c r="B37" s="1313"/>
      <c r="C37" s="1313"/>
      <c r="D37" s="1313"/>
      <c r="E37" s="1313"/>
      <c r="F37" s="1313"/>
      <c r="G37" s="1313"/>
      <c r="H37" s="1313"/>
      <c r="I37" s="1313"/>
      <c r="J37" s="1313"/>
      <c r="K37" s="1313"/>
      <c r="L37" s="1325"/>
    </row>
    <row r="38" spans="2:12" x14ac:dyDescent="0.25">
      <c r="B38" s="1313"/>
      <c r="C38" s="1313"/>
      <c r="D38" s="1313"/>
      <c r="E38" s="1313"/>
      <c r="F38" s="1313"/>
      <c r="G38" s="1313"/>
      <c r="H38" s="1313"/>
      <c r="I38" s="1313"/>
      <c r="J38" s="1313"/>
      <c r="K38" s="1313"/>
      <c r="L38" s="1325"/>
    </row>
    <row r="39" spans="2:12" x14ac:dyDescent="0.25">
      <c r="B39" s="1313"/>
      <c r="C39" s="1313"/>
      <c r="D39" s="1313"/>
      <c r="E39" s="1313"/>
      <c r="F39" s="1313"/>
      <c r="G39" s="1313"/>
      <c r="H39" s="1313"/>
      <c r="I39" s="1313"/>
      <c r="J39" s="1313"/>
      <c r="K39" s="1313"/>
      <c r="L39" s="1325"/>
    </row>
    <row r="40" spans="2:12" x14ac:dyDescent="0.25">
      <c r="B40" s="1313"/>
      <c r="C40" s="1313"/>
      <c r="D40" s="1313"/>
      <c r="E40" s="1313"/>
      <c r="F40" s="1313"/>
      <c r="G40" s="1313"/>
      <c r="H40" s="1313"/>
      <c r="I40" s="1313"/>
      <c r="J40" s="1313"/>
      <c r="K40" s="1313"/>
      <c r="L40" s="1325"/>
    </row>
    <row r="41" spans="2:12" x14ac:dyDescent="0.25">
      <c r="B41" s="1313"/>
      <c r="C41" s="1313"/>
      <c r="D41" s="1313"/>
      <c r="E41" s="1313"/>
      <c r="F41" s="1313"/>
      <c r="G41" s="1313"/>
      <c r="H41" s="1313"/>
      <c r="I41" s="1313"/>
      <c r="J41" s="1313"/>
      <c r="K41" s="1313"/>
      <c r="L41" s="1325"/>
    </row>
    <row r="42" spans="2:12" x14ac:dyDescent="0.25">
      <c r="B42" s="1313"/>
      <c r="C42" s="1313"/>
      <c r="D42" s="1313"/>
      <c r="E42" s="1313"/>
      <c r="F42" s="1313"/>
      <c r="G42" s="1313"/>
      <c r="H42" s="1313"/>
      <c r="I42" s="1313"/>
      <c r="J42" s="1313"/>
      <c r="K42" s="1313"/>
      <c r="L42" s="1325"/>
    </row>
    <row r="43" spans="2:12" x14ac:dyDescent="0.25">
      <c r="B43" s="1313"/>
      <c r="C43" s="1313"/>
      <c r="D43" s="1313"/>
      <c r="E43" s="1313"/>
      <c r="F43" s="1313"/>
      <c r="G43" s="1313"/>
      <c r="H43" s="1313"/>
      <c r="I43" s="1313"/>
      <c r="J43" s="1313"/>
      <c r="K43" s="1313"/>
      <c r="L43" s="1325"/>
    </row>
    <row r="44" spans="2:12" x14ac:dyDescent="0.25">
      <c r="B44" s="1313"/>
      <c r="C44" s="1313"/>
      <c r="D44" s="1313"/>
      <c r="E44" s="1313"/>
      <c r="F44" s="1313"/>
      <c r="G44" s="1313"/>
      <c r="H44" s="1313"/>
      <c r="I44" s="1313"/>
      <c r="J44" s="1313"/>
      <c r="K44" s="1313"/>
      <c r="L44" s="1325"/>
    </row>
    <row r="45" spans="2:12" x14ac:dyDescent="0.25">
      <c r="B45" s="1313"/>
      <c r="C45" s="1313"/>
      <c r="D45" s="1313"/>
      <c r="E45" s="1313"/>
      <c r="F45" s="1313"/>
      <c r="G45" s="1313"/>
      <c r="H45" s="1313"/>
      <c r="I45" s="1313"/>
      <c r="J45" s="1313"/>
      <c r="K45" s="1313"/>
      <c r="L45" s="1325"/>
    </row>
    <row r="46" spans="2:12" x14ac:dyDescent="0.25">
      <c r="B46" s="1313"/>
      <c r="C46" s="1313"/>
      <c r="D46" s="1313"/>
      <c r="E46" s="1313"/>
      <c r="F46" s="1313"/>
      <c r="G46" s="1313"/>
      <c r="H46" s="1313"/>
      <c r="I46" s="1313"/>
      <c r="J46" s="1313"/>
      <c r="K46" s="1313"/>
      <c r="L46" s="1325"/>
    </row>
    <row r="47" spans="2:12" x14ac:dyDescent="0.25">
      <c r="B47" s="1313"/>
      <c r="C47" s="1313"/>
      <c r="D47" s="1313"/>
      <c r="E47" s="1313"/>
      <c r="F47" s="1313"/>
      <c r="G47" s="1313"/>
      <c r="H47" s="1313"/>
      <c r="I47" s="1313"/>
      <c r="J47" s="1313"/>
      <c r="K47" s="1313"/>
      <c r="L47" s="1325"/>
    </row>
    <row r="48" spans="2:12" x14ac:dyDescent="0.25">
      <c r="B48" s="1313"/>
      <c r="C48" s="1313"/>
      <c r="D48" s="1313"/>
      <c r="E48" s="1313"/>
      <c r="F48" s="1313"/>
      <c r="G48" s="1313"/>
      <c r="H48" s="1313"/>
      <c r="I48" s="1313"/>
      <c r="J48" s="1313"/>
      <c r="K48" s="1313"/>
      <c r="L48" s="1325"/>
    </row>
    <row r="49" spans="2:11" x14ac:dyDescent="0.25">
      <c r="B49" s="1313"/>
      <c r="C49" s="1313"/>
      <c r="D49" s="1313"/>
      <c r="E49" s="1313"/>
      <c r="F49" s="1313"/>
      <c r="G49" s="1313"/>
      <c r="H49" s="1313"/>
      <c r="I49" s="1313"/>
      <c r="J49" s="1313"/>
      <c r="K49" s="1313"/>
    </row>
    <row r="50" spans="2:11" x14ac:dyDescent="0.25">
      <c r="B50" s="1313"/>
      <c r="C50" s="1313"/>
      <c r="D50" s="1313"/>
      <c r="E50" s="1313"/>
      <c r="F50" s="1313"/>
      <c r="G50" s="1313"/>
      <c r="H50" s="1313"/>
      <c r="I50" s="1313"/>
      <c r="J50" s="1313"/>
      <c r="K50" s="1313"/>
    </row>
    <row r="51" spans="2:11" x14ac:dyDescent="0.25">
      <c r="B51" s="1313"/>
      <c r="C51" s="1313"/>
      <c r="D51" s="1313"/>
      <c r="E51" s="1313"/>
      <c r="F51" s="1313"/>
      <c r="G51" s="1313"/>
      <c r="H51" s="1313"/>
      <c r="I51" s="1313"/>
      <c r="J51" s="1313"/>
      <c r="K51" s="1313"/>
    </row>
    <row r="52" spans="2:11" x14ac:dyDescent="0.25">
      <c r="B52" s="1313"/>
      <c r="C52" s="1313"/>
      <c r="D52" s="1313"/>
      <c r="E52" s="1313"/>
      <c r="F52" s="1313"/>
      <c r="G52" s="1313"/>
      <c r="H52" s="1313"/>
      <c r="I52" s="1313"/>
      <c r="J52" s="1313"/>
      <c r="K52" s="1313"/>
    </row>
    <row r="53" spans="2:11" x14ac:dyDescent="0.25">
      <c r="B53" s="1313"/>
      <c r="C53" s="1313"/>
      <c r="D53" s="1313"/>
      <c r="E53" s="1313"/>
      <c r="F53" s="1313"/>
      <c r="G53" s="1313"/>
      <c r="H53" s="1313"/>
      <c r="I53" s="1313"/>
      <c r="J53" s="1313"/>
      <c r="K53" s="1313"/>
    </row>
    <row r="54" spans="2:11" x14ac:dyDescent="0.25">
      <c r="B54" s="1313"/>
      <c r="C54" s="1313"/>
      <c r="D54" s="1313"/>
      <c r="E54" s="1313"/>
      <c r="F54" s="1313"/>
      <c r="G54" s="1313"/>
      <c r="H54" s="1313"/>
      <c r="I54" s="1313"/>
      <c r="J54" s="1313"/>
      <c r="K54" s="1313"/>
    </row>
    <row r="55" spans="2:11" x14ac:dyDescent="0.25">
      <c r="B55" s="1313"/>
      <c r="C55" s="1313"/>
      <c r="D55" s="1313"/>
      <c r="E55" s="1313"/>
      <c r="F55" s="1313"/>
      <c r="G55" s="1313"/>
      <c r="H55" s="1313"/>
      <c r="I55" s="1313"/>
      <c r="J55" s="1313"/>
      <c r="K55" s="1313"/>
    </row>
    <row r="56" spans="2:11" x14ac:dyDescent="0.25">
      <c r="B56" s="1313"/>
      <c r="C56" s="1313"/>
      <c r="D56" s="1313"/>
      <c r="E56" s="1313"/>
      <c r="F56" s="1313"/>
      <c r="G56" s="1313"/>
      <c r="H56" s="1313"/>
      <c r="I56" s="1313"/>
      <c r="J56" s="1313"/>
      <c r="K56" s="1313"/>
    </row>
    <row r="57" spans="2:11" x14ac:dyDescent="0.25">
      <c r="B57" s="1313"/>
      <c r="C57" s="1313"/>
      <c r="D57" s="1313"/>
      <c r="E57" s="1313"/>
      <c r="F57" s="1313"/>
      <c r="G57" s="1313"/>
      <c r="H57" s="1313"/>
      <c r="I57" s="1313"/>
      <c r="J57" s="1313"/>
      <c r="K57" s="1313"/>
    </row>
    <row r="58" spans="2:11" x14ac:dyDescent="0.25">
      <c r="B58" s="1313"/>
      <c r="C58" s="1313"/>
      <c r="D58" s="1313"/>
      <c r="E58" s="1313"/>
      <c r="F58" s="1313"/>
      <c r="G58" s="1313"/>
      <c r="H58" s="1313"/>
      <c r="I58" s="1313"/>
      <c r="J58" s="1313"/>
      <c r="K58" s="1313"/>
    </row>
    <row r="59" spans="2:11" x14ac:dyDescent="0.25">
      <c r="B59" s="1313"/>
      <c r="C59" s="1313"/>
      <c r="D59" s="1313"/>
      <c r="E59" s="1313"/>
      <c r="F59" s="1313"/>
      <c r="G59" s="1313"/>
      <c r="H59" s="1313"/>
      <c r="I59" s="1313"/>
      <c r="J59" s="1313"/>
      <c r="K59" s="1313"/>
    </row>
    <row r="60" spans="2:11" x14ac:dyDescent="0.25">
      <c r="B60" s="1313"/>
      <c r="C60" s="1313"/>
      <c r="D60" s="1313"/>
      <c r="E60" s="1313"/>
      <c r="F60" s="1313"/>
      <c r="G60" s="1313"/>
      <c r="H60" s="1313"/>
      <c r="I60" s="1313"/>
      <c r="J60" s="1313"/>
      <c r="K60" s="1313"/>
    </row>
    <row r="61" spans="2:11" x14ac:dyDescent="0.25">
      <c r="B61" s="1313"/>
      <c r="C61" s="1313"/>
      <c r="D61" s="1313"/>
      <c r="E61" s="1313"/>
      <c r="F61" s="1313"/>
      <c r="G61" s="1313"/>
      <c r="H61" s="1313"/>
      <c r="I61" s="1313"/>
      <c r="J61" s="1313"/>
      <c r="K61" s="1313"/>
    </row>
    <row r="62" spans="2:11" x14ac:dyDescent="0.25">
      <c r="B62" s="1313"/>
      <c r="C62" s="1313"/>
      <c r="D62" s="1313"/>
      <c r="E62" s="1313"/>
      <c r="F62" s="1313"/>
      <c r="G62" s="1313"/>
      <c r="H62" s="1313"/>
      <c r="I62" s="1313"/>
      <c r="J62" s="1313"/>
      <c r="K62" s="1313"/>
    </row>
    <row r="63" spans="2:11" ht="28.5" customHeight="1" x14ac:dyDescent="0.25">
      <c r="B63" s="1313"/>
      <c r="C63" s="1313"/>
      <c r="D63" s="1313"/>
      <c r="E63" s="1313"/>
      <c r="F63" s="1313"/>
      <c r="G63" s="1313"/>
      <c r="H63" s="1313"/>
      <c r="I63" s="1313"/>
      <c r="J63" s="1313"/>
      <c r="K63" s="1313"/>
    </row>
    <row r="64" spans="2:11" x14ac:dyDescent="0.25">
      <c r="B64" s="1313"/>
      <c r="C64" s="1313"/>
      <c r="D64" s="1313"/>
      <c r="E64" s="1313"/>
      <c r="F64" s="1313"/>
      <c r="G64" s="1313"/>
      <c r="H64" s="1313"/>
      <c r="I64" s="1313"/>
      <c r="J64" s="1313"/>
      <c r="K64" s="1313"/>
    </row>
    <row r="65" spans="2:11" x14ac:dyDescent="0.25">
      <c r="B65" s="1313"/>
      <c r="C65" s="1313"/>
      <c r="D65" s="1313"/>
      <c r="E65" s="1313"/>
      <c r="F65" s="1313"/>
      <c r="G65" s="1313"/>
      <c r="H65" s="1313"/>
      <c r="I65" s="1313"/>
      <c r="J65" s="1313"/>
      <c r="K65" s="1313"/>
    </row>
    <row r="66" spans="2:11" x14ac:dyDescent="0.25">
      <c r="B66" s="1313"/>
      <c r="C66" s="1313"/>
      <c r="D66" s="1313"/>
      <c r="E66" s="1313"/>
      <c r="F66" s="1313"/>
      <c r="G66" s="1313"/>
      <c r="H66" s="1313"/>
      <c r="I66" s="1313"/>
      <c r="J66" s="1313"/>
      <c r="K66" s="1313"/>
    </row>
    <row r="67" spans="2:11" x14ac:dyDescent="0.25">
      <c r="B67" s="1313"/>
      <c r="C67" s="1313"/>
      <c r="D67" s="1313"/>
      <c r="E67" s="1313"/>
      <c r="F67" s="1313"/>
      <c r="G67" s="1313"/>
      <c r="H67" s="1313"/>
      <c r="I67" s="1313"/>
      <c r="J67" s="1313"/>
      <c r="K67" s="1313"/>
    </row>
    <row r="68" spans="2:11" x14ac:dyDescent="0.25">
      <c r="B68" s="1313"/>
      <c r="C68" s="1313"/>
      <c r="D68" s="1313"/>
      <c r="E68" s="1313"/>
      <c r="F68" s="1313"/>
      <c r="G68" s="1313"/>
      <c r="H68" s="1313"/>
      <c r="I68" s="1313"/>
      <c r="J68" s="1313"/>
      <c r="K68" s="1313"/>
    </row>
    <row r="69" spans="2:11" x14ac:dyDescent="0.25">
      <c r="B69" s="1313"/>
      <c r="C69" s="1313"/>
      <c r="D69" s="1313"/>
      <c r="E69" s="1313"/>
      <c r="F69" s="1313"/>
      <c r="G69" s="1313"/>
      <c r="H69" s="1313"/>
      <c r="I69" s="1313"/>
      <c r="J69" s="1313"/>
      <c r="K69" s="1313"/>
    </row>
    <row r="70" spans="2:11" x14ac:dyDescent="0.25">
      <c r="B70" s="1313"/>
      <c r="C70" s="1313"/>
      <c r="D70" s="1313"/>
      <c r="E70" s="1313"/>
      <c r="F70" s="1313"/>
      <c r="G70" s="1313"/>
      <c r="H70" s="1313"/>
      <c r="I70" s="1313"/>
      <c r="J70" s="1313"/>
      <c r="K70" s="1313"/>
    </row>
    <row r="71" spans="2:11" x14ac:dyDescent="0.25">
      <c r="B71" s="1313"/>
      <c r="C71" s="1313"/>
      <c r="D71" s="1313"/>
      <c r="E71" s="1313"/>
      <c r="F71" s="1313"/>
      <c r="G71" s="1313"/>
      <c r="H71" s="1313"/>
      <c r="I71" s="1313"/>
      <c r="J71" s="1313"/>
      <c r="K71" s="1313"/>
    </row>
    <row r="72" spans="2:11" x14ac:dyDescent="0.25">
      <c r="B72" s="1313"/>
      <c r="C72" s="1313"/>
      <c r="D72" s="1313"/>
      <c r="E72" s="1313"/>
      <c r="F72" s="1313"/>
      <c r="G72" s="1313"/>
      <c r="H72" s="1313"/>
      <c r="I72" s="1313"/>
      <c r="J72" s="1313"/>
      <c r="K72" s="1313"/>
    </row>
    <row r="96" spans="2:11" x14ac:dyDescent="0.25">
      <c r="B96" s="827"/>
      <c r="C96" s="827"/>
      <c r="D96" s="827"/>
      <c r="E96" s="827"/>
      <c r="F96" s="827"/>
      <c r="G96" s="827"/>
      <c r="H96" s="827"/>
      <c r="I96" s="827"/>
      <c r="J96" s="827"/>
      <c r="K96" s="827"/>
    </row>
    <row r="97" spans="2:11" x14ac:dyDescent="0.25">
      <c r="B97" s="827"/>
      <c r="C97" s="827"/>
      <c r="D97" s="827"/>
      <c r="E97" s="827"/>
      <c r="F97" s="827"/>
      <c r="G97" s="827"/>
      <c r="H97" s="827"/>
      <c r="I97" s="827"/>
      <c r="J97" s="827"/>
      <c r="K97" s="827"/>
    </row>
    <row r="98" spans="2:11" x14ac:dyDescent="0.25">
      <c r="B98" s="827"/>
      <c r="C98" s="827"/>
      <c r="D98" s="827"/>
      <c r="E98" s="827"/>
      <c r="F98" s="827"/>
      <c r="G98" s="827"/>
      <c r="H98" s="827"/>
      <c r="I98" s="827"/>
      <c r="J98" s="827"/>
      <c r="K98" s="827"/>
    </row>
    <row r="99" spans="2:11" x14ac:dyDescent="0.25">
      <c r="B99" s="827"/>
      <c r="C99" s="827"/>
      <c r="D99" s="827"/>
      <c r="E99" s="827"/>
      <c r="F99" s="827"/>
      <c r="G99" s="827"/>
      <c r="H99" s="827"/>
      <c r="I99" s="827"/>
      <c r="J99" s="827"/>
      <c r="K99" s="827"/>
    </row>
    <row r="100" spans="2:11" x14ac:dyDescent="0.25">
      <c r="B100" s="827"/>
      <c r="C100" s="827"/>
      <c r="D100" s="827"/>
      <c r="E100" s="827"/>
      <c r="F100" s="827"/>
      <c r="G100" s="827"/>
      <c r="H100" s="827"/>
      <c r="I100" s="827"/>
      <c r="J100" s="827"/>
      <c r="K100" s="827"/>
    </row>
    <row r="101" spans="2:11" x14ac:dyDescent="0.25">
      <c r="B101" s="827"/>
      <c r="C101" s="827"/>
      <c r="D101" s="827"/>
      <c r="E101" s="827"/>
      <c r="F101" s="827"/>
      <c r="G101" s="827"/>
      <c r="H101" s="827"/>
      <c r="I101" s="827"/>
      <c r="J101" s="827"/>
      <c r="K101" s="827"/>
    </row>
    <row r="102" spans="2:11" x14ac:dyDescent="0.25">
      <c r="B102" s="827"/>
      <c r="C102" s="827"/>
      <c r="D102" s="827"/>
      <c r="E102" s="827"/>
      <c r="F102" s="827"/>
      <c r="G102" s="827"/>
      <c r="H102" s="827"/>
      <c r="I102" s="827"/>
      <c r="J102" s="827"/>
      <c r="K102" s="827"/>
    </row>
    <row r="103" spans="2:11" x14ac:dyDescent="0.25">
      <c r="B103" s="827"/>
      <c r="C103" s="827"/>
      <c r="D103" s="827"/>
      <c r="E103" s="827"/>
      <c r="F103" s="827"/>
      <c r="G103" s="827"/>
      <c r="H103" s="827"/>
      <c r="I103" s="827"/>
      <c r="J103" s="827"/>
      <c r="K103" s="827"/>
    </row>
  </sheetData>
  <mergeCells count="10">
    <mergeCell ref="K10:K11"/>
    <mergeCell ref="B3:K4"/>
    <mergeCell ref="D5:H5"/>
    <mergeCell ref="B6:K6"/>
    <mergeCell ref="B8:K8"/>
    <mergeCell ref="B10:B11"/>
    <mergeCell ref="C10:C11"/>
    <mergeCell ref="D10:D11"/>
    <mergeCell ref="E10:G10"/>
    <mergeCell ref="H10:J10"/>
  </mergeCells>
  <pageMargins left="0.23622047244094491" right="0.23622047244094491" top="0.15748031496062992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B2:I37"/>
  <sheetViews>
    <sheetView view="pageBreakPreview" topLeftCell="A4" zoomScaleNormal="100" zoomScaleSheetLayoutView="100" workbookViewId="0">
      <selection activeCell="F10" sqref="F10"/>
    </sheetView>
  </sheetViews>
  <sheetFormatPr defaultRowHeight="15" x14ac:dyDescent="0.25"/>
  <cols>
    <col min="2" max="2" width="22.7109375" customWidth="1"/>
    <col min="3" max="3" width="13.5703125" customWidth="1"/>
    <col min="4" max="4" width="17.140625" customWidth="1"/>
    <col min="5" max="6" width="7.42578125" customWidth="1"/>
    <col min="7" max="7" width="14.42578125" customWidth="1"/>
    <col min="8" max="9" width="8" customWidth="1"/>
  </cols>
  <sheetData>
    <row r="2" spans="2:9" ht="18.75" x14ac:dyDescent="0.25">
      <c r="B2" s="1341" t="s">
        <v>5013</v>
      </c>
    </row>
    <row r="3" spans="2:9" ht="19.5" thickBot="1" x14ac:dyDescent="0.3">
      <c r="B3" s="1341"/>
    </row>
    <row r="4" spans="2:9" ht="18.75" x14ac:dyDescent="0.25">
      <c r="B4" s="1330"/>
      <c r="C4" s="1331"/>
      <c r="D4" s="1331"/>
      <c r="E4" s="1719" t="s">
        <v>5000</v>
      </c>
      <c r="F4" s="1720"/>
      <c r="G4" s="1331"/>
      <c r="H4" s="1719" t="s">
        <v>5002</v>
      </c>
      <c r="I4" s="1720"/>
    </row>
    <row r="5" spans="2:9" ht="60" customHeight="1" thickBot="1" x14ac:dyDescent="0.3">
      <c r="B5" s="1332" t="s">
        <v>4998</v>
      </c>
      <c r="C5" s="1333" t="s">
        <v>4609</v>
      </c>
      <c r="D5" s="1333" t="s">
        <v>4610</v>
      </c>
      <c r="E5" s="1721"/>
      <c r="F5" s="1722"/>
      <c r="G5" s="1333" t="s">
        <v>5001</v>
      </c>
      <c r="H5" s="1721"/>
      <c r="I5" s="1722"/>
    </row>
    <row r="6" spans="2:9" ht="19.5" thickBot="1" x14ac:dyDescent="0.3">
      <c r="B6" s="1334"/>
      <c r="C6" s="1335"/>
      <c r="D6" s="1343" t="s">
        <v>4999</v>
      </c>
      <c r="E6" s="1337" t="s">
        <v>5003</v>
      </c>
      <c r="F6" s="1337" t="s">
        <v>5004</v>
      </c>
      <c r="G6" s="1335"/>
      <c r="H6" s="1337" t="s">
        <v>5003</v>
      </c>
      <c r="I6" s="1337" t="s">
        <v>5004</v>
      </c>
    </row>
    <row r="7" spans="2:9" ht="26.25" customHeight="1" thickBot="1" x14ac:dyDescent="0.3">
      <c r="B7" s="1338" t="s">
        <v>63</v>
      </c>
      <c r="C7" s="1336">
        <f>COUNTIFS(ШТАТ!$AM:$AM,$B7,ШТАТ!$AJ:$AJ,"о")</f>
        <v>27</v>
      </c>
      <c r="D7" s="1374">
        <f>COUNTIFS(ШТАТ!$AM:$AM,$B7,ШТАТ!$AJ:$AJ,"п")</f>
        <v>2</v>
      </c>
      <c r="E7" s="1374">
        <f>COUNTIFS(ШТАТ!$AM:$AM,$B7,ШТАТ!$AJ:$AJ,"к/с")</f>
        <v>1</v>
      </c>
      <c r="F7" s="1374">
        <f>COUNTIFS(ШТАТ!$AM:$AM,$B7,ШТАТ!$AJ:$AJ,"с/с")</f>
        <v>2</v>
      </c>
      <c r="G7" s="1336"/>
      <c r="H7" s="1336"/>
      <c r="I7" s="1336"/>
    </row>
    <row r="8" spans="2:9" ht="26.25" customHeight="1" thickBot="1" x14ac:dyDescent="0.3">
      <c r="B8" s="1338" t="s">
        <v>267</v>
      </c>
      <c r="C8" s="1374">
        <f>COUNTIFS(ШТАТ!$AM:$AM,$B8,ШТАТ!$AJ:$AJ,"о")</f>
        <v>26</v>
      </c>
      <c r="D8" s="1374">
        <f>COUNTIFS(ШТАТ!$AM:$AM,$B8,ШТАТ!$AJ:$AJ,"п")</f>
        <v>7</v>
      </c>
      <c r="E8" s="1374">
        <f>COUNTIFS(ШТАТ!$AM:$AM,$B8,ШТАТ!$AJ:$AJ,"к/с")</f>
        <v>330</v>
      </c>
      <c r="F8" s="1374">
        <f>COUNTIFS(ШТАТ!$AM:$AM,$B8,ШТАТ!$AJ:$AJ,"с/с")</f>
        <v>0</v>
      </c>
      <c r="G8" s="1336"/>
      <c r="H8" s="1336"/>
      <c r="I8" s="1336"/>
    </row>
    <row r="9" spans="2:9" ht="26.25" customHeight="1" thickBot="1" x14ac:dyDescent="0.3">
      <c r="B9" s="1338" t="s">
        <v>460</v>
      </c>
      <c r="C9" s="1374">
        <f>COUNTIFS(ШТАТ!$AM:$AM,$B9,ШТАТ!$AJ:$AJ,"о")</f>
        <v>24</v>
      </c>
      <c r="D9" s="1374">
        <f>COUNTIFS(ШТАТ!$AM:$AM,$B9,ШТАТ!$AJ:$AJ,"п")</f>
        <v>8</v>
      </c>
      <c r="E9" s="1374">
        <f>COUNTIFS(ШТАТ!$AM:$AM,$B9,ШТАТ!$AJ:$AJ,"к/с")</f>
        <v>14</v>
      </c>
      <c r="F9" s="1374">
        <f>COUNTIFS(ШТАТ!$AM:$AM,$B9,ШТАТ!$AJ:$AJ,"с/с")</f>
        <v>356</v>
      </c>
      <c r="G9" s="1336"/>
      <c r="H9" s="1336"/>
      <c r="I9" s="1336"/>
    </row>
    <row r="10" spans="2:9" ht="26.25" customHeight="1" thickBot="1" x14ac:dyDescent="0.3">
      <c r="B10" s="1338" t="s">
        <v>492</v>
      </c>
      <c r="C10" s="1374">
        <f>COUNTIFS(ШТАТ!$AM:$AM,$B10,ШТАТ!$AJ:$AJ,"о")</f>
        <v>25</v>
      </c>
      <c r="D10" s="1374">
        <f>COUNTIFS(ШТАТ!$AM:$AM,$B10,ШТАТ!$AJ:$AJ,"п")</f>
        <v>8</v>
      </c>
      <c r="E10" s="1374">
        <f>COUNTIFS(ШТАТ!$AM:$AM,$B10,ШТАТ!$AJ:$AJ,"к/с")</f>
        <v>209</v>
      </c>
      <c r="F10" s="1374">
        <f>COUNTIFS(ШТАТ!$AM:$AM,$B10,ШТАТ!$AJ:$AJ,"с/с")</f>
        <v>124</v>
      </c>
      <c r="G10" s="1336"/>
      <c r="H10" s="1336"/>
      <c r="I10" s="1336"/>
    </row>
    <row r="11" spans="2:9" ht="26.25" customHeight="1" thickBot="1" x14ac:dyDescent="0.3">
      <c r="B11" s="1338" t="s">
        <v>552</v>
      </c>
      <c r="C11" s="1374">
        <f>COUNTIFS(ШТАТ!$AM:$AM,$B11,ШТАТ!$AJ:$AJ,"о")</f>
        <v>11</v>
      </c>
      <c r="D11" s="1374">
        <f>COUNTIFS(ШТАТ!$AM:$AM,$B11,ШТАТ!$AJ:$AJ,"п")</f>
        <v>2</v>
      </c>
      <c r="E11" s="1374">
        <f>COUNTIFS(ШТАТ!$AM:$AM,$B11,ШТАТ!$AJ:$AJ,"к/с")</f>
        <v>124</v>
      </c>
      <c r="F11" s="1374">
        <f>COUNTIFS(ШТАТ!$AM:$AM,$B11,ШТАТ!$AJ:$AJ,"с/с")</f>
        <v>0</v>
      </c>
      <c r="G11" s="1336"/>
      <c r="H11" s="1336"/>
      <c r="I11" s="1336"/>
    </row>
    <row r="12" spans="2:9" ht="26.25" customHeight="1" thickBot="1" x14ac:dyDescent="0.3">
      <c r="B12" s="1338" t="s">
        <v>508</v>
      </c>
      <c r="C12" s="1374">
        <f>COUNTIFS(ШТАТ!$AM:$AM,$B12,ШТАТ!$AJ:$AJ,"о")</f>
        <v>19</v>
      </c>
      <c r="D12" s="1374">
        <f>COUNTIFS(ШТАТ!$AM:$AM,$B12,ШТАТ!$AJ:$AJ,"п")</f>
        <v>4</v>
      </c>
      <c r="E12" s="1374">
        <f>COUNTIFS(ШТАТ!$AM:$AM,$B12,ШТАТ!$AJ:$AJ,"к/с")</f>
        <v>110</v>
      </c>
      <c r="F12" s="1374">
        <f>COUNTIFS(ШТАТ!$AM:$AM,$B12,ШТАТ!$AJ:$AJ,"с/с")</f>
        <v>0</v>
      </c>
      <c r="G12" s="1336"/>
      <c r="H12" s="1336"/>
      <c r="I12" s="1336"/>
    </row>
    <row r="13" spans="2:9" ht="26.25" customHeight="1" thickBot="1" x14ac:dyDescent="0.3">
      <c r="B13" s="1338" t="s">
        <v>547</v>
      </c>
      <c r="C13" s="1374">
        <f>COUNTIFS(ШТАТ!$AM:$AM,$B13,ШТАТ!$AJ:$AJ,"о")</f>
        <v>4</v>
      </c>
      <c r="D13" s="1374">
        <f>COUNTIFS(ШТАТ!$AM:$AM,$B13,ШТАТ!$AJ:$AJ,"п")</f>
        <v>2</v>
      </c>
      <c r="E13" s="1374">
        <f>COUNTIFS(ШТАТ!$AM:$AM,$B13,ШТАТ!$AJ:$AJ,"к/с")</f>
        <v>19</v>
      </c>
      <c r="F13" s="1374">
        <f>COUNTIFS(ШТАТ!$AM:$AM,$B13,ШТАТ!$AJ:$AJ,"с/с")</f>
        <v>16</v>
      </c>
      <c r="G13" s="1336"/>
      <c r="H13" s="1336"/>
      <c r="I13" s="1336"/>
    </row>
    <row r="14" spans="2:9" ht="26.25" customHeight="1" thickBot="1" x14ac:dyDescent="0.3">
      <c r="B14" s="1338" t="s">
        <v>646</v>
      </c>
      <c r="C14" s="1374">
        <f>COUNTIFS(ШТАТ!$AM:$AM,$B14,ШТАТ!$AJ:$AJ,"о")</f>
        <v>4</v>
      </c>
      <c r="D14" s="1374">
        <f>COUNTIFS(ШТАТ!$AM:$AM,$B14,ШТАТ!$AJ:$AJ,"п")</f>
        <v>1</v>
      </c>
      <c r="E14" s="1374">
        <f>COUNTIFS(ШТАТ!$AM:$AM,$B14,ШТАТ!$AJ:$AJ,"к/с")</f>
        <v>39</v>
      </c>
      <c r="F14" s="1374">
        <f>COUNTIFS(ШТАТ!$AM:$AM,$B14,ШТАТ!$AJ:$AJ,"с/с")</f>
        <v>0</v>
      </c>
      <c r="G14" s="1336"/>
      <c r="H14" s="1336"/>
      <c r="I14" s="1336"/>
    </row>
    <row r="15" spans="2:9" ht="26.25" customHeight="1" thickBot="1" x14ac:dyDescent="0.3">
      <c r="B15" s="1338" t="s">
        <v>662</v>
      </c>
      <c r="C15" s="1374">
        <f>COUNTIFS(ШТАТ!$AM:$AM,$B15,ШТАТ!$AJ:$AJ,"о")</f>
        <v>2</v>
      </c>
      <c r="D15" s="1374">
        <f>COUNTIFS(ШТАТ!$AM:$AM,$B15,ШТАТ!$AJ:$AJ,"п")</f>
        <v>1</v>
      </c>
      <c r="E15" s="1374">
        <f>COUNTIFS(ШТАТ!$AM:$AM,$B15,ШТАТ!$AJ:$AJ,"к/с")</f>
        <v>11</v>
      </c>
      <c r="F15" s="1374">
        <f>COUNTIFS(ШТАТ!$AM:$AM,$B15,ШТАТ!$AJ:$AJ,"с/с")</f>
        <v>45</v>
      </c>
      <c r="G15" s="1336"/>
      <c r="H15" s="1336"/>
      <c r="I15" s="1336"/>
    </row>
    <row r="16" spans="2:9" ht="26.25" customHeight="1" thickBot="1" x14ac:dyDescent="0.3">
      <c r="B16" s="1338" t="s">
        <v>707</v>
      </c>
      <c r="C16" s="1374">
        <f>COUNTIFS(ШТАТ!$AM:$AM,$B16,ШТАТ!$AJ:$AJ,"о")</f>
        <v>0</v>
      </c>
      <c r="D16" s="1374">
        <f>COUNTIFS(ШТАТ!$AM:$AM,$B16,ШТАТ!$AJ:$AJ,"п")</f>
        <v>0</v>
      </c>
      <c r="E16" s="1374">
        <f>COUNTIFS(ШТАТ!$AM:$AM,$B16,ШТАТ!$AJ:$AJ,"к/с")</f>
        <v>2</v>
      </c>
      <c r="F16" s="1374">
        <f>COUNTIFS(ШТАТ!$AM:$AM,$B16,ШТАТ!$AJ:$AJ,"с/с")</f>
        <v>7</v>
      </c>
      <c r="G16" s="1336"/>
      <c r="H16" s="1336"/>
      <c r="I16" s="1336"/>
    </row>
    <row r="17" spans="2:9" ht="26.25" customHeight="1" thickBot="1" x14ac:dyDescent="0.3">
      <c r="B17" s="1338" t="s">
        <v>723</v>
      </c>
      <c r="C17" s="1374">
        <f>COUNTIFS(ШТАТ!$AM:$AM,$B17,ШТАТ!$AJ:$AJ,"о")</f>
        <v>4</v>
      </c>
      <c r="D17" s="1374">
        <f>COUNTIFS(ШТАТ!$AM:$AM,$B17,ШТАТ!$AJ:$AJ,"п")</f>
        <v>5</v>
      </c>
      <c r="E17" s="1374">
        <f>COUNTIFS(ШТАТ!$AM:$AM,$B17,ШТАТ!$AJ:$AJ,"к/с")</f>
        <v>11</v>
      </c>
      <c r="F17" s="1374">
        <f>COUNTIFS(ШТАТ!$AM:$AM,$B17,ШТАТ!$AJ:$AJ,"с/с")</f>
        <v>56</v>
      </c>
      <c r="G17" s="1336"/>
      <c r="H17" s="1336"/>
      <c r="I17" s="1336"/>
    </row>
    <row r="18" spans="2:9" ht="26.25" customHeight="1" thickBot="1" x14ac:dyDescent="0.3">
      <c r="B18" s="1338" t="s">
        <v>3483</v>
      </c>
      <c r="C18" s="1374">
        <f>COUNTIFS(ШТАТ!$AM:$AM,$B18,ШТАТ!$AJ:$AJ,"о")</f>
        <v>2</v>
      </c>
      <c r="D18" s="1374">
        <f>COUNTIFS(ШТАТ!$AM:$AM,$B18,ШТАТ!$AJ:$AJ,"п")</f>
        <v>3</v>
      </c>
      <c r="E18" s="1374">
        <f>COUNTIFS(ШТАТ!$AM:$AM,$B18,ШТАТ!$AJ:$AJ,"к/с")</f>
        <v>17</v>
      </c>
      <c r="F18" s="1374">
        <f>COUNTIFS(ШТАТ!$AM:$AM,$B18,ШТАТ!$AJ:$AJ,"с/с")</f>
        <v>43</v>
      </c>
      <c r="G18" s="1336"/>
      <c r="H18" s="1336"/>
      <c r="I18" s="1336"/>
    </row>
    <row r="19" spans="2:9" ht="26.25" customHeight="1" thickBot="1" x14ac:dyDescent="0.3">
      <c r="B19" s="1338" t="s">
        <v>5005</v>
      </c>
      <c r="C19" s="1374">
        <f>COUNTIFS(ШТАТ!$AM:$AM,$B19,ШТАТ!$AJ:$AJ,"о")</f>
        <v>0</v>
      </c>
      <c r="D19" s="1374">
        <f>COUNTIFS(ШТАТ!$AM:$AM,$B19,ШТАТ!$AJ:$AJ,"п")</f>
        <v>0</v>
      </c>
      <c r="E19" s="1374">
        <f>COUNTIFS(ШТАТ!$AM:$AM,$B19,ШТАТ!$AJ:$AJ,"к/с")</f>
        <v>0</v>
      </c>
      <c r="F19" s="1374">
        <f>COUNTIFS(ШТАТ!$AM:$AM,$B19,ШТАТ!$AJ:$AJ,"с/с")</f>
        <v>0</v>
      </c>
      <c r="G19" s="1336"/>
      <c r="H19" s="1336"/>
      <c r="I19" s="1336"/>
    </row>
    <row r="20" spans="2:9" ht="26.25" customHeight="1" thickBot="1" x14ac:dyDescent="0.3">
      <c r="B20" s="1338" t="s">
        <v>848</v>
      </c>
      <c r="C20" s="1374">
        <f>COUNTIFS(ШТАТ!$AM:$AM,$B20,ШТАТ!$AJ:$AJ,"о")</f>
        <v>1</v>
      </c>
      <c r="D20" s="1374">
        <f>COUNTIFS(ШТАТ!$AM:$AM,$B20,ШТАТ!$AJ:$AJ,"п")</f>
        <v>1</v>
      </c>
      <c r="E20" s="1374">
        <f>COUNTIFS(ШТАТ!$AM:$AM,$B20,ШТАТ!$AJ:$AJ,"к/с")</f>
        <v>6</v>
      </c>
      <c r="F20" s="1374">
        <f>COUNTIFS(ШТАТ!$AM:$AM,$B20,ШТАТ!$AJ:$AJ,"с/с")</f>
        <v>3</v>
      </c>
      <c r="G20" s="1336"/>
      <c r="H20" s="1336"/>
      <c r="I20" s="1336"/>
    </row>
    <row r="21" spans="2:9" ht="26.25" customHeight="1" thickBot="1" x14ac:dyDescent="0.3">
      <c r="B21" s="1339" t="s">
        <v>5006</v>
      </c>
      <c r="C21" s="1336">
        <f>SUM(C7:C20)</f>
        <v>149</v>
      </c>
      <c r="D21" s="1374">
        <f>SUM(D7:D20)</f>
        <v>44</v>
      </c>
      <c r="E21" s="1374">
        <f>SUM(E7:E20)</f>
        <v>893</v>
      </c>
      <c r="F21" s="1374">
        <f>SUM(F7:F20)</f>
        <v>652</v>
      </c>
      <c r="G21" s="1336"/>
      <c r="H21" s="1336"/>
      <c r="I21" s="1336"/>
    </row>
    <row r="22" spans="2:9" ht="26.25" customHeight="1" thickBot="1" x14ac:dyDescent="0.3">
      <c r="B22" s="1338"/>
      <c r="C22" s="1336"/>
      <c r="D22" s="1336"/>
      <c r="E22" s="1336"/>
      <c r="F22" s="1336"/>
      <c r="G22" s="1340" t="s">
        <v>2605</v>
      </c>
      <c r="H22" s="1723"/>
      <c r="I22" s="1724"/>
    </row>
    <row r="23" spans="2:9" ht="26.25" customHeight="1" thickBot="1" x14ac:dyDescent="0.3">
      <c r="B23" s="1338" t="s">
        <v>5007</v>
      </c>
      <c r="C23" s="1336"/>
      <c r="D23" s="1336"/>
      <c r="E23" s="1336"/>
      <c r="F23" s="1336"/>
      <c r="G23" s="1336"/>
      <c r="H23" s="1336"/>
      <c r="I23" s="1336"/>
    </row>
    <row r="24" spans="2:9" ht="26.25" customHeight="1" thickBot="1" x14ac:dyDescent="0.3">
      <c r="B24" s="1338" t="s">
        <v>5008</v>
      </c>
      <c r="C24" s="1336"/>
      <c r="D24" s="1336"/>
      <c r="E24" s="1336"/>
      <c r="F24" s="1336"/>
      <c r="G24" s="1336"/>
      <c r="H24" s="1336"/>
      <c r="I24" s="1336"/>
    </row>
    <row r="25" spans="2:9" ht="26.25" customHeight="1" thickBot="1" x14ac:dyDescent="0.3">
      <c r="B25" s="1338" t="s">
        <v>5009</v>
      </c>
      <c r="C25" s="1336"/>
      <c r="D25" s="1336"/>
      <c r="E25" s="1336"/>
      <c r="F25" s="1336"/>
      <c r="G25" s="1336"/>
      <c r="H25" s="1336"/>
      <c r="I25" s="1336"/>
    </row>
    <row r="26" spans="2:9" ht="26.25" customHeight="1" thickBot="1" x14ac:dyDescent="0.3">
      <c r="B26" s="1338" t="s">
        <v>2029</v>
      </c>
      <c r="C26" s="1336"/>
      <c r="D26" s="1336"/>
      <c r="E26" s="1336"/>
      <c r="F26" s="1336"/>
      <c r="G26" s="1336"/>
      <c r="H26" s="1336"/>
      <c r="I26" s="1336"/>
    </row>
    <row r="27" spans="2:9" ht="26.25" customHeight="1" thickBot="1" x14ac:dyDescent="0.3">
      <c r="B27" s="1338" t="s">
        <v>5010</v>
      </c>
      <c r="C27" s="1336"/>
      <c r="D27" s="1336"/>
      <c r="E27" s="1336"/>
      <c r="F27" s="1336"/>
      <c r="G27" s="1336"/>
      <c r="H27" s="1336"/>
      <c r="I27" s="1336"/>
    </row>
    <row r="28" spans="2:9" ht="26.25" customHeight="1" thickBot="1" x14ac:dyDescent="0.3">
      <c r="B28" s="1339" t="s">
        <v>5019</v>
      </c>
      <c r="C28" s="1336"/>
      <c r="D28" s="1336"/>
      <c r="E28" s="1336"/>
      <c r="F28" s="1336"/>
      <c r="G28" s="1336"/>
      <c r="H28" s="1336"/>
      <c r="I28" s="1336"/>
    </row>
    <row r="29" spans="2:9" ht="26.25" customHeight="1" thickBot="1" x14ac:dyDescent="0.3">
      <c r="B29" s="1338" t="s">
        <v>5011</v>
      </c>
      <c r="C29" s="1336"/>
      <c r="D29" s="1336"/>
      <c r="E29" s="1336"/>
      <c r="F29" s="1336"/>
      <c r="G29" s="1336"/>
      <c r="H29" s="1336"/>
      <c r="I29" s="1336"/>
    </row>
    <row r="30" spans="2:9" ht="26.25" customHeight="1" thickBot="1" x14ac:dyDescent="0.3">
      <c r="B30" s="1338" t="s">
        <v>5012</v>
      </c>
      <c r="C30" s="1336"/>
      <c r="D30" s="1336"/>
      <c r="E30" s="1336"/>
      <c r="F30" s="1336"/>
      <c r="G30" s="1336"/>
      <c r="H30" s="1336"/>
      <c r="I30" s="1336"/>
    </row>
    <row r="31" spans="2:9" ht="18.75" x14ac:dyDescent="0.25">
      <c r="B31" s="1341"/>
    </row>
    <row r="32" spans="2:9" ht="18.75" x14ac:dyDescent="0.25">
      <c r="B32" s="1341" t="s">
        <v>5014</v>
      </c>
    </row>
    <row r="33" spans="2:7" ht="18.75" x14ac:dyDescent="0.25">
      <c r="B33" s="1341" t="s">
        <v>5015</v>
      </c>
    </row>
    <row r="34" spans="2:7" ht="18.75" x14ac:dyDescent="0.25">
      <c r="B34" s="1341"/>
    </row>
    <row r="35" spans="2:7" ht="18.75" x14ac:dyDescent="0.25">
      <c r="B35" s="1341" t="s">
        <v>5016</v>
      </c>
    </row>
    <row r="36" spans="2:7" ht="15.75" x14ac:dyDescent="0.25">
      <c r="B36" s="1725" t="s">
        <v>5017</v>
      </c>
      <c r="C36" s="1725"/>
      <c r="D36" s="1725"/>
      <c r="E36" s="1725"/>
      <c r="F36" s="1725"/>
      <c r="G36" s="1725"/>
    </row>
    <row r="37" spans="2:7" x14ac:dyDescent="0.25">
      <c r="B37" s="1342" t="s">
        <v>5018</v>
      </c>
    </row>
  </sheetData>
  <mergeCells count="4">
    <mergeCell ref="E4:F5"/>
    <mergeCell ref="H4:I5"/>
    <mergeCell ref="H22:I22"/>
    <mergeCell ref="B36:G36"/>
  </mergeCells>
  <pageMargins left="0.23622047244094491" right="0.23622047244094491" top="0.15748031496062992" bottom="0.55118110236220474" header="0.31496062992125984" footer="0.31496062992125984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AR29"/>
  <sheetViews>
    <sheetView view="pageBreakPreview" zoomScale="55" zoomScaleNormal="40" zoomScaleSheetLayoutView="55" workbookViewId="0">
      <selection activeCell="U24" sqref="U24"/>
    </sheetView>
  </sheetViews>
  <sheetFormatPr defaultRowHeight="15" x14ac:dyDescent="0.25"/>
  <cols>
    <col min="4" max="4" width="23.28515625" customWidth="1"/>
    <col min="5" max="5" width="8.28515625" customWidth="1"/>
    <col min="6" max="6" width="38.5703125" customWidth="1"/>
    <col min="7" max="8" width="9.85546875" customWidth="1"/>
    <col min="9" max="9" width="9.7109375" customWidth="1"/>
    <col min="10" max="10" width="11.140625" customWidth="1"/>
    <col min="11" max="11" width="11.5703125" customWidth="1"/>
    <col min="12" max="12" width="10.140625" customWidth="1"/>
    <col min="13" max="17" width="9.85546875" customWidth="1"/>
    <col min="18" max="18" width="11.7109375" customWidth="1"/>
    <col min="19" max="19" width="9.85546875" customWidth="1"/>
    <col min="20" max="20" width="12" customWidth="1"/>
    <col min="21" max="21" width="11.28515625" customWidth="1"/>
    <col min="22" max="22" width="12.7109375" customWidth="1"/>
    <col min="23" max="34" width="9.85546875" customWidth="1"/>
    <col min="35" max="35" width="12.140625" customWidth="1"/>
    <col min="36" max="41" width="9.85546875" customWidth="1"/>
    <col min="42" max="42" width="12" customWidth="1"/>
  </cols>
  <sheetData>
    <row r="1" spans="1:44" ht="30.75" x14ac:dyDescent="0.45">
      <c r="A1" s="1450"/>
      <c r="B1" s="1450"/>
      <c r="C1" s="1450"/>
      <c r="D1" s="1450"/>
      <c r="E1" s="1450"/>
      <c r="F1" s="1450"/>
      <c r="G1" s="1450"/>
      <c r="H1" s="1450"/>
      <c r="I1" s="1450"/>
      <c r="J1" s="1450"/>
      <c r="K1" s="827"/>
      <c r="L1" s="1450"/>
      <c r="M1" s="827"/>
      <c r="N1" s="827"/>
      <c r="O1" s="1450"/>
      <c r="P1" s="1450" t="s">
        <v>1492</v>
      </c>
      <c r="Q1" s="1450"/>
      <c r="R1" s="1450"/>
      <c r="S1" s="1450"/>
      <c r="T1" s="1450"/>
      <c r="U1" s="1450"/>
      <c r="V1" s="1451"/>
      <c r="W1" s="1450"/>
      <c r="X1" s="1450"/>
      <c r="Y1" s="1450"/>
      <c r="Z1" s="1450"/>
      <c r="AA1" s="1450"/>
      <c r="AB1" s="1450"/>
      <c r="AC1" s="1450"/>
      <c r="AD1" s="1450"/>
      <c r="AE1" s="1450"/>
      <c r="AF1" s="1450"/>
      <c r="AG1" s="1450"/>
      <c r="AH1" s="1450"/>
      <c r="AI1" s="1551" t="s">
        <v>2147</v>
      </c>
      <c r="AJ1" s="1551"/>
      <c r="AK1" s="1551"/>
      <c r="AL1" s="1551"/>
      <c r="AM1" s="1551"/>
      <c r="AN1" s="1551"/>
      <c r="AO1" s="1551"/>
      <c r="AP1" s="1551"/>
      <c r="AQ1" s="1551"/>
      <c r="AR1" s="1450"/>
    </row>
    <row r="2" spans="1:44" ht="30.75" x14ac:dyDescent="0.45">
      <c r="A2" s="1450"/>
      <c r="B2" s="1450"/>
      <c r="C2" s="1450"/>
      <c r="D2" s="1450"/>
      <c r="E2" s="1450"/>
      <c r="F2" s="1450"/>
      <c r="G2" s="1450"/>
      <c r="H2" s="1450"/>
      <c r="I2" s="1450"/>
      <c r="J2" s="1450"/>
      <c r="K2" s="1450"/>
      <c r="L2" s="1450"/>
      <c r="M2" s="1450"/>
      <c r="N2" s="1450"/>
      <c r="O2" s="1452"/>
      <c r="P2" s="1452"/>
      <c r="Q2" s="1452"/>
      <c r="R2" s="1452"/>
      <c r="S2" s="1120"/>
      <c r="T2" s="1120"/>
      <c r="U2" s="1452" t="s">
        <v>1493</v>
      </c>
      <c r="V2" s="1554">
        <v>45327</v>
      </c>
      <c r="W2" s="1554"/>
      <c r="X2" s="1554"/>
      <c r="Y2" s="1450"/>
      <c r="Z2" s="1450"/>
      <c r="AA2" s="1450"/>
      <c r="AB2" s="1450"/>
      <c r="AC2" s="1450"/>
      <c r="AD2" s="1450"/>
      <c r="AE2" s="1450"/>
      <c r="AF2" s="1450"/>
      <c r="AG2" s="1450"/>
      <c r="AH2" s="1450"/>
      <c r="AI2" s="1552" t="s">
        <v>2148</v>
      </c>
      <c r="AJ2" s="1552"/>
      <c r="AK2" s="1552"/>
      <c r="AL2" s="1552"/>
      <c r="AM2" s="1552"/>
      <c r="AN2" s="1552"/>
      <c r="AO2" s="1552"/>
      <c r="AP2" s="1552"/>
      <c r="AQ2" s="1552"/>
      <c r="AR2" s="1450"/>
    </row>
    <row r="3" spans="1:44" ht="31.5" customHeight="1" x14ac:dyDescent="0.45">
      <c r="A3" s="1450"/>
      <c r="B3" s="1450"/>
      <c r="C3" s="1450"/>
      <c r="D3" s="1450"/>
      <c r="E3" s="1450"/>
      <c r="F3" s="1555" t="s">
        <v>871</v>
      </c>
      <c r="G3" s="1555" t="s">
        <v>872</v>
      </c>
      <c r="H3" s="1555"/>
      <c r="I3" s="1555"/>
      <c r="J3" s="1555"/>
      <c r="K3" s="1555"/>
      <c r="L3" s="1555"/>
      <c r="M3" s="1555" t="s">
        <v>873</v>
      </c>
      <c r="N3" s="1555"/>
      <c r="O3" s="1555"/>
      <c r="P3" s="1555"/>
      <c r="Q3" s="1555"/>
      <c r="R3" s="1555"/>
      <c r="S3" s="1555"/>
      <c r="T3" s="1555"/>
      <c r="U3" s="1555"/>
      <c r="V3" s="1555"/>
      <c r="W3" s="1555"/>
      <c r="X3" s="1555" t="s">
        <v>874</v>
      </c>
      <c r="Y3" s="1555"/>
      <c r="Z3" s="1555"/>
      <c r="AA3" s="1555"/>
      <c r="AB3" s="1555"/>
      <c r="AC3" s="1555"/>
      <c r="AD3" s="1555"/>
      <c r="AE3" s="1555"/>
      <c r="AF3" s="1555"/>
      <c r="AG3" s="1555"/>
      <c r="AH3" s="1555"/>
      <c r="AI3" s="1555"/>
      <c r="AJ3" s="1555"/>
      <c r="AK3" s="1555"/>
      <c r="AL3" s="1555"/>
      <c r="AM3" s="1555"/>
      <c r="AN3" s="1555"/>
      <c r="AO3" s="1555"/>
      <c r="AP3" s="1555"/>
      <c r="AQ3" s="674"/>
      <c r="AR3" s="674"/>
    </row>
    <row r="4" spans="1:44" ht="30.75" customHeight="1" x14ac:dyDescent="0.45">
      <c r="A4" s="1450"/>
      <c r="B4" s="1450"/>
      <c r="C4" s="1450"/>
      <c r="D4" s="1450"/>
      <c r="E4" s="1450"/>
      <c r="F4" s="1555"/>
      <c r="G4" s="1549" t="s">
        <v>876</v>
      </c>
      <c r="H4" s="1549" t="s">
        <v>877</v>
      </c>
      <c r="I4" s="1549" t="s">
        <v>878</v>
      </c>
      <c r="J4" s="1549" t="s">
        <v>879</v>
      </c>
      <c r="K4" s="1556" t="s">
        <v>880</v>
      </c>
      <c r="L4" s="1557" t="s">
        <v>74</v>
      </c>
      <c r="M4" s="1549" t="s">
        <v>876</v>
      </c>
      <c r="N4" s="1549" t="s">
        <v>877</v>
      </c>
      <c r="O4" s="1549" t="s">
        <v>1494</v>
      </c>
      <c r="P4" s="1549" t="s">
        <v>1821</v>
      </c>
      <c r="Q4" s="1555" t="s">
        <v>1820</v>
      </c>
      <c r="R4" s="1555"/>
      <c r="S4" s="1555"/>
      <c r="T4" s="1555"/>
      <c r="U4" s="1556" t="s">
        <v>880</v>
      </c>
      <c r="V4" s="1558" t="s">
        <v>882</v>
      </c>
      <c r="W4" s="1557" t="s">
        <v>74</v>
      </c>
      <c r="X4" s="1549" t="s">
        <v>876</v>
      </c>
      <c r="Y4" s="1549" t="s">
        <v>877</v>
      </c>
      <c r="Z4" s="1549" t="s">
        <v>1494</v>
      </c>
      <c r="AA4" s="1549" t="s">
        <v>1821</v>
      </c>
      <c r="AB4" s="1555" t="s">
        <v>1820</v>
      </c>
      <c r="AC4" s="1555"/>
      <c r="AD4" s="1555"/>
      <c r="AE4" s="1556" t="s">
        <v>880</v>
      </c>
      <c r="AF4" s="1556" t="s">
        <v>74</v>
      </c>
      <c r="AG4" s="1549" t="s">
        <v>1495</v>
      </c>
      <c r="AH4" s="1549" t="s">
        <v>2090</v>
      </c>
      <c r="AI4" s="1549" t="s">
        <v>1496</v>
      </c>
      <c r="AJ4" s="1549" t="s">
        <v>1497</v>
      </c>
      <c r="AK4" s="1549" t="s">
        <v>1499</v>
      </c>
      <c r="AL4" s="1549" t="s">
        <v>886</v>
      </c>
      <c r="AM4" s="1549" t="s">
        <v>3512</v>
      </c>
      <c r="AN4" s="1549" t="s">
        <v>891</v>
      </c>
      <c r="AO4" s="1549" t="s">
        <v>3513</v>
      </c>
      <c r="AP4" s="1556" t="s">
        <v>880</v>
      </c>
      <c r="AQ4" s="1450"/>
      <c r="AR4" s="1450"/>
    </row>
    <row r="5" spans="1:44" ht="33" customHeight="1" x14ac:dyDescent="0.45">
      <c r="A5" s="1450"/>
      <c r="B5" s="1450"/>
      <c r="C5" s="1450"/>
      <c r="D5" s="1450"/>
      <c r="E5" s="1450"/>
      <c r="F5" s="1555"/>
      <c r="G5" s="1549"/>
      <c r="H5" s="1549"/>
      <c r="I5" s="1549"/>
      <c r="J5" s="1549"/>
      <c r="K5" s="1556"/>
      <c r="L5" s="1557"/>
      <c r="M5" s="1549"/>
      <c r="N5" s="1549"/>
      <c r="O5" s="1549"/>
      <c r="P5" s="1549"/>
      <c r="Q5" s="1559" t="s">
        <v>1351</v>
      </c>
      <c r="R5" s="1559" t="s">
        <v>296</v>
      </c>
      <c r="S5" s="1559" t="s">
        <v>4208</v>
      </c>
      <c r="T5" s="1559" t="s">
        <v>3338</v>
      </c>
      <c r="U5" s="1556"/>
      <c r="V5" s="1558"/>
      <c r="W5" s="1557"/>
      <c r="X5" s="1549"/>
      <c r="Y5" s="1549"/>
      <c r="Z5" s="1549"/>
      <c r="AA5" s="1549"/>
      <c r="AB5" s="1559" t="s">
        <v>1351</v>
      </c>
      <c r="AC5" s="1559" t="s">
        <v>296</v>
      </c>
      <c r="AD5" s="1559" t="s">
        <v>4208</v>
      </c>
      <c r="AE5" s="1556"/>
      <c r="AF5" s="1556"/>
      <c r="AG5" s="1549"/>
      <c r="AH5" s="1549"/>
      <c r="AI5" s="1549"/>
      <c r="AJ5" s="1549"/>
      <c r="AK5" s="1549"/>
      <c r="AL5" s="1549"/>
      <c r="AM5" s="1549"/>
      <c r="AN5" s="1549"/>
      <c r="AO5" s="1549"/>
      <c r="AP5" s="1556"/>
      <c r="AQ5" s="1450"/>
      <c r="AR5" s="1450"/>
    </row>
    <row r="6" spans="1:44" ht="39.75" customHeight="1" x14ac:dyDescent="0.45">
      <c r="A6" s="1450"/>
      <c r="B6" s="1450"/>
      <c r="C6" s="1450"/>
      <c r="D6" s="1450"/>
      <c r="E6" s="1450"/>
      <c r="F6" s="1555"/>
      <c r="G6" s="1549"/>
      <c r="H6" s="1549"/>
      <c r="I6" s="1549"/>
      <c r="J6" s="1549"/>
      <c r="K6" s="1556"/>
      <c r="L6" s="1557"/>
      <c r="M6" s="1549"/>
      <c r="N6" s="1549"/>
      <c r="O6" s="1549"/>
      <c r="P6" s="1549"/>
      <c r="Q6" s="1559"/>
      <c r="R6" s="1559"/>
      <c r="S6" s="1559"/>
      <c r="T6" s="1559"/>
      <c r="U6" s="1556"/>
      <c r="V6" s="1558"/>
      <c r="W6" s="1557"/>
      <c r="X6" s="1549"/>
      <c r="Y6" s="1549"/>
      <c r="Z6" s="1549"/>
      <c r="AA6" s="1549"/>
      <c r="AB6" s="1559"/>
      <c r="AC6" s="1559"/>
      <c r="AD6" s="1559"/>
      <c r="AE6" s="1556"/>
      <c r="AF6" s="1556"/>
      <c r="AG6" s="1549"/>
      <c r="AH6" s="1549"/>
      <c r="AI6" s="1549"/>
      <c r="AJ6" s="1549"/>
      <c r="AK6" s="1549"/>
      <c r="AL6" s="1549"/>
      <c r="AM6" s="1549"/>
      <c r="AN6" s="1549"/>
      <c r="AO6" s="1549"/>
      <c r="AP6" s="1556"/>
      <c r="AQ6" s="1450"/>
      <c r="AR6" s="1450"/>
    </row>
    <row r="7" spans="1:44" ht="57.75" customHeight="1" x14ac:dyDescent="0.45">
      <c r="A7" s="1450"/>
      <c r="B7" s="1450"/>
      <c r="C7" s="1450"/>
      <c r="D7" s="1450"/>
      <c r="E7" s="1450"/>
      <c r="F7" s="1555"/>
      <c r="G7" s="1549"/>
      <c r="H7" s="1549"/>
      <c r="I7" s="1549"/>
      <c r="J7" s="1549"/>
      <c r="K7" s="1556"/>
      <c r="L7" s="1557"/>
      <c r="M7" s="1549"/>
      <c r="N7" s="1549"/>
      <c r="O7" s="1549"/>
      <c r="P7" s="1549"/>
      <c r="Q7" s="1559"/>
      <c r="R7" s="1559"/>
      <c r="S7" s="1559"/>
      <c r="T7" s="1559"/>
      <c r="U7" s="1556"/>
      <c r="V7" s="1558"/>
      <c r="W7" s="1557"/>
      <c r="X7" s="1549"/>
      <c r="Y7" s="1549"/>
      <c r="Z7" s="1549"/>
      <c r="AA7" s="1549"/>
      <c r="AB7" s="1559"/>
      <c r="AC7" s="1559"/>
      <c r="AD7" s="1559"/>
      <c r="AE7" s="1556"/>
      <c r="AF7" s="1556"/>
      <c r="AG7" s="1549"/>
      <c r="AH7" s="1549"/>
      <c r="AI7" s="1549"/>
      <c r="AJ7" s="1549"/>
      <c r="AK7" s="1549"/>
      <c r="AL7" s="1549"/>
      <c r="AM7" s="1549"/>
      <c r="AN7" s="1549"/>
      <c r="AO7" s="1549"/>
      <c r="AP7" s="1556"/>
      <c r="AQ7" s="1450"/>
      <c r="AR7" s="1450"/>
    </row>
    <row r="8" spans="1:44" ht="30.75" x14ac:dyDescent="0.45">
      <c r="A8" s="1450"/>
      <c r="B8" s="1450"/>
      <c r="C8" s="1450"/>
      <c r="D8" s="1450"/>
      <c r="E8" s="1450"/>
      <c r="F8" s="675" t="s">
        <v>63</v>
      </c>
      <c r="G8" s="676">
        <f>COUNTIFS(ШТАТ!AM:AM,F8,ШТАТ!AK:AK,1)</f>
        <v>28</v>
      </c>
      <c r="H8" s="676">
        <f>COUNTIFS(ШТАТ!AM:AM,F8,ШТАТ!AK:AK,2)</f>
        <v>2</v>
      </c>
      <c r="I8" s="676">
        <f>COUNTIFS(ШТАТ!AM:AM,F8,ШТАТ!AK:AK,3)</f>
        <v>1</v>
      </c>
      <c r="J8" s="676">
        <f>COUNTIFS(ШТАТ!AM:AM,F8,ШТАТ!AK:AK,4)</f>
        <v>5</v>
      </c>
      <c r="K8" s="677">
        <f>SUM(G8:J8)</f>
        <v>36</v>
      </c>
      <c r="L8" s="676">
        <f>COUNTIFS(ШТАТ!AM:AM,F8,ШТАТ!AK:AK,"ГП")</f>
        <v>16</v>
      </c>
      <c r="M8" s="676">
        <f>COUNTIFS(ШТАТ!AM:AM,F8,ШТАТ!AJ:AJ,"о")</f>
        <v>27</v>
      </c>
      <c r="N8" s="676">
        <f>COUNTIFS(ШТАТ!AM:AM,F8,ШТАТ!AJ:AJ,"п")</f>
        <v>2</v>
      </c>
      <c r="O8" s="676">
        <f>COUNTIFS(ШТАТ!AM:AM,F8,ШТАТ!AK:AK,3,ШТАТ!AJ:AJ,"к/с")</f>
        <v>0</v>
      </c>
      <c r="P8" s="676">
        <f>COUNTIFS(ШТАТ!AM:AM,F8,ШТАТ!AK:AK,4,ШТАТ!AJ:AJ,"к/с")</f>
        <v>1</v>
      </c>
      <c r="Q8" s="676">
        <f>COUNTIFS(ШТАТ!AM:AM,F8,ШТАТ!AI:AI,"1-23")</f>
        <v>2</v>
      </c>
      <c r="R8" s="676">
        <f>COUNTIFS(ШТАТ!AM:AM,F8,ШТАТ!AI:AI,"2-22")</f>
        <v>0</v>
      </c>
      <c r="S8" s="676">
        <f>COUNTIFS(ШТАТ!AM:AM,F8,ШТАТ!AI:AI,"2-23")</f>
        <v>0</v>
      </c>
      <c r="T8" s="676">
        <f>SUM(Q8:S8)</f>
        <v>2</v>
      </c>
      <c r="U8" s="677">
        <f t="shared" ref="U8:U21" si="0">SUM(M8:S8)</f>
        <v>32</v>
      </c>
      <c r="V8" s="678">
        <f t="shared" ref="V8:V20" si="1">U8/K8</f>
        <v>0.88888888888888884</v>
      </c>
      <c r="W8" s="676">
        <f>COUNTIFS(ШТАТ!AM:AM,F8,ШТАТ!AJ:AJ,"ГП")</f>
        <v>11</v>
      </c>
      <c r="X8" s="676">
        <f>COUNTIFS(ШТАТ!U:U,"",ШТАТ!AM:AM,F8,ШТАТ!AJ:AJ,"о")</f>
        <v>7</v>
      </c>
      <c r="Y8" s="676">
        <f>COUNTIFS(ШТАТ!U:U,"",ШТАТ!AM:AM,F8,ШТАТ!AJ:AJ,"п")</f>
        <v>1</v>
      </c>
      <c r="Z8" s="676">
        <f>COUNTIFS(ШТАТ!U:U,"",ШТАТ!AM:AM,F8,ШТАТ!AK:AK,3,ШТАТ!AJ:AJ,"к/с")</f>
        <v>0</v>
      </c>
      <c r="AA8" s="676">
        <f>COUNTIFS(ШТАТ!U:U,"",ШТАТ!AM:AM,F8,ШТАТ!AK:AK,4,ШТАТ!AJ:AJ,"к/с")</f>
        <v>1</v>
      </c>
      <c r="AB8" s="676">
        <f>COUNTIFS(ШТАТ!AM:AM,F8,ШТАТ!AI:AI,"1-23",ШТАТ!U:U,"")</f>
        <v>2</v>
      </c>
      <c r="AC8" s="676">
        <f>COUNTIFS(ШТАТ!AM:AM,F8,ШТАТ!AI:AI,"2-22",ШТАТ!U:U,"")</f>
        <v>0</v>
      </c>
      <c r="AD8" s="676">
        <f>COUNTIFS(ШТАТ!AM:AM,F8,ШТАТ!AI:AI,"2-23",ШТАТ!U:U,"")</f>
        <v>0</v>
      </c>
      <c r="AE8" s="677">
        <f t="shared" ref="AE8:AE23" si="2">SUM(X8:AD8)</f>
        <v>11</v>
      </c>
      <c r="AF8" s="676">
        <f>COUNTIFS(ШТАТ!U:U,"",ШТАТ!AM:AM,F8,ШТАТ!AJ:AJ,"ГП")</f>
        <v>11</v>
      </c>
      <c r="AG8" s="676">
        <v>0</v>
      </c>
      <c r="AH8" s="676">
        <f>COUNTIFS(ШТАТ!AM:AM,F8,ШТАТ!U:U,"МП")</f>
        <v>0</v>
      </c>
      <c r="AI8" s="676">
        <f>COUNTIFS(ШТАТ!AM:AM,F8,ШТАТ!U:U,"ком-ка")</f>
        <v>21</v>
      </c>
      <c r="AJ8" s="676">
        <f>COUNTIFS(ШТАТ!AM:AM,F8,ШТАТ!U:U,"отпуск")</f>
        <v>0</v>
      </c>
      <c r="AK8" s="676"/>
      <c r="AL8" s="676">
        <f>COUNTIFS(ШТАТ!AM:AM,F8,ШТАТ!U:U,"СОЧ")</f>
        <v>0</v>
      </c>
      <c r="AM8" s="676">
        <f>COUNTIFS(ШТАТ!AM:AM,F8,ШТАТ!U:U,"госп")</f>
        <v>0</v>
      </c>
      <c r="AN8" s="676">
        <f>COUNTIFS(ШТАТ!AM:AM,F8,ШТАТ!U:U,"осв-ие")</f>
        <v>0</v>
      </c>
      <c r="AO8" s="676">
        <f>COUNTIFS(ШТАТ!AM:AM,F8,ШТАТ!U:U,"полигон")</f>
        <v>0</v>
      </c>
      <c r="AP8" s="677">
        <f t="shared" ref="AP8:AP23" si="3">SUM(AH8:AO8)</f>
        <v>21</v>
      </c>
      <c r="AQ8" s="1450"/>
      <c r="AR8" s="1450"/>
    </row>
    <row r="9" spans="1:44" ht="30.75" x14ac:dyDescent="0.45">
      <c r="A9" s="1450"/>
      <c r="B9" s="1450"/>
      <c r="C9" s="1450"/>
      <c r="D9" s="1450"/>
      <c r="E9" s="1450"/>
      <c r="F9" s="675" t="s">
        <v>267</v>
      </c>
      <c r="G9" s="676">
        <f>COUNTIFS(ШТАТ!AM:AM,F9,ШТАТ!AK:AK,1)</f>
        <v>27</v>
      </c>
      <c r="H9" s="676">
        <f>COUNTIFS(ШТАТ!AM:AM,F9,ШТАТ!AK:AK,2)</f>
        <v>12</v>
      </c>
      <c r="I9" s="676">
        <f>COUNTIFS(ШТАТ!AM:AM,F9,ШТАТ!AK:AK,3)</f>
        <v>55</v>
      </c>
      <c r="J9" s="676">
        <f>COUNTIFS(ШТАТ!AM:AM,F9,ШТАТ!AK:AK,4)</f>
        <v>328</v>
      </c>
      <c r="K9" s="677">
        <f>SUM(G9:J9)</f>
        <v>422</v>
      </c>
      <c r="L9" s="676">
        <f>COUNTIFS(ШТАТ!AM:AM,F9,ШТАТ!AK:AK,"ГП")</f>
        <v>0</v>
      </c>
      <c r="M9" s="676">
        <f>COUNTIFS(ШТАТ!AM:AM,F9,ШТАТ!AJ:AJ,"о")</f>
        <v>26</v>
      </c>
      <c r="N9" s="676">
        <f>COUNTIFS(ШТАТ!AM:AM,F9,ШТАТ!AJ:AJ,"п")</f>
        <v>7</v>
      </c>
      <c r="O9" s="676">
        <f>COUNTIFS(ШТАТ!AM:AM,F9,ШТАТ!AK:AK,3,ШТАТ!AJ:AJ,"к/с")</f>
        <v>46</v>
      </c>
      <c r="P9" s="676">
        <f>COUNTIFS(ШТАТ!AM:AM,F9,ШТАТ!AK:AK,4,ШТАТ!AJ:AJ,"к/с")+1</f>
        <v>284</v>
      </c>
      <c r="Q9" s="676">
        <f>COUNTIFS(ШТАТ!AM:AM,F9,ШТАТ!AI:AI,"1-23")</f>
        <v>0</v>
      </c>
      <c r="R9" s="676">
        <f>COUNTIFS(ШТАТ!AM:AM,F9,ШТАТ!AI:AI,"2-22")</f>
        <v>0</v>
      </c>
      <c r="S9" s="676">
        <f>COUNTIFS(ШТАТ!AM:AM,F9,ШТАТ!AI:AI,"2-23")</f>
        <v>0</v>
      </c>
      <c r="T9" s="676">
        <f t="shared" ref="T9:T23" si="4">SUM(Q9:S9)</f>
        <v>0</v>
      </c>
      <c r="U9" s="677">
        <f>SUM(M9:S9)</f>
        <v>363</v>
      </c>
      <c r="V9" s="678">
        <f t="shared" si="1"/>
        <v>0.8601895734597157</v>
      </c>
      <c r="W9" s="676">
        <f>COUNTIFS(ШТАТ!AM:AM,F9,ШТАТ!AJ:AJ,"ГП")</f>
        <v>0</v>
      </c>
      <c r="X9" s="676">
        <f>COUNTIFS(ШТАТ!U:U,"",ШТАТ!AM:AM,F9,ШТАТ!AJ:AJ,"о")</f>
        <v>1</v>
      </c>
      <c r="Y9" s="676">
        <f>COUNTIFS(ШТАТ!U:U,"",ШТАТ!AM:AM,F9,ШТАТ!AJ:AJ,"п")</f>
        <v>1</v>
      </c>
      <c r="Z9" s="676">
        <f>COUNTIFS(ШТАТ!U:U,"",ШТАТ!AM:AM,F9,ШТАТ!AK:AK,3,ШТАТ!AJ:AJ,"к/с")</f>
        <v>2</v>
      </c>
      <c r="AA9" s="676">
        <f>COUNTIFS(ШТАТ!U:U,"",ШТАТ!AM:AM,F9,ШТАТ!AK:AK,4,ШТАТ!AJ:AJ,"к/с")</f>
        <v>27</v>
      </c>
      <c r="AB9" s="676">
        <f>COUNTIFS(ШТАТ!AM:AM,F9,ШТАТ!AI:AI,"1-23",ШТАТ!U:U,"")</f>
        <v>0</v>
      </c>
      <c r="AC9" s="676">
        <f>COUNTIFS(ШТАТ!AM:AM,F9,ШТАТ!AI:AI,"2-22",ШТАТ!U:U,"")</f>
        <v>0</v>
      </c>
      <c r="AD9" s="676">
        <f>COUNTIFS(ШТАТ!AM:AM,F9,ШТАТ!AI:AI,"2-23",ШТАТ!U:U,"")</f>
        <v>0</v>
      </c>
      <c r="AE9" s="677">
        <f t="shared" si="2"/>
        <v>31</v>
      </c>
      <c r="AF9" s="676">
        <f>COUNTIFS(ШТАТ!U:U,"",ШТАТ!AM:AM,F9,ШТАТ!AJ:AJ,"ГП")</f>
        <v>0</v>
      </c>
      <c r="AG9" s="676">
        <v>0</v>
      </c>
      <c r="AH9" s="676">
        <f>COUNTIFS(ШТАТ!AM:AM,F9,ШТАТ!U:U,"МП")</f>
        <v>0</v>
      </c>
      <c r="AI9" s="676">
        <f>COUNTIFS(ШТАТ!AM:AM,F9,ШТАТ!U:U,"ком-ка")</f>
        <v>311</v>
      </c>
      <c r="AJ9" s="676">
        <f>COUNTIFS(ШТАТ!AM:AM,F9,ШТАТ!U:U,"отпуск")</f>
        <v>6</v>
      </c>
      <c r="AK9" s="676"/>
      <c r="AL9" s="676">
        <f>COUNTIFS(ШТАТ!AM:AM,F9,ШТАТ!U:U,"СОЧ")</f>
        <v>11</v>
      </c>
      <c r="AM9" s="676">
        <f>COUNTIFS(ШТАТ!AM:AM,F9,ШТАТ!U:U,"госп")</f>
        <v>2</v>
      </c>
      <c r="AN9" s="676">
        <f>COUNTIFS(ШТАТ!AM:AM,F9,ШТАТ!U:U,"осв-ие")</f>
        <v>1</v>
      </c>
      <c r="AO9" s="676">
        <f>COUNTIFS(ШТАТ!AM:AM,F9,ШТАТ!U:U,"полигон")</f>
        <v>1</v>
      </c>
      <c r="AP9" s="677">
        <f t="shared" si="3"/>
        <v>332</v>
      </c>
      <c r="AQ9" s="1450"/>
      <c r="AR9" s="1450"/>
    </row>
    <row r="10" spans="1:44" ht="30.75" x14ac:dyDescent="0.45">
      <c r="A10" s="1450"/>
      <c r="B10" s="1450"/>
      <c r="C10" s="1450"/>
      <c r="D10" s="1450"/>
      <c r="E10" s="1450"/>
      <c r="F10" s="675" t="s">
        <v>460</v>
      </c>
      <c r="G10" s="676">
        <f>COUNTIFS(ШТАТ!AM:AM,F10,ШТАТ!AK:AK,1)</f>
        <v>27</v>
      </c>
      <c r="H10" s="676">
        <f>COUNTIFS(ШТАТ!AM:AM,F10,ШТАТ!AK:AK,2)</f>
        <v>12</v>
      </c>
      <c r="I10" s="676">
        <f>COUNTIFS(ШТАТ!AM:AM,F10,ШТАТ!AK:AK,3)</f>
        <v>55</v>
      </c>
      <c r="J10" s="676">
        <f>COUNTIFS(ШТАТ!AM:AM,F10,ШТАТ!AK:AK,4)</f>
        <v>328</v>
      </c>
      <c r="K10" s="677">
        <f t="shared" ref="K10:K21" si="5">SUM(G10:J10)</f>
        <v>422</v>
      </c>
      <c r="L10" s="676">
        <f>COUNTIFS(ШТАТ!AM:AM,F10,ШТАТ!AK:AK,"ГП")</f>
        <v>0</v>
      </c>
      <c r="M10" s="676">
        <f>COUNTIFS(ШТАТ!AM:AM,F10,ШТАТ!AJ:AJ,"о")</f>
        <v>24</v>
      </c>
      <c r="N10" s="676">
        <f>COUNTIFS(ШТАТ!AM:AM,F10,ШТАТ!AJ:AJ,"п")</f>
        <v>8</v>
      </c>
      <c r="O10" s="676">
        <f>COUNTIFS(ШТАТ!AM:AM,F10,ШТАТ!AK:AK,3,ШТАТ!AJ:AJ,"к/с")</f>
        <v>3</v>
      </c>
      <c r="P10" s="676">
        <f>COUNTIFS(ШТАТ!AM:AM,F10,ШТАТ!AK:AK,4,ШТАТ!AJ:AJ,"к/с")</f>
        <v>11</v>
      </c>
      <c r="Q10" s="676">
        <f>COUNTIFS(ШТАТ!AM:AM,F10,ШТАТ!AI:AI,"1-23")</f>
        <v>269</v>
      </c>
      <c r="R10" s="676">
        <f>COUNTIFS(ШТАТ!AM:AM,F10,ШТАТ!AI:AI,"2-22")</f>
        <v>0</v>
      </c>
      <c r="S10" s="676">
        <f>COUNTIFS(ШТАТ!AM:AM,F10,ШТАТ!AI:AI,"2-23")</f>
        <v>87</v>
      </c>
      <c r="T10" s="676">
        <f t="shared" si="4"/>
        <v>356</v>
      </c>
      <c r="U10" s="677">
        <f>SUM(M10:S10)</f>
        <v>402</v>
      </c>
      <c r="V10" s="678">
        <f t="shared" si="1"/>
        <v>0.95260663507109</v>
      </c>
      <c r="W10" s="676">
        <f>COUNTIFS(ШТАТ!AM:AM,F10,ШТАТ!AJ:AJ,"ГП")</f>
        <v>0</v>
      </c>
      <c r="X10" s="676">
        <f>COUNTIFS(ШТАТ!U:U,"",ШТАТ!AM:AM,F10,ШТАТ!AJ:AJ,"о")</f>
        <v>15</v>
      </c>
      <c r="Y10" s="676">
        <f>COUNTIFS(ШТАТ!U:U,"",ШТАТ!AM:AM,F10,ШТАТ!AJ:AJ,"п")</f>
        <v>6</v>
      </c>
      <c r="Z10" s="676">
        <f>COUNTIFS(ШТАТ!U:U,"",ШТАТ!AM:AM,F10,ШТАТ!AK:AK,3,ШТАТ!AJ:AJ,"к/с")</f>
        <v>2</v>
      </c>
      <c r="AA10" s="676">
        <f>COUNTIFS(ШТАТ!U:U,"",ШТАТ!AM:AM,F10,ШТАТ!AK:AK,4,ШТАТ!AJ:AJ,"к/с")</f>
        <v>4</v>
      </c>
      <c r="AB10" s="676">
        <f>COUNTIFS(ШТАТ!AM:AM,F10,ШТАТ!AI:AI,"1-23",ШТАТ!U:U,"")</f>
        <v>8</v>
      </c>
      <c r="AC10" s="676">
        <f>COUNTIFS(ШТАТ!AM:AM,F10,ШТАТ!AI:AI,"2-22",ШТАТ!U:U,"")</f>
        <v>0</v>
      </c>
      <c r="AD10" s="676">
        <f>COUNTIFS(ШТАТ!AM:AM,F10,ШТАТ!AI:AI,"2-23",ШТАТ!U:U,"")</f>
        <v>0</v>
      </c>
      <c r="AE10" s="677">
        <f t="shared" si="2"/>
        <v>35</v>
      </c>
      <c r="AF10" s="676">
        <f>COUNTIFS(ШТАТ!U:U,"",ШТАТ!AM:AM,F10,ШТАТ!AJ:AJ,"ГП")</f>
        <v>0</v>
      </c>
      <c r="AG10" s="676">
        <v>0</v>
      </c>
      <c r="AH10" s="676">
        <f>COUNTIFS(ШТАТ!AM:AM,F10,ШТАТ!U:U,"МП")</f>
        <v>0</v>
      </c>
      <c r="AI10" s="676">
        <f>COUNTIFS(ШТАТ!AM:AM,F10,ШТАТ!U:U,"ком-ка")</f>
        <v>317</v>
      </c>
      <c r="AJ10" s="676">
        <f>COUNTIFS(ШТАТ!AM:AM,F10,ШТАТ!U:U,"отпуск")</f>
        <v>3</v>
      </c>
      <c r="AK10" s="676"/>
      <c r="AL10" s="676">
        <f>COUNTIFS(ШТАТ!AM:AM,F10,ШТАТ!U:U,"СОЧ")</f>
        <v>1</v>
      </c>
      <c r="AM10" s="676">
        <f>COUNTIFS(ШТАТ!AM:AM,F10,ШТАТ!U:U,"госп")</f>
        <v>3</v>
      </c>
      <c r="AN10" s="676">
        <f>COUNTIFS(ШТАТ!AM:AM,F10,ШТАТ!U:U,"осв-ие")</f>
        <v>0</v>
      </c>
      <c r="AO10" s="676">
        <f>COUNTIFS(ШТАТ!AM:AM,F10,ШТАТ!U:U,"полигон")</f>
        <v>43</v>
      </c>
      <c r="AP10" s="677">
        <f t="shared" si="3"/>
        <v>367</v>
      </c>
      <c r="AQ10" s="1450"/>
      <c r="AR10" s="827"/>
    </row>
    <row r="11" spans="1:44" ht="30.75" x14ac:dyDescent="0.45">
      <c r="A11" s="1450"/>
      <c r="B11" s="1450"/>
      <c r="C11" s="1450"/>
      <c r="D11" s="1450"/>
      <c r="E11" s="1450"/>
      <c r="F11" s="675" t="s">
        <v>492</v>
      </c>
      <c r="G11" s="676">
        <v>27</v>
      </c>
      <c r="H11" s="676">
        <f>COUNTIFS(ШТАТ!AM:AM,F11,ШТАТ!AK:AK,2)</f>
        <v>12</v>
      </c>
      <c r="I11" s="676">
        <f>COUNTIFS(ШТАТ!AM:AM,F11,ШТАТ!AK:AK,3)</f>
        <v>55</v>
      </c>
      <c r="J11" s="676">
        <f>COUNTIFS(ШТАТ!AM:AM,F11,ШТАТ!AK:AK,4)</f>
        <v>328</v>
      </c>
      <c r="K11" s="677">
        <f>SUM(G11:J11)</f>
        <v>422</v>
      </c>
      <c r="L11" s="676">
        <f>COUNTIFS(ШТАТ!AM:AM,F11,ШТАТ!AK:AK,"ГП")</f>
        <v>0</v>
      </c>
      <c r="M11" s="676">
        <f>COUNTIFS(ШТАТ!AM:AM,F11,ШТАТ!AJ:AJ,"о")</f>
        <v>25</v>
      </c>
      <c r="N11" s="676">
        <f>COUNTIFS(ШТАТ!AM:AM,F11,ШТАТ!AJ:AJ,"п")</f>
        <v>8</v>
      </c>
      <c r="O11" s="676">
        <f>COUNTIFS(ШТАТ!AM:AM,F11,ШТАТ!AK:AK,3,ШТАТ!AJ:AJ,"к/с")</f>
        <v>38</v>
      </c>
      <c r="P11" s="676">
        <f>COUNTIFS(ШТАТ!AM:AM,F11,ШТАТ!AK:AK,4,ШТАТ!AJ:AJ,"к/с")</f>
        <v>171</v>
      </c>
      <c r="Q11" s="676">
        <f>COUNTIFS(ШТАТ!AM:AM,F11,ШТАТ!AI:AI,"1-23")</f>
        <v>89</v>
      </c>
      <c r="R11" s="676">
        <f>COUNTIFS(ШТАТ!AM:AM,F11,ШТАТ!AI:AI,"2-22")</f>
        <v>0</v>
      </c>
      <c r="S11" s="676">
        <f>COUNTIFS(ШТАТ!AM:AM,F11,ШТАТ!AI:AI,"2-23")</f>
        <v>35</v>
      </c>
      <c r="T11" s="676">
        <f t="shared" si="4"/>
        <v>124</v>
      </c>
      <c r="U11" s="677">
        <f>SUM(M11:S11)</f>
        <v>366</v>
      </c>
      <c r="V11" s="678">
        <f t="shared" si="1"/>
        <v>0.86729857819905209</v>
      </c>
      <c r="W11" s="676">
        <f>COUNTIFS(ШТАТ!AM:AM,F11,ШТАТ!AJ:AJ,"ГП")</f>
        <v>0</v>
      </c>
      <c r="X11" s="676">
        <f>COUNTIFS(ШТАТ!U:U,"",ШТАТ!AM:AM,F11,ШТАТ!AJ:AJ,"о")</f>
        <v>12</v>
      </c>
      <c r="Y11" s="676">
        <f>COUNTIFS(ШТАТ!U:U,"",ШТАТ!AM:AM,F11,ШТАТ!AJ:AJ,"п")</f>
        <v>2</v>
      </c>
      <c r="Z11" s="676">
        <f>COUNTIFS(ШТАТ!U:U,"",ШТАТ!AM:AM,F11,ШТАТ!AK:AK,3,ШТАТ!AJ:AJ,"к/с")</f>
        <v>10</v>
      </c>
      <c r="AA11" s="676">
        <f>COUNTIFS(ШТАТ!U:U,"",ШТАТ!AM:AM,F11,ШТАТ!AK:AK,4,ШТАТ!AJ:AJ,"к/с")</f>
        <v>35</v>
      </c>
      <c r="AB11" s="676">
        <f>COUNTIFS(ШТАТ!AM:AM,F11,ШТАТ!AI:AI,"1-23",ШТАТ!U:U,"")</f>
        <v>15</v>
      </c>
      <c r="AC11" s="676">
        <f>COUNTIFS(ШТАТ!AM:AM,F11,ШТАТ!AI:AI,"2-22",ШТАТ!U:U,"")</f>
        <v>0</v>
      </c>
      <c r="AD11" s="676">
        <f>COUNTIFS(ШТАТ!AM:AM,F11,ШТАТ!AI:AI,"2-23",ШТАТ!U:U,"")</f>
        <v>32</v>
      </c>
      <c r="AE11" s="677">
        <f t="shared" si="2"/>
        <v>106</v>
      </c>
      <c r="AF11" s="676">
        <f>COUNTIFS(ШТАТ!U:U,"",ШТАТ!AM:AM,F11,ШТАТ!AJ:AJ,"ГП")</f>
        <v>0</v>
      </c>
      <c r="AG11" s="676">
        <v>7</v>
      </c>
      <c r="AH11" s="676">
        <f>COUNTIFS(ШТАТ!AM:AM,F11,ШТАТ!U:U,"МП")</f>
        <v>1</v>
      </c>
      <c r="AI11" s="676">
        <f>COUNTIFS(ШТАТ!AM:AM,F11,ШТАТ!U:U,"ком-ка")</f>
        <v>207</v>
      </c>
      <c r="AJ11" s="676">
        <f>COUNTIFS(ШТАТ!AM:AM,F11,ШТАТ!U:U,"отпуск")</f>
        <v>5</v>
      </c>
      <c r="AK11" s="676"/>
      <c r="AL11" s="676">
        <f>COUNTIFS(ШТАТ!AM:AM,F11,ШТАТ!U:U,"СОЧ")</f>
        <v>32</v>
      </c>
      <c r="AM11" s="676">
        <f>COUNTIFS(ШТАТ!AM:AM,F11,ШТАТ!U:U,"госп")</f>
        <v>9</v>
      </c>
      <c r="AN11" s="676">
        <f>COUNTIFS(ШТАТ!AM:AM,F11,ШТАТ!U:U,"осв-ие")</f>
        <v>4</v>
      </c>
      <c r="AO11" s="676">
        <f>COUNTIFS(ШТАТ!AM:AM,F11,ШТАТ!U:U,"полигон")</f>
        <v>2</v>
      </c>
      <c r="AP11" s="677">
        <f t="shared" si="3"/>
        <v>260</v>
      </c>
      <c r="AQ11" s="1450"/>
      <c r="AR11" s="1450"/>
    </row>
    <row r="12" spans="1:44" ht="30.75" x14ac:dyDescent="0.45">
      <c r="A12" s="1450"/>
      <c r="B12" s="1450"/>
      <c r="C12" s="1450"/>
      <c r="D12" s="1450"/>
      <c r="E12" s="1450"/>
      <c r="F12" s="675" t="s">
        <v>552</v>
      </c>
      <c r="G12" s="676">
        <f>COUNTIFS(ШТАТ!AM:AM,F12,ШТАТ!AK:AK,1)</f>
        <v>11</v>
      </c>
      <c r="H12" s="676">
        <f>COUNTIFS(ШТАТ!AM:AM,F12,ШТАТ!AK:AK,2)</f>
        <v>3</v>
      </c>
      <c r="I12" s="676">
        <f>COUNTIFS(ШТАТ!AM:AM,F12,ШТАТ!AK:AK,3)</f>
        <v>24</v>
      </c>
      <c r="J12" s="676">
        <f>COUNTIFS(ШТАТ!AM:AM,F12,ШТАТ!AK:AK,4)</f>
        <v>123</v>
      </c>
      <c r="K12" s="677">
        <f t="shared" si="5"/>
        <v>161</v>
      </c>
      <c r="L12" s="676">
        <f>COUNTIFS(ШТАТ!AM:AM,F12,ШТАТ!AK:AK,"ГП")</f>
        <v>0</v>
      </c>
      <c r="M12" s="676">
        <f>COUNTIFS(ШТАТ!AM:AM,F12,ШТАТ!AJ:AJ,"о")</f>
        <v>11</v>
      </c>
      <c r="N12" s="676">
        <f>COUNTIFS(ШТАТ!AM:AM,F12,ШТАТ!AJ:AJ,"п")</f>
        <v>2</v>
      </c>
      <c r="O12" s="676">
        <f>COUNTIFS(ШТАТ!AM:AM,F12,ШТАТ!AK:AK,3,ШТАТ!AJ:AJ,"к/с")</f>
        <v>22</v>
      </c>
      <c r="P12" s="676">
        <f>COUNTIFS(ШТАТ!AM:AM,F12,ШТАТ!AK:AK,4,ШТАТ!AJ:AJ,"к/с")</f>
        <v>102</v>
      </c>
      <c r="Q12" s="676">
        <f>COUNTIFS(ШТАТ!AM:AM,F12,ШТАТ!AI:AI,"1-23")</f>
        <v>0</v>
      </c>
      <c r="R12" s="676">
        <f>COUNTIFS(ШТАТ!AM:AM,F12,ШТАТ!AI:AI,"2-22")</f>
        <v>0</v>
      </c>
      <c r="S12" s="676">
        <f>COUNTIFS(ШТАТ!AM:AM,F12,ШТАТ!AI:AI,"2-23")</f>
        <v>0</v>
      </c>
      <c r="T12" s="676">
        <f t="shared" si="4"/>
        <v>0</v>
      </c>
      <c r="U12" s="677">
        <f t="shared" si="0"/>
        <v>137</v>
      </c>
      <c r="V12" s="678">
        <f t="shared" si="1"/>
        <v>0.85093167701863359</v>
      </c>
      <c r="W12" s="676">
        <f>COUNTIFS(ШТАТ!AM:AM,F12,ШТАТ!AJ:AJ,"ГП")</f>
        <v>0</v>
      </c>
      <c r="X12" s="676">
        <f>COUNTIFS(ШТАТ!U:U,"",ШТАТ!AM:AM,F12,ШТАТ!AJ:AJ,"о")</f>
        <v>0</v>
      </c>
      <c r="Y12" s="676">
        <f>COUNTIFS(ШТАТ!U:U,"",ШТАТ!AM:AM,F12,ШТАТ!AJ:AJ,"п")</f>
        <v>1</v>
      </c>
      <c r="Z12" s="676">
        <f>COUNTIFS(ШТАТ!U:U,"",ШТАТ!AM:AM,F12,ШТАТ!AK:AK,3,ШТАТ!AJ:AJ,"к/с")</f>
        <v>1</v>
      </c>
      <c r="AA12" s="676">
        <f>COUNTIFS(ШТАТ!U:U,"",ШТАТ!AM:AM,F12,ШТАТ!AK:AK,4,ШТАТ!AJ:AJ,"к/с")</f>
        <v>2</v>
      </c>
      <c r="AB12" s="676">
        <f>COUNTIFS(ШТАТ!AM:AM,F12,ШТАТ!AI:AI,"1-23",ШТАТ!U:U,"")</f>
        <v>0</v>
      </c>
      <c r="AC12" s="676">
        <f>COUNTIFS(ШТАТ!AM:AM,F12,ШТАТ!AI:AI,"2-22",ШТАТ!U:U,"")</f>
        <v>0</v>
      </c>
      <c r="AD12" s="676">
        <f>COUNTIFS(ШТАТ!AM:AM,F12,ШТАТ!AI:AI,"2-23",ШТАТ!U:U,"")</f>
        <v>0</v>
      </c>
      <c r="AE12" s="677">
        <f t="shared" si="2"/>
        <v>4</v>
      </c>
      <c r="AF12" s="676">
        <f>COUNTIFS(ШТАТ!U:U,"",ШТАТ!AM:AM,F12,ШТАТ!AJ:AJ,"ГП")</f>
        <v>0</v>
      </c>
      <c r="AG12" s="676">
        <v>0</v>
      </c>
      <c r="AH12" s="676">
        <f>COUNTIFS(ШТАТ!AM:AM,F12,ШТАТ!U:U,"МП")</f>
        <v>0</v>
      </c>
      <c r="AI12" s="676">
        <f>COUNTIFS(ШТАТ!AM:AM,F12,ШТАТ!U:U,"ком-ка")</f>
        <v>127</v>
      </c>
      <c r="AJ12" s="676">
        <f>COUNTIFS(ШТАТ!AM:AM,F12,ШТАТ!U:U,"отпуск")</f>
        <v>1</v>
      </c>
      <c r="AK12" s="676"/>
      <c r="AL12" s="676">
        <f>COUNTIFS(ШТАТ!AM:AM,F12,ШТАТ!U:U,"СОЧ")</f>
        <v>4</v>
      </c>
      <c r="AM12" s="676">
        <f>COUNTIFS(ШТАТ!AM:AM,F12,ШТАТ!U:U,"госп")</f>
        <v>1</v>
      </c>
      <c r="AN12" s="676">
        <f>COUNTIFS(ШТАТ!AM:AM,F12,ШТАТ!U:U,"осв-ие")</f>
        <v>0</v>
      </c>
      <c r="AO12" s="676">
        <f>COUNTIFS(ШТАТ!AM:AM,F12,ШТАТ!U:U,"полигон")</f>
        <v>0</v>
      </c>
      <c r="AP12" s="677">
        <f t="shared" si="3"/>
        <v>133</v>
      </c>
      <c r="AQ12" s="1450"/>
      <c r="AR12" s="1450"/>
    </row>
    <row r="13" spans="1:44" ht="30.75" x14ac:dyDescent="0.45">
      <c r="A13" s="1450"/>
      <c r="B13" s="1450"/>
      <c r="C13" s="1450"/>
      <c r="D13" s="1450"/>
      <c r="E13" s="1450"/>
      <c r="F13" s="675" t="s">
        <v>508</v>
      </c>
      <c r="G13" s="676">
        <f>COUNTIFS(ШТАТ!AM:AM,F13,ШТАТ!AK:AK,1)</f>
        <v>20</v>
      </c>
      <c r="H13" s="676">
        <f>COUNTIFS(ШТАТ!AM:AM,F13,ШТАТ!AK:AK,2)</f>
        <v>5</v>
      </c>
      <c r="I13" s="676">
        <f>COUNTIFS(ШТАТ!AM:AM,F13,ШТАТ!AK:AK,3)</f>
        <v>29</v>
      </c>
      <c r="J13" s="676">
        <f>COUNTIFS(ШТАТ!AM:AM,F13,ШТАТ!AK:AK,4)</f>
        <v>94</v>
      </c>
      <c r="K13" s="677">
        <f t="shared" si="5"/>
        <v>148</v>
      </c>
      <c r="L13" s="676">
        <f>COUNTIFS(ШТАТ!AM:AM,F13,ШТАТ!AK:AK,"ГП")</f>
        <v>0</v>
      </c>
      <c r="M13" s="676">
        <f>COUNTIFS(ШТАТ!AM:AM,F13,ШТАТ!AJ:AJ,"о")</f>
        <v>19</v>
      </c>
      <c r="N13" s="676">
        <f>COUNTIFS(ШТАТ!AM:AM,F13,ШТАТ!AJ:AJ,"п")</f>
        <v>4</v>
      </c>
      <c r="O13" s="676">
        <f>COUNTIFS(ШТАТ!AM:AM,F13,ШТАТ!AK:AK,3,ШТАТ!AJ:AJ,"к/с")</f>
        <v>25</v>
      </c>
      <c r="P13" s="676">
        <f>COUNTIFS(ШТАТ!AM:AM,F13,ШТАТ!AK:AK,4,ШТАТ!AJ:AJ,"к/с")</f>
        <v>85</v>
      </c>
      <c r="Q13" s="676">
        <f>COUNTIFS(ШТАТ!AM:AM,F13,ШТАТ!AI:AI,"1-23")</f>
        <v>0</v>
      </c>
      <c r="R13" s="676">
        <f>COUNTIFS(ШТАТ!AM:AM,F13,ШТАТ!AI:AI,"2-22")</f>
        <v>0</v>
      </c>
      <c r="S13" s="676">
        <f>COUNTIFS(ШТАТ!AM:AM,F13,ШТАТ!AI:AI,"2-23")</f>
        <v>0</v>
      </c>
      <c r="T13" s="676">
        <f t="shared" si="4"/>
        <v>0</v>
      </c>
      <c r="U13" s="677">
        <f t="shared" si="0"/>
        <v>133</v>
      </c>
      <c r="V13" s="678">
        <f t="shared" si="1"/>
        <v>0.89864864864864868</v>
      </c>
      <c r="W13" s="676">
        <f>COUNTIFS(ШТАТ!AM:AM,F13,ШТАТ!AJ:AJ,"ГП")</f>
        <v>0</v>
      </c>
      <c r="X13" s="676">
        <f>COUNTIFS(ШТАТ!U:U,"",ШТАТ!AM:AM,F13,ШТАТ!AJ:AJ,"о")</f>
        <v>3</v>
      </c>
      <c r="Y13" s="676">
        <f>COUNTIFS(ШТАТ!U:U,"",ШТАТ!AM:AM,F13,ШТАТ!AJ:AJ,"п")</f>
        <v>2</v>
      </c>
      <c r="Z13" s="676">
        <f>COUNTIFS(ШТАТ!U:U,"",ШТАТ!AM:AM,F13,ШТАТ!AK:AK,3,ШТАТ!AJ:AJ,"к/с")</f>
        <v>1</v>
      </c>
      <c r="AA13" s="676">
        <f>COUNTIFS(ШТАТ!U:U,"",ШТАТ!AM:AM,F13,ШТАТ!AK:AK,4,ШТАТ!AJ:AJ,"к/с")</f>
        <v>1</v>
      </c>
      <c r="AB13" s="676">
        <f>COUNTIFS(ШТАТ!AM:AM,F13,ШТАТ!AI:AI,"1-23",ШТАТ!U:U,"")</f>
        <v>0</v>
      </c>
      <c r="AC13" s="676">
        <f>COUNTIFS(ШТАТ!AM:AM,F13,ШТАТ!AI:AI,"2-22",ШТАТ!U:U,"")</f>
        <v>0</v>
      </c>
      <c r="AD13" s="676">
        <f>COUNTIFS(ШТАТ!AM:AM,F13,ШТАТ!AI:AI,"2-23",ШТАТ!U:U,"")</f>
        <v>0</v>
      </c>
      <c r="AE13" s="677">
        <f t="shared" si="2"/>
        <v>7</v>
      </c>
      <c r="AF13" s="676">
        <f>COUNTIFS(ШТАТ!U:U,"",ШТАТ!AM:AM,F13,ШТАТ!AJ:AJ,"ГП")</f>
        <v>0</v>
      </c>
      <c r="AG13" s="676">
        <v>1</v>
      </c>
      <c r="AH13" s="676">
        <f>COUNTIFS(ШТАТ!AM:AM,F13,ШТАТ!U:U,"МП")</f>
        <v>0</v>
      </c>
      <c r="AI13" s="676">
        <f>COUNTIFS(ШТАТ!AM:AM,F13,ШТАТ!U:U,"ком-ка")</f>
        <v>123</v>
      </c>
      <c r="AJ13" s="676">
        <f>COUNTIFS(ШТАТ!AM:AM,F13,ШТАТ!U:U,"отпуск")</f>
        <v>0</v>
      </c>
      <c r="AK13" s="676"/>
      <c r="AL13" s="676">
        <f>COUNTIFS(ШТАТ!AM:AM,F13,ШТАТ!U:U,"СОЧ")</f>
        <v>2</v>
      </c>
      <c r="AM13" s="676">
        <f>COUNTIFS(ШТАТ!AM:AM,F13,ШТАТ!U:U,"госп")</f>
        <v>0</v>
      </c>
      <c r="AN13" s="676">
        <f>COUNTIFS(ШТАТ!AM:AM,F13,ШТАТ!U:U,"осв-ие")</f>
        <v>0</v>
      </c>
      <c r="AO13" s="676">
        <f>COUNTIFS(ШТАТ!AM:AM,F13,ШТАТ!U:U,"полигон")</f>
        <v>1</v>
      </c>
      <c r="AP13" s="677">
        <f t="shared" si="3"/>
        <v>126</v>
      </c>
      <c r="AQ13" s="1450"/>
      <c r="AR13" s="1450"/>
    </row>
    <row r="14" spans="1:44" ht="30.75" x14ac:dyDescent="0.45">
      <c r="A14" s="1450"/>
      <c r="B14" s="1450"/>
      <c r="C14" s="1450"/>
      <c r="D14" s="1450"/>
      <c r="E14" s="1450"/>
      <c r="F14" s="675" t="s">
        <v>547</v>
      </c>
      <c r="G14" s="676">
        <f>COUNTIFS(ШТАТ!AM:AM,F14,ШТАТ!AK:AK,1)</f>
        <v>4</v>
      </c>
      <c r="H14" s="676">
        <f>COUNTIFS(ШТАТ!AM:AM,F14,ШТАТ!AK:AK,2)</f>
        <v>2</v>
      </c>
      <c r="I14" s="676">
        <f>COUNTIFS(ШТАТ!AM:AM,F14,ШТАТ!AK:AK,3)</f>
        <v>9</v>
      </c>
      <c r="J14" s="676">
        <f>COUNTIFS(ШТАТ!AM:AM,F14,ШТАТ!AK:AK,4)</f>
        <v>32</v>
      </c>
      <c r="K14" s="677">
        <f t="shared" si="5"/>
        <v>47</v>
      </c>
      <c r="L14" s="676">
        <f>COUNTIFS(ШТАТ!AM:AM,F14,ШТАТ!AK:AK,"ГП")</f>
        <v>0</v>
      </c>
      <c r="M14" s="676">
        <f>COUNTIFS(ШТАТ!AM:AM,F14,ШТАТ!AJ:AJ,"о")</f>
        <v>4</v>
      </c>
      <c r="N14" s="676">
        <f>COUNTIFS(ШТАТ!AM:AM,F14,ШТАТ!AJ:AJ,"п")</f>
        <v>2</v>
      </c>
      <c r="O14" s="676">
        <f>COUNTIFS(ШТАТ!AM:AM,F14,ШТАТ!AK:AK,3,ШТАТ!AJ:AJ,"к/с")</f>
        <v>6</v>
      </c>
      <c r="P14" s="676">
        <f>COUNTIFS(ШТАТ!AM:AM,F14,ШТАТ!AK:AK,4,ШТАТ!AJ:AJ,"к/с")</f>
        <v>13</v>
      </c>
      <c r="Q14" s="676">
        <f>COUNTIFS(ШТАТ!AM:AM,F14,ШТАТ!AI:AI,"1-23")</f>
        <v>8</v>
      </c>
      <c r="R14" s="676">
        <f>COUNTIFS(ШТАТ!AM:AM,F14,ШТАТ!AI:AI,"2-22")</f>
        <v>0</v>
      </c>
      <c r="S14" s="676">
        <f>COUNTIFS(ШТАТ!AM:AM,F14,ШТАТ!AI:AI,"2-23")</f>
        <v>8</v>
      </c>
      <c r="T14" s="676">
        <f t="shared" si="4"/>
        <v>16</v>
      </c>
      <c r="U14" s="677">
        <f t="shared" si="0"/>
        <v>41</v>
      </c>
      <c r="V14" s="678">
        <f t="shared" si="1"/>
        <v>0.87234042553191493</v>
      </c>
      <c r="W14" s="676">
        <f>COUNTIFS(ШТАТ!AM:AM,F14,ШТАТ!AJ:AJ,"ГП")</f>
        <v>0</v>
      </c>
      <c r="X14" s="676">
        <f>COUNTIFS(ШТАТ!U:U,"",ШТАТ!AM:AM,F14,ШТАТ!AJ:AJ,"о")</f>
        <v>3</v>
      </c>
      <c r="Y14" s="676">
        <f>COUNTIFS(ШТАТ!U:U,"",ШТАТ!AM:AM,F14,ШТАТ!AJ:AJ,"п")</f>
        <v>1</v>
      </c>
      <c r="Z14" s="676">
        <f>COUNTIFS(ШТАТ!U:U,"",ШТАТ!AM:AM,F14,ШТАТ!AK:AK,3,ШТАТ!AJ:AJ,"к/с")</f>
        <v>2</v>
      </c>
      <c r="AA14" s="676">
        <f>COUNTIFS(ШТАТ!U:U,"",ШТАТ!AM:AM,F14,ШТАТ!AK:AK,4,ШТАТ!AJ:AJ,"к/с")</f>
        <v>1</v>
      </c>
      <c r="AB14" s="676">
        <f>COUNTIFS(ШТАТ!AM:AM,F14,ШТАТ!AI:AI,"1-23",ШТАТ!U:U,"")</f>
        <v>5</v>
      </c>
      <c r="AC14" s="676">
        <f>COUNTIFS(ШТАТ!AM:AM,F14,ШТАТ!AI:AI,"2-22",ШТАТ!U:U,"")</f>
        <v>0</v>
      </c>
      <c r="AD14" s="676">
        <f>COUNTIFS(ШТАТ!AM:AM,F14,ШТАТ!AI:AI,"2-23",ШТАТ!U:U,"")</f>
        <v>7</v>
      </c>
      <c r="AE14" s="677">
        <f t="shared" si="2"/>
        <v>19</v>
      </c>
      <c r="AF14" s="676">
        <f>COUNTIFS(ШТАТ!U:U,"",ШТАТ!AM:AM,F14,ШТАТ!AJ:AJ,"ГП")</f>
        <v>0</v>
      </c>
      <c r="AG14" s="676">
        <v>2</v>
      </c>
      <c r="AH14" s="676">
        <f>COUNTIFS(ШТАТ!AM:AM,F14,ШТАТ!U:U,"МП")</f>
        <v>0</v>
      </c>
      <c r="AI14" s="676">
        <f>COUNTIFS(ШТАТ!AM:AM,F14,ШТАТ!U:U,"ком-ка")</f>
        <v>15</v>
      </c>
      <c r="AJ14" s="676">
        <f>COUNTIFS(ШТАТ!AM:AM,F14,ШТАТ!U:U,"отпуск")</f>
        <v>2</v>
      </c>
      <c r="AK14" s="676"/>
      <c r="AL14" s="676">
        <f>COUNTIFS(ШТАТ!AM:AM,F14,ШТАТ!U:U,"СОЧ")</f>
        <v>3</v>
      </c>
      <c r="AM14" s="676">
        <f>COUNTIFS(ШТАТ!AM:AM,F14,ШТАТ!U:U,"госп")</f>
        <v>2</v>
      </c>
      <c r="AN14" s="676">
        <f>COUNTIFS(ШТАТ!AM:AM,F14,ШТАТ!U:U,"осв-ие")</f>
        <v>0</v>
      </c>
      <c r="AO14" s="676">
        <f>COUNTIFS(ШТАТ!AM:AM,F14,ШТАТ!U:U,"полигон")</f>
        <v>0</v>
      </c>
      <c r="AP14" s="677">
        <f t="shared" si="3"/>
        <v>22</v>
      </c>
      <c r="AQ14" s="1450"/>
      <c r="AR14" s="1450"/>
    </row>
    <row r="15" spans="1:44" ht="30.75" x14ac:dyDescent="0.45">
      <c r="A15" s="1450"/>
      <c r="B15" s="1450"/>
      <c r="C15" s="1450"/>
      <c r="D15" s="1450"/>
      <c r="E15" s="1450"/>
      <c r="F15" s="679" t="s">
        <v>646</v>
      </c>
      <c r="G15" s="676">
        <f>COUNTIFS(ШТАТ!AM:AM,F15,ШТАТ!AK:AK,1)</f>
        <v>4</v>
      </c>
      <c r="H15" s="676">
        <f>COUNTIFS(ШТАТ!AM:AM,F15,ШТАТ!AK:AK,2)</f>
        <v>1</v>
      </c>
      <c r="I15" s="676">
        <f>COUNTIFS(ШТАТ!AM:AM,F15,ШТАТ!AK:AK,3)</f>
        <v>10</v>
      </c>
      <c r="J15" s="676">
        <f>COUNTIFS(ШТАТ!AM:AM,F15,ШТАТ!AK:AK,4)</f>
        <v>30</v>
      </c>
      <c r="K15" s="677">
        <f t="shared" si="5"/>
        <v>45</v>
      </c>
      <c r="L15" s="676">
        <f>COUNTIFS(ШТАТ!AM:AM,F15,ШТАТ!AK:AK,"ГП")</f>
        <v>0</v>
      </c>
      <c r="M15" s="676">
        <f>COUNTIFS(ШТАТ!AM:AM,F15,ШТАТ!AJ:AJ,"о")</f>
        <v>4</v>
      </c>
      <c r="N15" s="676">
        <f>COUNTIFS(ШТАТ!AM:AM,F15,ШТАТ!AJ:AJ,"п")</f>
        <v>1</v>
      </c>
      <c r="O15" s="676">
        <f>COUNTIFS(ШТАТ!AM:AM,F15,ШТАТ!AK:AK,3,ШТАТ!AJ:AJ,"к/с")</f>
        <v>9</v>
      </c>
      <c r="P15" s="676">
        <f>COUNTIFS(ШТАТ!AM:AM,F15,ШТАТ!AK:AK,4,ШТАТ!AJ:AJ,"к/с")</f>
        <v>30</v>
      </c>
      <c r="Q15" s="676">
        <f>COUNTIFS(ШТАТ!AM:AM,F15,ШТАТ!AI:AI,"1-23")</f>
        <v>0</v>
      </c>
      <c r="R15" s="676">
        <f>COUNTIFS(ШТАТ!AM:AM,F15,ШТАТ!AI:AI,"2-22")</f>
        <v>0</v>
      </c>
      <c r="S15" s="676">
        <f>COUNTIFS(ШТАТ!AM:AM,F15,ШТАТ!AI:AI,"2-23")</f>
        <v>0</v>
      </c>
      <c r="T15" s="676">
        <f t="shared" si="4"/>
        <v>0</v>
      </c>
      <c r="U15" s="677">
        <f t="shared" si="0"/>
        <v>44</v>
      </c>
      <c r="V15" s="678">
        <f t="shared" si="1"/>
        <v>0.97777777777777775</v>
      </c>
      <c r="W15" s="676">
        <f>COUNTIFS(ШТАТ!AM:AM,F15,ШТАТ!AJ:AJ,"ГП")</f>
        <v>0</v>
      </c>
      <c r="X15" s="676">
        <f>COUNTIFS(ШТАТ!U:U,"",ШТАТ!AM:AM,F15,ШТАТ!AJ:AJ,"о")</f>
        <v>0</v>
      </c>
      <c r="Y15" s="676">
        <f>COUNTIFS(ШТАТ!U:U,"",ШТАТ!AM:AM,F15,ШТАТ!AJ:AJ,"п")</f>
        <v>0</v>
      </c>
      <c r="Z15" s="676">
        <f>COUNTIFS(ШТАТ!U:U,"",ШТАТ!AM:AM,F15,ШТАТ!AK:AK,3,ШТАТ!AJ:AJ,"к/с")</f>
        <v>0</v>
      </c>
      <c r="AA15" s="676">
        <f>COUNTIFS(ШТАТ!U:U,"",ШТАТ!AM:AM,F15,ШТАТ!AK:AK,4,ШТАТ!AJ:AJ,"к/с")</f>
        <v>1</v>
      </c>
      <c r="AB15" s="676">
        <f>COUNTIFS(ШТАТ!AM:AM,F15,ШТАТ!AI:AI,"1-23",ШТАТ!U:U,"")</f>
        <v>0</v>
      </c>
      <c r="AC15" s="676">
        <f>COUNTIFS(ШТАТ!AM:AM,F15,ШТАТ!AI:AI,"2-22",ШТАТ!U:U,"")</f>
        <v>0</v>
      </c>
      <c r="AD15" s="676">
        <f>COUNTIFS(ШТАТ!AM:AM,F15,ШТАТ!AI:AI,"2-23",ШТАТ!U:U,"")</f>
        <v>0</v>
      </c>
      <c r="AE15" s="677">
        <f t="shared" si="2"/>
        <v>1</v>
      </c>
      <c r="AF15" s="676">
        <f>COUNTIFS(ШТАТ!U:U,"",ШТАТ!AM:AM,F15,ШТАТ!AJ:AJ,"ГП")</f>
        <v>0</v>
      </c>
      <c r="AG15" s="676">
        <v>0</v>
      </c>
      <c r="AH15" s="676">
        <f>COUNTIFS(ШТАТ!AM:AM,F15,ШТАТ!U:U,"МП")</f>
        <v>0</v>
      </c>
      <c r="AI15" s="676">
        <f>COUNTIFS(ШТАТ!AM:AM,F15,ШТАТ!U:U,"ком-ка")</f>
        <v>43</v>
      </c>
      <c r="AJ15" s="676">
        <f>COUNTIFS(ШТАТ!AM:AM,F15,ШТАТ!U:U,"отпуск")</f>
        <v>0</v>
      </c>
      <c r="AK15" s="676"/>
      <c r="AL15" s="676">
        <f>COUNTIFS(ШТАТ!AM:AM,F15,ШТАТ!U:U,"СОЧ")</f>
        <v>0</v>
      </c>
      <c r="AM15" s="676">
        <f>COUNTIFS(ШТАТ!AM:AM,F15,ШТАТ!U:U,"госп")</f>
        <v>0</v>
      </c>
      <c r="AN15" s="676">
        <f>COUNTIFS(ШТАТ!AM:AM,F15,ШТАТ!U:U,"осв-ие")</f>
        <v>0</v>
      </c>
      <c r="AO15" s="676">
        <f>COUNTIFS(ШТАТ!AM:AM,F15,ШТАТ!U:U,"полигон")</f>
        <v>0</v>
      </c>
      <c r="AP15" s="677">
        <f t="shared" si="3"/>
        <v>43</v>
      </c>
      <c r="AQ15" s="1450"/>
      <c r="AR15" s="1450"/>
    </row>
    <row r="16" spans="1:44" ht="30.75" x14ac:dyDescent="0.45">
      <c r="A16" s="1450"/>
      <c r="B16" s="1450"/>
      <c r="C16" s="1450"/>
      <c r="D16" s="1450"/>
      <c r="E16" s="1450"/>
      <c r="F16" s="675" t="s">
        <v>662</v>
      </c>
      <c r="G16" s="676">
        <f>COUNTIFS(ШТАТ!AM:AM,F16,ШТАТ!AK:AK,1)</f>
        <v>3</v>
      </c>
      <c r="H16" s="676">
        <f>COUNTIFS(ШТАТ!AM:AM,F16,ШТАТ!AK:AK,2)</f>
        <v>1</v>
      </c>
      <c r="I16" s="676">
        <f>COUNTIFS(ШТАТ!AM:AM,F16,ШТАТ!AK:AK,3)</f>
        <v>10</v>
      </c>
      <c r="J16" s="676">
        <f>COUNTIFS(ШТАТ!AM:AM,F16,ШТАТ!AK:AK,4)</f>
        <v>53</v>
      </c>
      <c r="K16" s="677">
        <f t="shared" si="5"/>
        <v>67</v>
      </c>
      <c r="L16" s="676">
        <f>COUNTIFS(ШТАТ!AM:AM,F16,ШТАТ!AK:AK,"ГП")</f>
        <v>0</v>
      </c>
      <c r="M16" s="676">
        <f>COUNTIFS(ШТАТ!AM:AM,F16,ШТАТ!AJ:AJ,"о")</f>
        <v>2</v>
      </c>
      <c r="N16" s="676">
        <f>COUNTIFS(ШТАТ!AM:AM,F16,ШТАТ!AJ:AJ,"п")</f>
        <v>1</v>
      </c>
      <c r="O16" s="676">
        <f>COUNTIFS(ШТАТ!AM:AM,F16,ШТАТ!AK:AK,3,ШТАТ!AJ:AJ,"к/с")</f>
        <v>3</v>
      </c>
      <c r="P16" s="676">
        <f>COUNTIFS(ШТАТ!AM:AM,F16,ШТАТ!AK:AK,4,ШТАТ!AJ:AJ,"к/с")</f>
        <v>8</v>
      </c>
      <c r="Q16" s="676">
        <f>COUNTIFS(ШТАТ!AM:AM,F16,ШТАТ!AI:AI,"1-23")</f>
        <v>19</v>
      </c>
      <c r="R16" s="676">
        <f>COUNTIFS(ШТАТ!AM:AM,F16,ШТАТ!AI:AI,"2-22")</f>
        <v>0</v>
      </c>
      <c r="S16" s="676">
        <f>COUNTIFS(ШТАТ!AM:AM,F16,ШТАТ!AI:AI,"2-23")</f>
        <v>26</v>
      </c>
      <c r="T16" s="676">
        <f t="shared" si="4"/>
        <v>45</v>
      </c>
      <c r="U16" s="677">
        <f t="shared" si="0"/>
        <v>59</v>
      </c>
      <c r="V16" s="678">
        <f t="shared" si="1"/>
        <v>0.88059701492537312</v>
      </c>
      <c r="W16" s="676">
        <f>COUNTIFS(ШТАТ!AM:AM,F16,ШТАТ!AJ:AJ,"ГП")</f>
        <v>0</v>
      </c>
      <c r="X16" s="676">
        <f>COUNTIFS(ШТАТ!U:U,"",ШТАТ!AM:AM,F16,ШТАТ!AJ:AJ,"о")</f>
        <v>0</v>
      </c>
      <c r="Y16" s="676">
        <f>COUNTIFS(ШТАТ!U:U,"",ШТАТ!AM:AM,F16,ШТАТ!AJ:AJ,"п")</f>
        <v>0</v>
      </c>
      <c r="Z16" s="676">
        <f>COUNTIFS(ШТАТ!U:U,"",ШТАТ!AM:AM,F16,ШТАТ!AK:AK,3,ШТАТ!AJ:AJ,"к/с")</f>
        <v>1</v>
      </c>
      <c r="AA16" s="676">
        <f>COUNTIFS(ШТАТ!U:U,"",ШТАТ!AM:AM,F16,ШТАТ!AK:AK,4,ШТАТ!AJ:AJ,"к/с")</f>
        <v>2</v>
      </c>
      <c r="AB16" s="676">
        <f>COUNTIFS(ШТАТ!AM:AM,F16,ШТАТ!AI:AI,"1-23",ШТАТ!U:U,"")</f>
        <v>10</v>
      </c>
      <c r="AC16" s="676">
        <f>COUNTIFS(ШТАТ!AM:AM,F16,ШТАТ!AI:AI,"2-22",ШТАТ!U:U,"")</f>
        <v>0</v>
      </c>
      <c r="AD16" s="676">
        <f>COUNTIFS(ШТАТ!AM:AM,F16,ШТАТ!AI:AI,"2-23",ШТАТ!U:U,"")</f>
        <v>23</v>
      </c>
      <c r="AE16" s="677">
        <f t="shared" si="2"/>
        <v>36</v>
      </c>
      <c r="AF16" s="676">
        <f>COUNTIFS(ШТАТ!U:U,"",ШТАТ!AM:AM,F16,ШТАТ!AJ:AJ,"ГП")</f>
        <v>0</v>
      </c>
      <c r="AG16" s="676">
        <v>3</v>
      </c>
      <c r="AH16" s="676">
        <f>COUNTIFS(ШТАТ!AM:AM,F16,ШТАТ!U:U,"МП")</f>
        <v>1</v>
      </c>
      <c r="AI16" s="676">
        <f>COUNTIFS(ШТАТ!AM:AM,F16,ШТАТ!U:U,"ком-ка")</f>
        <v>20</v>
      </c>
      <c r="AJ16" s="676">
        <f>COUNTIFS(ШТАТ!AM:AM,F16,ШТАТ!U:U,"отпуск")</f>
        <v>0</v>
      </c>
      <c r="AK16" s="676"/>
      <c r="AL16" s="676">
        <f>COUNTIFS(ШТАТ!AM:AM,F16,ШТАТ!U:U,"СОЧ")</f>
        <v>1</v>
      </c>
      <c r="AM16" s="676">
        <f>COUNTIFS(ШТАТ!AM:AM,F16,ШТАТ!U:U,"госп")</f>
        <v>1</v>
      </c>
      <c r="AN16" s="676">
        <f>COUNTIFS(ШТАТ!AM:AM,F16,ШТАТ!U:U,"осв-ие")</f>
        <v>0</v>
      </c>
      <c r="AO16" s="676">
        <f>COUNTIFS(ШТАТ!AM:AM,F16,ШТАТ!U:U,"полигон")</f>
        <v>0</v>
      </c>
      <c r="AP16" s="677">
        <f t="shared" si="3"/>
        <v>23</v>
      </c>
      <c r="AQ16" s="1450"/>
      <c r="AR16" s="1450"/>
    </row>
    <row r="17" spans="1:44" ht="30.75" x14ac:dyDescent="0.45">
      <c r="A17" s="1450"/>
      <c r="B17" s="1450"/>
      <c r="C17" s="1450"/>
      <c r="D17" s="1450"/>
      <c r="E17" s="1450"/>
      <c r="F17" s="675" t="s">
        <v>707</v>
      </c>
      <c r="G17" s="676">
        <f>COUNTIFS(ШТАТ!AM:AM,F17,ШТАТ!AK:AK,1)</f>
        <v>1</v>
      </c>
      <c r="H17" s="676">
        <f>COUNTIFS(ШТАТ!AM:AM,F17,ШТАТ!AK:AK,2)</f>
        <v>0</v>
      </c>
      <c r="I17" s="676">
        <f>COUNTIFS(ШТАТ!AM:AM,F17,ШТАТ!AK:AK,3)</f>
        <v>3</v>
      </c>
      <c r="J17" s="676">
        <f>COUNTIFS(ШТАТ!AM:AM,F17,ШТАТ!AK:AK,4)</f>
        <v>8</v>
      </c>
      <c r="K17" s="677">
        <f t="shared" si="5"/>
        <v>12</v>
      </c>
      <c r="L17" s="676">
        <f>COUNTIFS(ШТАТ!AM:AM,F17,ШТАТ!AK:AK,"ГП")</f>
        <v>0</v>
      </c>
      <c r="M17" s="676">
        <f>COUNTIFS(ШТАТ!AM:AM,F17,ШТАТ!AJ:AJ,"о")</f>
        <v>0</v>
      </c>
      <c r="N17" s="676">
        <f>COUNTIFS(ШТАТ!AM:AM,F17,ШТАТ!AJ:AJ,"п")</f>
        <v>0</v>
      </c>
      <c r="O17" s="676">
        <f>COUNTIFS(ШТАТ!AM:AM,F17,ШТАТ!AK:AK,3,ШТАТ!AJ:AJ,"к/с")</f>
        <v>1</v>
      </c>
      <c r="P17" s="676">
        <f>COUNTIFS(ШТАТ!AM:AM,F17,ШТАТ!AK:AK,4,ШТАТ!AJ:AJ,"к/с")</f>
        <v>1</v>
      </c>
      <c r="Q17" s="676">
        <f>COUNTIFS(ШТАТ!AM:AM,F17,ШТАТ!AI:AI,"1-23")</f>
        <v>7</v>
      </c>
      <c r="R17" s="676">
        <f>COUNTIFS(ШТАТ!AM:AM,F17,ШТАТ!AI:AI,"2-22")</f>
        <v>0</v>
      </c>
      <c r="S17" s="676">
        <f>COUNTIFS(ШТАТ!AM:AM,F17,ШТАТ!AI:AI,"2-23")</f>
        <v>0</v>
      </c>
      <c r="T17" s="676">
        <f t="shared" si="4"/>
        <v>7</v>
      </c>
      <c r="U17" s="677">
        <f>SUM(M17:S17)</f>
        <v>9</v>
      </c>
      <c r="V17" s="678">
        <f t="shared" si="1"/>
        <v>0.75</v>
      </c>
      <c r="W17" s="676">
        <f>COUNTIFS(ШТАТ!AM:AM,F17,ШТАТ!AJ:AJ,"ГП")</f>
        <v>0</v>
      </c>
      <c r="X17" s="676">
        <f>COUNTIFS(ШТАТ!U:U,"",ШТАТ!AM:AM,F17,ШТАТ!AJ:AJ,"о")</f>
        <v>0</v>
      </c>
      <c r="Y17" s="676">
        <f>COUNTIFS(ШТАТ!U:U,"",ШТАТ!AM:AM,F17,ШТАТ!AJ:AJ,"п")</f>
        <v>0</v>
      </c>
      <c r="Z17" s="676">
        <f>COUNTIFS(ШТАТ!U:U,"",ШТАТ!AM:AM,F17,ШТАТ!AK:AK,3,ШТАТ!AJ:AJ,"к/с")</f>
        <v>0</v>
      </c>
      <c r="AA17" s="676">
        <f>COUNTIFS(ШТАТ!U:U,"",ШТАТ!AM:AM,F17,ШТАТ!AK:AK,4,ШТАТ!AJ:AJ,"к/с")</f>
        <v>1</v>
      </c>
      <c r="AB17" s="676">
        <f>COUNTIFS(ШТАТ!AM:AM,F17,ШТАТ!AI:AI,"1-23",ШТАТ!U:U,"")</f>
        <v>2</v>
      </c>
      <c r="AC17" s="676">
        <f>COUNTIFS(ШТАТ!AM:AM,F17,ШТАТ!AI:AI,"2-22",ШТАТ!U:U,"")</f>
        <v>0</v>
      </c>
      <c r="AD17" s="676">
        <f>COUNTIFS(ШТАТ!AM:AM,F17,ШТАТ!AI:AI,"2-23",ШТАТ!U:U,"")</f>
        <v>0</v>
      </c>
      <c r="AE17" s="677">
        <f t="shared" si="2"/>
        <v>3</v>
      </c>
      <c r="AF17" s="676">
        <f>COUNTIFS(ШТАТ!U:U,"",ШТАТ!AM:AM,F17,ШТАТ!AJ:AJ,"ГП")</f>
        <v>0</v>
      </c>
      <c r="AG17" s="676">
        <v>0</v>
      </c>
      <c r="AH17" s="676">
        <f>COUNTIFS(ШТАТ!AM:AM,F17,ШТАТ!U:U,"МП")</f>
        <v>0</v>
      </c>
      <c r="AI17" s="676">
        <f>COUNTIFS(ШТАТ!AM:AM,F17,ШТАТ!U:U,"ком-ка")</f>
        <v>6</v>
      </c>
      <c r="AJ17" s="676">
        <f>COUNTIFS(ШТАТ!AM:AM,F17,ШТАТ!U:U,"отпуск")</f>
        <v>0</v>
      </c>
      <c r="AK17" s="676"/>
      <c r="AL17" s="676">
        <f>COUNTIFS(ШТАТ!AM:AM,F17,ШТАТ!U:U,"СОЧ")</f>
        <v>0</v>
      </c>
      <c r="AM17" s="676">
        <f>COUNTIFS(ШТАТ!AM:AM,F17,ШТАТ!U:U,"госп")</f>
        <v>0</v>
      </c>
      <c r="AN17" s="676">
        <f>COUNTIFS(ШТАТ!AM:AM,F17,ШТАТ!U:U,"осв-ие")</f>
        <v>0</v>
      </c>
      <c r="AO17" s="676">
        <f>COUNTIFS(ШТАТ!AM:AM,F17,ШТАТ!U:U,"полигон")</f>
        <v>0</v>
      </c>
      <c r="AP17" s="677">
        <f t="shared" si="3"/>
        <v>6</v>
      </c>
      <c r="AQ17" s="1450"/>
      <c r="AR17" s="1450"/>
    </row>
    <row r="18" spans="1:44" ht="30.75" x14ac:dyDescent="0.45">
      <c r="A18" s="1450"/>
      <c r="B18" s="1450"/>
      <c r="C18" s="1450"/>
      <c r="D18" s="1450"/>
      <c r="E18" s="1450"/>
      <c r="F18" s="675" t="s">
        <v>723</v>
      </c>
      <c r="G18" s="676">
        <f>COUNTIFS(ШТАТ!AM:AM,F18,ШТАТ!AK:AK,1)</f>
        <v>4</v>
      </c>
      <c r="H18" s="676">
        <f>COUNTIFS(ШТАТ!AM:AM,F18,ШТАТ!AK:AK,2)</f>
        <v>7</v>
      </c>
      <c r="I18" s="676">
        <f>COUNTIFS(ШТАТ!AM:AM,F18,ШТАТ!AK:AK,3)</f>
        <v>7</v>
      </c>
      <c r="J18" s="676">
        <f>COUNTIFS(ШТАТ!AM:AM,F18,ШТАТ!AK:AK,4)</f>
        <v>66</v>
      </c>
      <c r="K18" s="677">
        <f t="shared" si="5"/>
        <v>84</v>
      </c>
      <c r="L18" s="676">
        <f>COUNTIFS(ШТАТ!AM:AM,F18,ШТАТ!AK:AK,"ГП")</f>
        <v>0</v>
      </c>
      <c r="M18" s="676">
        <f>COUNTIFS(ШТАТ!AM:AM,F18,ШТАТ!AJ:AJ,"о")</f>
        <v>4</v>
      </c>
      <c r="N18" s="676">
        <f>COUNTIFS(ШТАТ!AM:AM,F18,ШТАТ!AJ:AJ,"п")</f>
        <v>5</v>
      </c>
      <c r="O18" s="676">
        <f>COUNTIFS(ШТАТ!AM:AM,F18,ШТАТ!AK:AK,3,ШТАТ!AJ:AJ,"к/с")</f>
        <v>3</v>
      </c>
      <c r="P18" s="676">
        <f>COUNTIFS(ШТАТ!AM:AM,F18,ШТАТ!AK:AK,4,ШТАТ!AJ:AJ,"к/с")</f>
        <v>6</v>
      </c>
      <c r="Q18" s="676">
        <f>COUNTIFS(ШТАТ!AM:AM,F18,ШТАТ!AI:AI,"1-23")</f>
        <v>16</v>
      </c>
      <c r="R18" s="676">
        <f>COUNTIFS(ШТАТ!AM:AM,F18,ШТАТ!AI:AI,"2-22")</f>
        <v>0</v>
      </c>
      <c r="S18" s="676">
        <f>COUNTIFS(ШТАТ!AM:AM,F18,ШТАТ!AI:AI,"2-23")</f>
        <v>40</v>
      </c>
      <c r="T18" s="676">
        <f t="shared" si="4"/>
        <v>56</v>
      </c>
      <c r="U18" s="677">
        <f t="shared" si="0"/>
        <v>74</v>
      </c>
      <c r="V18" s="678">
        <f t="shared" si="1"/>
        <v>0.88095238095238093</v>
      </c>
      <c r="W18" s="676">
        <f>COUNTIFS(ШТАТ!AM:AM,F18,ШТАТ!AJ:AJ,"ГП")</f>
        <v>0</v>
      </c>
      <c r="X18" s="676">
        <f>COUNTIFS(ШТАТ!U:U,"",ШТАТ!AM:AM,F18,ШТАТ!AJ:AJ,"о")</f>
        <v>3</v>
      </c>
      <c r="Y18" s="676">
        <f>COUNTIFS(ШТАТ!U:U,"",ШТАТ!AM:AM,F18,ШТАТ!AJ:AJ,"п")</f>
        <v>1</v>
      </c>
      <c r="Z18" s="676">
        <f>COUNTIFS(ШТАТ!U:U,"",ШТАТ!AM:AM,F18,ШТАТ!AK:AK,3,ШТАТ!AJ:AJ,"к/с")</f>
        <v>0</v>
      </c>
      <c r="AA18" s="676">
        <f>COUNTIFS(ШТАТ!U:U,"",ШТАТ!AM:AM,F18,ШТАТ!AK:AK,4,ШТАТ!AJ:AJ,"к/с")</f>
        <v>1</v>
      </c>
      <c r="AB18" s="676">
        <f>COUNTIFS(ШТАТ!AM:AM,F18,ШТАТ!AI:AI,"1-23",ШТАТ!U:U,"")</f>
        <v>16</v>
      </c>
      <c r="AC18" s="676">
        <f>COUNTIFS(ШТАТ!AM:AM,F18,ШТАТ!AI:AI,"2-22",ШТАТ!U:U,"")</f>
        <v>0</v>
      </c>
      <c r="AD18" s="676">
        <f>COUNTIFS(ШТАТ!AM:AM,F18,ШТАТ!AI:AI,"2-23",ШТАТ!U:U,"")</f>
        <v>34</v>
      </c>
      <c r="AE18" s="677">
        <f t="shared" si="2"/>
        <v>55</v>
      </c>
      <c r="AF18" s="676">
        <f>COUNTIFS(ШТАТ!U:U,"",ШТАТ!AM:AM,F18,ШТАТ!AJ:AJ,"ГП")</f>
        <v>0</v>
      </c>
      <c r="AG18" s="676">
        <v>6</v>
      </c>
      <c r="AH18" s="676">
        <f>COUNTIFS(ШТАТ!AM:AM,F18,ШТАТ!U:U,"МП")</f>
        <v>2</v>
      </c>
      <c r="AI18" s="676">
        <f>COUNTIFS(ШТАТ!AM:AM,F18,ШТАТ!U:U,"ком-ка")</f>
        <v>14</v>
      </c>
      <c r="AJ18" s="676">
        <f>COUNTIFS(ШТАТ!AM:AM,F18,ШТАТ!U:U,"отпуск")</f>
        <v>1</v>
      </c>
      <c r="AK18" s="676"/>
      <c r="AL18" s="676">
        <f>COUNTIFS(ШТАТ!AM:AM,F18,ШТАТ!U:U,"СОЧ")</f>
        <v>0</v>
      </c>
      <c r="AM18" s="676">
        <f>COUNTIFS(ШТАТ!AM:AM,F18,ШТАТ!U:U,"госп")</f>
        <v>2</v>
      </c>
      <c r="AN18" s="676">
        <f>COUNTIFS(ШТАТ!AM:AM,F18,ШТАТ!U:U,"осв-ие")</f>
        <v>0</v>
      </c>
      <c r="AO18" s="676">
        <f>COUNTIFS(ШТАТ!AM:AM,F18,ШТАТ!U:U,"полигон")</f>
        <v>0</v>
      </c>
      <c r="AP18" s="677">
        <f t="shared" si="3"/>
        <v>19</v>
      </c>
      <c r="AQ18" s="1450"/>
      <c r="AR18" s="1450"/>
    </row>
    <row r="19" spans="1:44" ht="30.75" x14ac:dyDescent="0.45">
      <c r="A19" s="1450"/>
      <c r="B19" s="1450"/>
      <c r="C19" s="1450"/>
      <c r="D19" s="1450"/>
      <c r="E19" s="1450"/>
      <c r="F19" s="675" t="s">
        <v>784</v>
      </c>
      <c r="G19" s="676">
        <f>COUNTIFS(ШТАТ!AM:AM,F19,ШТАТ!AK:AK,1)</f>
        <v>1</v>
      </c>
      <c r="H19" s="676">
        <f>COUNTIFS(ШТАТ!AM:AM,F19,ШТАТ!AK:AK,2)</f>
        <v>0</v>
      </c>
      <c r="I19" s="676">
        <f>COUNTIFS(ШТАТ!AM:AM,F19,ШТАТ!AK:AK,3)</f>
        <v>2</v>
      </c>
      <c r="J19" s="676">
        <f>COUNTIFS(ШТАТ!AM:AM,F19,ШТАТ!AK:AK,4)</f>
        <v>5</v>
      </c>
      <c r="K19" s="677">
        <f t="shared" si="5"/>
        <v>8</v>
      </c>
      <c r="L19" s="676">
        <f>COUNTIFS(ШТАТ!AM:AM,F19,ШТАТ!AK:AK,"ГП")</f>
        <v>0</v>
      </c>
      <c r="M19" s="676">
        <f>COUNTIFS(ШТАТ!AM:AM,F19,ШТАТ!AJ:AJ,"о")</f>
        <v>1</v>
      </c>
      <c r="N19" s="676">
        <f>COUNTIFS(ШТАТ!AM:AM,F19,ШТАТ!AJ:AJ,"п")</f>
        <v>0</v>
      </c>
      <c r="O19" s="676">
        <f>COUNTIFS(ШТАТ!AM:AM,F19,ШТАТ!AK:AK,3,ШТАТ!AJ:AJ,"к/с")</f>
        <v>1</v>
      </c>
      <c r="P19" s="676">
        <f>COUNTIFS(ШТАТ!AM:AM,F19,ШТАТ!AK:AK,4,ШТАТ!AJ:AJ,"к/с")</f>
        <v>0</v>
      </c>
      <c r="Q19" s="676">
        <f>COUNTIFS(ШТАТ!AM:AM,F19,ШТАТ!AI:AI,"1-23")</f>
        <v>1</v>
      </c>
      <c r="R19" s="676">
        <f>COUNTIFS(ШТАТ!AM:AM,F19,ШТАТ!AI:AI,"2-22")</f>
        <v>0</v>
      </c>
      <c r="S19" s="676">
        <f>COUNTIFS(ШТАТ!AM:AM,F19,ШТАТ!AI:AI,"2-23")</f>
        <v>1</v>
      </c>
      <c r="T19" s="676">
        <f t="shared" si="4"/>
        <v>2</v>
      </c>
      <c r="U19" s="677">
        <f t="shared" si="0"/>
        <v>4</v>
      </c>
      <c r="V19" s="678">
        <f t="shared" si="1"/>
        <v>0.5</v>
      </c>
      <c r="W19" s="676">
        <f>COUNTIFS(ШТАТ!AM:AM,F19,ШТАТ!AJ:AJ,"ГП")</f>
        <v>0</v>
      </c>
      <c r="X19" s="676">
        <f>COUNTIFS(ШТАТ!U:U,"",ШТАТ!AM:AM,F19,ШТАТ!AJ:AJ,"о")</f>
        <v>1</v>
      </c>
      <c r="Y19" s="676">
        <f>COUNTIFS(ШТАТ!U:U,"",ШТАТ!AM:AM,F19,ШТАТ!AJ:AJ,"п")</f>
        <v>0</v>
      </c>
      <c r="Z19" s="676">
        <f>COUNTIFS(ШТАТ!U:U,"",ШТАТ!AM:AM,F19,ШТАТ!AK:AK,3,ШТАТ!AJ:AJ,"к/с")</f>
        <v>0</v>
      </c>
      <c r="AA19" s="676">
        <f>COUNTIFS(ШТАТ!U:U,"",ШТАТ!AM:AM,F19,ШТАТ!AK:AK,4,ШТАТ!AJ:AJ,"к/с")</f>
        <v>0</v>
      </c>
      <c r="AB19" s="676">
        <f>COUNTIFS(ШТАТ!AM:AM,F19,ШТАТ!AI:AI,"1-23",ШТАТ!U:U,"")</f>
        <v>1</v>
      </c>
      <c r="AC19" s="676">
        <f>COUNTIFS(ШТАТ!AM:AM,F19,ШТАТ!AI:AI,"2-22",ШТАТ!U:U,"")</f>
        <v>0</v>
      </c>
      <c r="AD19" s="676">
        <f>COUNTIFS(ШТАТ!AM:AM,F19,ШТАТ!AI:AI,"2-23",ШТАТ!U:U,"")</f>
        <v>1</v>
      </c>
      <c r="AE19" s="677">
        <f t="shared" si="2"/>
        <v>3</v>
      </c>
      <c r="AF19" s="676">
        <f>COUNTIFS(ШТАТ!U:U,"",ШТАТ!AM:AM,F19,ШТАТ!AJ:AJ,"ГП")</f>
        <v>0</v>
      </c>
      <c r="AG19" s="676">
        <v>0</v>
      </c>
      <c r="AH19" s="676">
        <f>COUNTIFS(ШТАТ!AM:AM,F19,ШТАТ!U:U,"МП")</f>
        <v>0</v>
      </c>
      <c r="AI19" s="676">
        <f>COUNTIFS(ШТАТ!AM:AM,F19,ШТАТ!U:U,"ком-ка")</f>
        <v>1</v>
      </c>
      <c r="AJ19" s="676">
        <f>COUNTIFS(ШТАТ!AM:AM,F19,ШТАТ!U:U,"отпуск")</f>
        <v>0</v>
      </c>
      <c r="AK19" s="676"/>
      <c r="AL19" s="676">
        <f>COUNTIFS(ШТАТ!AM:AM,F19,ШТАТ!U:U,"СОЧ")</f>
        <v>0</v>
      </c>
      <c r="AM19" s="676">
        <f>COUNTIFS(ШТАТ!AM:AM,F19,ШТАТ!U:U,"госп")</f>
        <v>0</v>
      </c>
      <c r="AN19" s="676">
        <f>COUNTIFS(ШТАТ!AM:AM,F19,ШТАТ!U:U,"осв-ие")</f>
        <v>0</v>
      </c>
      <c r="AO19" s="676">
        <f>COUNTIFS(ШТАТ!AM:AM,F19,ШТАТ!U:U,"полигон")</f>
        <v>0</v>
      </c>
      <c r="AP19" s="677">
        <f t="shared" si="3"/>
        <v>1</v>
      </c>
      <c r="AQ19" s="1450"/>
      <c r="AR19" s="1450"/>
    </row>
    <row r="20" spans="1:44" ht="30.75" x14ac:dyDescent="0.45">
      <c r="A20" s="1450"/>
      <c r="B20" s="1450"/>
      <c r="C20" s="1450"/>
      <c r="D20" s="1450"/>
      <c r="E20" s="1450"/>
      <c r="F20" s="675" t="s">
        <v>3483</v>
      </c>
      <c r="G20" s="676">
        <f>COUNTIFS(ШТАТ!AM:AM,F20,ШТАТ!AK:AK,1)</f>
        <v>2</v>
      </c>
      <c r="H20" s="676">
        <f>COUNTIFS(ШТАТ!AM:AM,F20,ШТАТ!AK:AK,2)</f>
        <v>5</v>
      </c>
      <c r="I20" s="676">
        <f>COUNTIFS(ШТАТ!AM:AM,F20,ШТАТ!AK:AK,3)</f>
        <v>11</v>
      </c>
      <c r="J20" s="676">
        <f>COUNTIFS(ШТАТ!AM:AM,F20,ШТАТ!AK:AK,4)</f>
        <v>55</v>
      </c>
      <c r="K20" s="677">
        <f t="shared" si="5"/>
        <v>73</v>
      </c>
      <c r="L20" s="676">
        <f>COUNTIFS(ШТАТ!AM:AM,F20,ШТАТ!AK:AK,"ГП")</f>
        <v>0</v>
      </c>
      <c r="M20" s="676">
        <f>COUNTIFS(ШТАТ!AM:AM,F20,ШТАТ!AJ:AJ,"о")</f>
        <v>2</v>
      </c>
      <c r="N20" s="676">
        <f>COUNTIFS(ШТАТ!AM:AM,F20,ШТАТ!AJ:AJ,"п")</f>
        <v>3</v>
      </c>
      <c r="O20" s="676">
        <f>COUNTIFS(ШТАТ!AM:AM,F20,ШТАТ!AK:AK,3,ШТАТ!AJ:AJ,"к/с")+1</f>
        <v>6</v>
      </c>
      <c r="P20" s="676">
        <f>COUNTIFS(ШТАТ!AM:AM,F20,ШТАТ!AK:AK,4,ШТАТ!AJ:AJ,"к/с")</f>
        <v>11</v>
      </c>
      <c r="Q20" s="676">
        <f>COUNTIFS(ШТАТ!AM:AM,F20,ШТАТ!AI:AI,"1-23")</f>
        <v>16</v>
      </c>
      <c r="R20" s="676">
        <f>COUNTIFS(ШТАТ!AM:AM,F20,ШТАТ!AI:AI,"2-22")</f>
        <v>0</v>
      </c>
      <c r="S20" s="676">
        <f>COUNTIFS(ШТАТ!AM:AM,F20,ШТАТ!AI:AI,"2-23")</f>
        <v>27</v>
      </c>
      <c r="T20" s="676">
        <f t="shared" si="4"/>
        <v>43</v>
      </c>
      <c r="U20" s="677">
        <f t="shared" si="0"/>
        <v>65</v>
      </c>
      <c r="V20" s="678">
        <f t="shared" si="1"/>
        <v>0.8904109589041096</v>
      </c>
      <c r="W20" s="676">
        <f>COUNTIFS(ШТАТ!AM:AM,F20,ШТАТ!AJ:AJ,"ГП")</f>
        <v>0</v>
      </c>
      <c r="X20" s="676">
        <f>COUNTIFS(ШТАТ!U:U,"",ШТАТ!AM:AM,F20,ШТАТ!AJ:AJ,"о")</f>
        <v>0</v>
      </c>
      <c r="Y20" s="676">
        <f>COUNTIFS(ШТАТ!U:U,"",ШТАТ!AM:AM,F20,ШТАТ!AJ:AJ,"п")</f>
        <v>2</v>
      </c>
      <c r="Z20" s="676">
        <f>COUNTIFS(ШТАТ!U:U,"",ШТАТ!AM:AM,F20,ШТАТ!AK:AK,3,ШТАТ!AJ:AJ,"к/с")</f>
        <v>3</v>
      </c>
      <c r="AA20" s="676">
        <f>COUNTIFS(ШТАТ!U:U,"",ШТАТ!AM:AM,F20,ШТАТ!AK:AK,4,ШТАТ!AJ:AJ,"к/с")</f>
        <v>2</v>
      </c>
      <c r="AB20" s="676">
        <f>COUNTIFS(ШТАТ!AM:AM,F20,ШТАТ!AI:AI,"1-23",ШТАТ!U:U,"")</f>
        <v>16</v>
      </c>
      <c r="AC20" s="676">
        <f>COUNTIFS(ШТАТ!AM:AM,F20,ШТАТ!AI:AI,"2-22",ШТАТ!U:U,"")</f>
        <v>0</v>
      </c>
      <c r="AD20" s="676">
        <f>COUNTIFS(ШТАТ!AM:AM,F20,ШТАТ!AI:AI,"2-23",ШТАТ!U:U,"")</f>
        <v>25</v>
      </c>
      <c r="AE20" s="677">
        <f t="shared" si="2"/>
        <v>48</v>
      </c>
      <c r="AF20" s="676">
        <f>COUNTIFS(ШТАТ!U:U,"",ШТАТ!AM:AM,F20,ШТАТ!AJ:AJ,"ГП")</f>
        <v>0</v>
      </c>
      <c r="AG20" s="676">
        <v>10</v>
      </c>
      <c r="AH20" s="676">
        <f>COUNTIFS(ШТАТ!AM:AM,F20,ШТАТ!U:U,"МП")</f>
        <v>1</v>
      </c>
      <c r="AI20" s="676">
        <f>COUNTIFS(ШТАТ!AM:AM,F20,ШТАТ!U:U,"ком-ка")</f>
        <v>14</v>
      </c>
      <c r="AJ20" s="676">
        <f>COUNTIFS(ШТАТ!AM:AM,F20,ШТАТ!U:U,"отпуск")</f>
        <v>1</v>
      </c>
      <c r="AK20" s="676"/>
      <c r="AL20" s="676">
        <f>COUNTIFS(ШТАТ!AM:AM,F20,ШТАТ!U:U,"СОЧ")</f>
        <v>0</v>
      </c>
      <c r="AM20" s="676">
        <f>COUNTIFS(ШТАТ!AM:AM,F20,ШТАТ!U:U,"госп")</f>
        <v>1</v>
      </c>
      <c r="AN20" s="676">
        <f>COUNTIFS(ШТАТ!AM:AM,F20,ШТАТ!U:U,"осв-ие")</f>
        <v>0</v>
      </c>
      <c r="AO20" s="676">
        <f>COUNTIFS(ШТАТ!AM:AM,F20,ШТАТ!U:U,"полигон")</f>
        <v>0</v>
      </c>
      <c r="AP20" s="677">
        <f t="shared" si="3"/>
        <v>17</v>
      </c>
      <c r="AQ20" s="1450"/>
      <c r="AR20" s="1450"/>
    </row>
    <row r="21" spans="1:44" ht="30.75" x14ac:dyDescent="0.45">
      <c r="A21" s="1450"/>
      <c r="B21" s="1450"/>
      <c r="C21" s="1450"/>
      <c r="D21" s="1450"/>
      <c r="E21" s="1450"/>
      <c r="F21" s="675" t="s">
        <v>929</v>
      </c>
      <c r="G21" s="676">
        <f>COUNTIFS(ШТАТ!AM:AM,F21,ШТАТ!AK:AK,1)</f>
        <v>0</v>
      </c>
      <c r="H21" s="676">
        <f>COUNTIFS(ШТАТ!AM:AM,F21,ШТАТ!AK:AK,2)</f>
        <v>1</v>
      </c>
      <c r="I21" s="676">
        <f>COUNTIFS(ШТАТ!AM:AM,F21,ШТАТ!AK:AK,3)</f>
        <v>2</v>
      </c>
      <c r="J21" s="676">
        <f>COUNTIFS(ШТАТ!AM:AM,F21,ШТАТ!AK:AK,4)</f>
        <v>16</v>
      </c>
      <c r="K21" s="677">
        <f t="shared" si="5"/>
        <v>19</v>
      </c>
      <c r="L21" s="676">
        <f>COUNTIFS(ШТАТ!AM:AM,F21,ШТАТ!AK:AK,"ГП")</f>
        <v>0</v>
      </c>
      <c r="M21" s="676">
        <f>COUNTIFS(ШТАТ!AM:AM,F21,ШТАТ!AJ:AJ,"о")</f>
        <v>0</v>
      </c>
      <c r="N21" s="676">
        <f>COUNTIFS(ШТАТ!AM:AM,F21,ШТАТ!AJ:AJ,"п")</f>
        <v>1</v>
      </c>
      <c r="O21" s="676">
        <f>COUNTIFS(ШТАТ!AM:AM,F21,ШТАТ!AK:AK,3,ШТАТ!AJ:AJ,"к/с")</f>
        <v>1</v>
      </c>
      <c r="P21" s="676">
        <f>COUNTIFS(ШТАТ!AM:AM,F21,ШТАТ!AK:AK,4,ШТАТ!AJ:AJ,"к/с")</f>
        <v>12</v>
      </c>
      <c r="Q21" s="676">
        <f>COUNTIFS(ШТАТ!AM:AM,F21,ШТАТ!AI:AI,"1-23")</f>
        <v>0</v>
      </c>
      <c r="R21" s="676">
        <f>COUNTIFS(ШТАТ!AM:AM,F21,ШТАТ!AI:AI,"2-22")</f>
        <v>0</v>
      </c>
      <c r="S21" s="676">
        <f>COUNTIFS(ШТАТ!AM:AM,F21,ШТАТ!AI:AI,"2-23")</f>
        <v>0</v>
      </c>
      <c r="T21" s="676">
        <f t="shared" si="4"/>
        <v>0</v>
      </c>
      <c r="U21" s="677">
        <f t="shared" si="0"/>
        <v>14</v>
      </c>
      <c r="V21" s="678">
        <f>U21/K21</f>
        <v>0.73684210526315785</v>
      </c>
      <c r="W21" s="676">
        <f>COUNTIFS(ШТАТ!AM:AM,F21,ШТАТ!AJ:AJ,"ГП")</f>
        <v>0</v>
      </c>
      <c r="X21" s="676">
        <f>COUNTIFS(ШТАТ!U:U,"",ШТАТ!AM:AM,F21,ШТАТ!AJ:AJ,"о")</f>
        <v>0</v>
      </c>
      <c r="Y21" s="676">
        <f>COUNTIFS(ШТАТ!U:U,"",ШТАТ!AM:AM,F21,ШТАТ!AJ:AJ,"п")</f>
        <v>0</v>
      </c>
      <c r="Z21" s="676">
        <f>COUNTIFS(ШТАТ!U:U,"",ШТАТ!AM:AM,F21,ШТАТ!AK:AK,3,ШТАТ!AJ:AJ,"к/с")</f>
        <v>0</v>
      </c>
      <c r="AA21" s="676">
        <f>COUNTIFS(ШТАТ!U:U,"",ШТАТ!AM:AM,F21,ШТАТ!AK:AK,4,ШТАТ!AJ:AJ,"к/с")</f>
        <v>2</v>
      </c>
      <c r="AB21" s="676">
        <f>COUNTIFS(ШТАТ!AM:AM,F21,ШТАТ!AI:AI,"1-23",ШТАТ!U:U,"")</f>
        <v>0</v>
      </c>
      <c r="AC21" s="676">
        <f>COUNTIFS(ШТАТ!AM:AM,F21,ШТАТ!AI:AI,"2-22",ШТАТ!U:U,"")</f>
        <v>0</v>
      </c>
      <c r="AD21" s="676">
        <f>COUNTIFS(ШТАТ!AM:AM,F21,ШТАТ!AI:AI,"2-23",ШТАТ!U:U,"")</f>
        <v>0</v>
      </c>
      <c r="AE21" s="677">
        <f t="shared" si="2"/>
        <v>2</v>
      </c>
      <c r="AF21" s="676">
        <f>COUNTIFS(ШТАТ!U:U,"",ШТАТ!AM:AM,F21,ШТАТ!AJ:AJ,"ГП")</f>
        <v>0</v>
      </c>
      <c r="AG21" s="676">
        <v>4</v>
      </c>
      <c r="AH21" s="676">
        <f>COUNTIFS(ШТАТ!AM:AM,F21,ШТАТ!U:U,"МП")</f>
        <v>0</v>
      </c>
      <c r="AI21" s="676">
        <f>COUNTIFS(ШТАТ!AM:AM,F21,ШТАТ!U:U,"ком-ка")</f>
        <v>12</v>
      </c>
      <c r="AJ21" s="676">
        <f>COUNTIFS(ШТАТ!AM:AM,F21,ШТАТ!U:U,"отпуск")</f>
        <v>0</v>
      </c>
      <c r="AK21" s="676"/>
      <c r="AL21" s="676">
        <f>COUNTIFS(ШТАТ!AM:AM,F21,ШТАТ!U:U,"СОЧ")</f>
        <v>0</v>
      </c>
      <c r="AM21" s="676">
        <f>COUNTIFS(ШТАТ!AM:AM,F21,ШТАТ!U:U,"госп")</f>
        <v>0</v>
      </c>
      <c r="AN21" s="676">
        <f>COUNTIFS(ШТАТ!AM:AM,F21,ШТАТ!U:U,"осв-ие")</f>
        <v>0</v>
      </c>
      <c r="AO21" s="676">
        <f>COUNTIFS(ШТАТ!AM:AM,F21,ШТАТ!U:U,"полигон")</f>
        <v>0</v>
      </c>
      <c r="AP21" s="677">
        <f t="shared" si="3"/>
        <v>12</v>
      </c>
      <c r="AQ21" s="1450"/>
      <c r="AR21" s="1450"/>
    </row>
    <row r="22" spans="1:44" ht="30.75" x14ac:dyDescent="0.45">
      <c r="A22" s="1450"/>
      <c r="B22" s="1450"/>
      <c r="C22" s="1450"/>
      <c r="D22" s="1450"/>
      <c r="E22" s="1450"/>
      <c r="F22" s="675" t="s">
        <v>848</v>
      </c>
      <c r="G22" s="676">
        <f>COUNTIFS(ШТАТ!AM:AM,F22,ШТАТ!AK:AK,1)</f>
        <v>2</v>
      </c>
      <c r="H22" s="676">
        <f>COUNTIFS(ШТАТ!AM:AM,F22,ШТАТ!AK:AK,2)</f>
        <v>1</v>
      </c>
      <c r="I22" s="676">
        <f>COUNTIFS(ШТАТ!AM:AM,F22,ШТАТ!AK:AK,3)</f>
        <v>1</v>
      </c>
      <c r="J22" s="676">
        <f>COUNTIFS(ШТАТ!AM:AM,F22,ШТАТ!AK:AK,4)</f>
        <v>9</v>
      </c>
      <c r="K22" s="677">
        <f>SUM(G22:J22)</f>
        <v>13</v>
      </c>
      <c r="L22" s="676">
        <f>COUNTIFS(ШТАТ!AM:AM,F22,ШТАТ!AK:AK,"ГП")</f>
        <v>7</v>
      </c>
      <c r="M22" s="676">
        <f>COUNTIFS(ШТАТ!AM:AM,F22,ШТАТ!AJ:AJ,"о")</f>
        <v>1</v>
      </c>
      <c r="N22" s="676">
        <f>COUNTIFS(ШТАТ!AM:AM,F22,ШТАТ!AJ:AJ,"п")</f>
        <v>1</v>
      </c>
      <c r="O22" s="676">
        <f>COUNTIFS(ШТАТ!AM:AM,F22,ШТАТ!AK:AK,3,ШТАТ!AJ:AJ,"к/с")</f>
        <v>0</v>
      </c>
      <c r="P22" s="676">
        <f>COUNTIFS(ШТАТ!AM:AM,F22,ШТАТ!AK:AK,4,ШТАТ!AJ:AJ,"к/с")</f>
        <v>6</v>
      </c>
      <c r="Q22" s="676">
        <f>COUNTIFS(ШТАТ!AM:AM,F22,ШТАТ!AI:AI,"1-23")</f>
        <v>2</v>
      </c>
      <c r="R22" s="676">
        <f>COUNTIFS(ШТАТ!AM:AM,F22,ШТАТ!AI:AI,"2-22")</f>
        <v>0</v>
      </c>
      <c r="S22" s="676">
        <f>COUNTIFS(ШТАТ!AM:AM,F22,ШТАТ!AI:AI,"2-23")</f>
        <v>1</v>
      </c>
      <c r="T22" s="676">
        <f t="shared" si="4"/>
        <v>3</v>
      </c>
      <c r="U22" s="677">
        <f>SUM(M22:S22)</f>
        <v>11</v>
      </c>
      <c r="V22" s="678">
        <f>U22/K22</f>
        <v>0.84615384615384615</v>
      </c>
      <c r="W22" s="676">
        <f>COUNTIFS(ШТАТ!AM:AM,F22,ШТАТ!AJ:AJ,"ГП")</f>
        <v>1</v>
      </c>
      <c r="X22" s="676">
        <f>COUNTIFS(ШТАТ!U:U,"",ШТАТ!AM:AM,F22,ШТАТ!AJ:AJ,"о")</f>
        <v>1</v>
      </c>
      <c r="Y22" s="676">
        <f>COUNTIFS(ШТАТ!U:U,"",ШТАТ!AM:AM,F22,ШТАТ!AJ:AJ,"п")</f>
        <v>1</v>
      </c>
      <c r="Z22" s="676">
        <f>COUNTIFS(ШТАТ!U:U,"",ШТАТ!AM:AM,F22,ШТАТ!AK:AK,3,ШТАТ!AJ:AJ,"к/с")</f>
        <v>0</v>
      </c>
      <c r="AA22" s="676">
        <f>COUNTIFS(ШТАТ!U:U,"",ШТАТ!AM:AM,F22,ШТАТ!AK:AK,4,ШТАТ!AJ:AJ,"к/с")</f>
        <v>3</v>
      </c>
      <c r="AB22" s="676">
        <f>COUNTIFS(ШТАТ!AM:AM,F22,ШТАТ!AI:AI,"1-23",ШТАТ!U:U,"")</f>
        <v>1</v>
      </c>
      <c r="AC22" s="676">
        <f>COUNTIFS(ШТАТ!AM:AM,F22,ШТАТ!AI:AI,"2-22",ШТАТ!U:U,"")</f>
        <v>0</v>
      </c>
      <c r="AD22" s="676">
        <f>COUNTIFS(ШТАТ!AM:AM,F22,ШТАТ!AI:AI,"2-23",ШТАТ!U:U,"")</f>
        <v>1</v>
      </c>
      <c r="AE22" s="677">
        <f t="shared" si="2"/>
        <v>7</v>
      </c>
      <c r="AF22" s="676">
        <f>COUNTIFS(ШТАТ!U:U,"",ШТАТ!AM:AM,F22,ШТАТ!AJ:AJ,"ГП")</f>
        <v>1</v>
      </c>
      <c r="AG22" s="676">
        <v>0</v>
      </c>
      <c r="AH22" s="676">
        <f>COUNTIFS(ШТАТ!AM:AM,F22,ШТАТ!U:U,"МП")</f>
        <v>1</v>
      </c>
      <c r="AI22" s="676">
        <f>COUNTIFS(ШТАТ!AM:AM,F22,ШТАТ!U:U,"ком-ка")</f>
        <v>3</v>
      </c>
      <c r="AJ22" s="676">
        <f>COUNTIFS(ШТАТ!AM:AM,F22,ШТАТ!U:U,"отпуск")</f>
        <v>0</v>
      </c>
      <c r="AK22" s="676"/>
      <c r="AL22" s="676">
        <f>COUNTIFS(ШТАТ!AM:AM,F22,ШТАТ!U:U,"СОЧ")</f>
        <v>0</v>
      </c>
      <c r="AM22" s="676">
        <f>COUNTIFS(ШТАТ!AM:AM,F22,ШТАТ!U:U,"госп")</f>
        <v>0</v>
      </c>
      <c r="AN22" s="676">
        <f>COUNTIFS(ШТАТ!AM:AM,F22,ШТАТ!U:U,"осв-ие")</f>
        <v>0</v>
      </c>
      <c r="AO22" s="676">
        <f>COUNTIFS(ШТАТ!AM:AM,F22,ШТАТ!U:U,"полигон")</f>
        <v>0</v>
      </c>
      <c r="AP22" s="677">
        <f t="shared" si="3"/>
        <v>4</v>
      </c>
      <c r="AQ22" s="1450"/>
      <c r="AR22" s="1450"/>
    </row>
    <row r="23" spans="1:44" ht="30.75" x14ac:dyDescent="0.45">
      <c r="A23" s="1450"/>
      <c r="B23" s="1450"/>
      <c r="C23" s="1450"/>
      <c r="D23" s="1450"/>
      <c r="E23" s="1450"/>
      <c r="F23" s="675" t="s">
        <v>916</v>
      </c>
      <c r="G23" s="676"/>
      <c r="H23" s="676"/>
      <c r="I23" s="676"/>
      <c r="J23" s="676"/>
      <c r="K23" s="677"/>
      <c r="L23" s="676">
        <f>COUNTIFS(ШТАТ!AM:AM,F23,ШТАТ!AK:AK,"ГП")</f>
        <v>1</v>
      </c>
      <c r="M23" s="676">
        <f>COUNTIFS(ШТАТ!AM:AM,F23,ШТАТ!AJ:AJ,"о")</f>
        <v>13</v>
      </c>
      <c r="N23" s="676">
        <f>COUNTIFS(ШТАТ!AM:AM,F23,ШТАТ!AJ:AJ,"п")</f>
        <v>1</v>
      </c>
      <c r="O23" s="676">
        <f>COUNTIFS(ШТАТ!AM:AM,F23,ШТАТ!AK:AK,3,ШТАТ!AJ:AJ,"к/с")</f>
        <v>0</v>
      </c>
      <c r="P23" s="676">
        <f>COUNTIFS(ШТАТ!AM:AM,F23,ШТАТ!AK:AK,4,ШТАТ!AJ:AJ,"к/с")</f>
        <v>8</v>
      </c>
      <c r="Q23" s="676">
        <f>COUNTIFS(ШТАТ!AM:AM,F23,ШТАТ!AI:AI,"1-23")</f>
        <v>0</v>
      </c>
      <c r="R23" s="676">
        <f>COUNTIFS(ШТАТ!AM:AM,F23,ШТАТ!AI:AI,"2-22")</f>
        <v>0</v>
      </c>
      <c r="S23" s="676">
        <f>COUNTIFS(ШТАТ!AM:AM,F23,ШТАТ!AI:AI,"2-23")</f>
        <v>0</v>
      </c>
      <c r="T23" s="676">
        <f t="shared" si="4"/>
        <v>0</v>
      </c>
      <c r="U23" s="677">
        <f>SUM(M23:S23)</f>
        <v>22</v>
      </c>
      <c r="V23" s="678"/>
      <c r="W23" s="676">
        <f>COUNTIFS(ШТАТ!AM:AM,F23,ШТАТ!AJ:AJ,"ГП")</f>
        <v>1</v>
      </c>
      <c r="X23" s="676">
        <f>COUNTIFS(ШТАТ!U:U,"",ШТАТ!AM:AM,F23,ШТАТ!AJ:AJ,"о")</f>
        <v>5</v>
      </c>
      <c r="Y23" s="676">
        <f>COUNTIFS(ШТАТ!U:U,"",ШТАТ!AM:AM,F23,ШТАТ!AJ:AJ,"п")</f>
        <v>0</v>
      </c>
      <c r="Z23" s="676">
        <f>COUNTIFS(ШТАТ!U:U,"",ШТАТ!AM:AM,F23,ШТАТ!AK:AK,3,ШТАТ!AJ:AJ,"к/с")</f>
        <v>0</v>
      </c>
      <c r="AA23" s="676">
        <f>COUNTIFS(ШТАТ!U:U,"",ШТАТ!AM:AM,F23,ШТАТ!AK:AK,4,ШТАТ!AJ:AJ,"к/с")</f>
        <v>3</v>
      </c>
      <c r="AB23" s="676">
        <f>COUNTIFS(ШТАТ!AM:AM,F23,ШТАТ!AI:AI,"1-23",ШТАТ!U:U,"")</f>
        <v>0</v>
      </c>
      <c r="AC23" s="676">
        <f>COUNTIFS(ШТАТ!AM:AM,F23,ШТАТ!AI:AI,"2-22",ШТАТ!U:U,"")</f>
        <v>0</v>
      </c>
      <c r="AD23" s="676">
        <f>COUNTIFS(ШТАТ!AM:AM,F23,ШТАТ!AI:AI,"2-23",ШТАТ!U:U,"")</f>
        <v>0</v>
      </c>
      <c r="AE23" s="677">
        <f t="shared" si="2"/>
        <v>8</v>
      </c>
      <c r="AF23" s="676">
        <f>COUNTIFS(ШТАТ!U:U,"",ШТАТ!AM:AM,F23,ШТАТ!AJ:AJ,"ГП")</f>
        <v>1</v>
      </c>
      <c r="AG23" s="676">
        <v>0</v>
      </c>
      <c r="AH23" s="676">
        <f>COUNTIFS(ШТАТ!AM:AM,F23,ШТАТ!U:U,"МП")</f>
        <v>0</v>
      </c>
      <c r="AI23" s="676">
        <f>COUNTIFS(ШТАТ!AM:AM,F23,ШТАТ!U:U,"ком-ка")</f>
        <v>11</v>
      </c>
      <c r="AJ23" s="676">
        <f>COUNTIFS(ШТАТ!AM:AM,F23,ШТАТ!U:U,"отпуск")</f>
        <v>1</v>
      </c>
      <c r="AK23" s="676"/>
      <c r="AL23" s="676">
        <f>COUNTIFS(ШТАТ!AM:AM,F23,ШТАТ!U:U,"СОЧ")</f>
        <v>0</v>
      </c>
      <c r="AM23" s="676">
        <f>COUNTIFS(ШТАТ!AM:AM,F23,ШТАТ!U:U,"госп")</f>
        <v>1</v>
      </c>
      <c r="AN23" s="676">
        <f>COUNTIFS(ШТАТ!AM:AM,F23,ШТАТ!U:U,"осв-ие")</f>
        <v>1</v>
      </c>
      <c r="AO23" s="676">
        <f>COUNTIFS(ШТАТ!AM:AM,F23,ШТАТ!U:U,"полигон")</f>
        <v>0</v>
      </c>
      <c r="AP23" s="677">
        <f t="shared" si="3"/>
        <v>14</v>
      </c>
      <c r="AQ23" s="1450"/>
      <c r="AR23" s="1450"/>
    </row>
    <row r="24" spans="1:44" ht="30.75" x14ac:dyDescent="0.45">
      <c r="A24" s="1450"/>
      <c r="B24" s="1450"/>
      <c r="C24" s="1450"/>
      <c r="D24" s="1450"/>
      <c r="E24" s="1450"/>
      <c r="F24" s="680" t="s">
        <v>1346</v>
      </c>
      <c r="G24" s="677">
        <f t="shared" ref="G24:L24" si="6">SUM(G8:G22)</f>
        <v>161</v>
      </c>
      <c r="H24" s="677">
        <f t="shared" si="6"/>
        <v>64</v>
      </c>
      <c r="I24" s="677">
        <f t="shared" si="6"/>
        <v>274</v>
      </c>
      <c r="J24" s="677">
        <f t="shared" si="6"/>
        <v>1480</v>
      </c>
      <c r="K24" s="677">
        <f t="shared" si="6"/>
        <v>1979</v>
      </c>
      <c r="L24" s="677">
        <f t="shared" si="6"/>
        <v>23</v>
      </c>
      <c r="M24" s="677">
        <f>SUM(M8:M23)</f>
        <v>163</v>
      </c>
      <c r="N24" s="677">
        <f t="shared" ref="N24:T24" si="7">SUM(N8:N23)</f>
        <v>46</v>
      </c>
      <c r="O24" s="677">
        <f t="shared" si="7"/>
        <v>164</v>
      </c>
      <c r="P24" s="677">
        <f t="shared" si="7"/>
        <v>749</v>
      </c>
      <c r="Q24" s="677">
        <f t="shared" si="7"/>
        <v>429</v>
      </c>
      <c r="R24" s="677">
        <f t="shared" si="7"/>
        <v>0</v>
      </c>
      <c r="S24" s="677">
        <f t="shared" si="7"/>
        <v>225</v>
      </c>
      <c r="T24" s="677">
        <f t="shared" si="7"/>
        <v>654</v>
      </c>
      <c r="U24" s="677">
        <f>SUM(U8:U23)</f>
        <v>1776</v>
      </c>
      <c r="V24" s="681">
        <f>U24/K24</f>
        <v>0.89742294087923191</v>
      </c>
      <c r="W24" s="677">
        <f>SUM(W8:W23)</f>
        <v>13</v>
      </c>
      <c r="X24" s="677">
        <f t="shared" ref="X24:AO24" si="8">SUM(X8:X23)</f>
        <v>51</v>
      </c>
      <c r="Y24" s="677">
        <f t="shared" si="8"/>
        <v>18</v>
      </c>
      <c r="Z24" s="677">
        <f t="shared" si="8"/>
        <v>22</v>
      </c>
      <c r="AA24" s="677">
        <f t="shared" si="8"/>
        <v>86</v>
      </c>
      <c r="AB24" s="677">
        <f t="shared" si="8"/>
        <v>76</v>
      </c>
      <c r="AC24" s="677">
        <f t="shared" si="8"/>
        <v>0</v>
      </c>
      <c r="AD24" s="677">
        <f t="shared" si="8"/>
        <v>123</v>
      </c>
      <c r="AE24" s="677">
        <f>SUM(AE8:AE23)</f>
        <v>376</v>
      </c>
      <c r="AF24" s="677">
        <f t="shared" si="8"/>
        <v>13</v>
      </c>
      <c r="AG24" s="677">
        <f t="shared" si="8"/>
        <v>33</v>
      </c>
      <c r="AH24" s="677">
        <f t="shared" si="8"/>
        <v>6</v>
      </c>
      <c r="AI24" s="677">
        <f t="shared" si="8"/>
        <v>1245</v>
      </c>
      <c r="AJ24" s="677">
        <f t="shared" si="8"/>
        <v>20</v>
      </c>
      <c r="AK24" s="677">
        <f t="shared" si="8"/>
        <v>0</v>
      </c>
      <c r="AL24" s="677">
        <f t="shared" si="8"/>
        <v>54</v>
      </c>
      <c r="AM24" s="677">
        <f t="shared" si="8"/>
        <v>22</v>
      </c>
      <c r="AN24" s="677">
        <f t="shared" si="8"/>
        <v>6</v>
      </c>
      <c r="AO24" s="677">
        <f t="shared" si="8"/>
        <v>47</v>
      </c>
      <c r="AP24" s="677">
        <f>SUM(AP8:AP23)</f>
        <v>1400</v>
      </c>
      <c r="AQ24" s="1450"/>
      <c r="AR24" s="1450"/>
    </row>
    <row r="25" spans="1:44" ht="30.75" x14ac:dyDescent="0.45">
      <c r="A25" s="1450"/>
      <c r="B25" s="1450"/>
      <c r="C25" s="1450"/>
      <c r="D25" s="1450"/>
      <c r="E25" s="1450"/>
      <c r="F25" s="1450"/>
      <c r="G25" s="1450"/>
      <c r="H25" s="1450"/>
      <c r="I25" s="1450"/>
      <c r="J25" s="1450"/>
      <c r="K25" s="1450"/>
      <c r="L25" s="1450"/>
      <c r="M25" s="1450"/>
      <c r="N25" s="1450"/>
      <c r="O25" s="1450"/>
      <c r="P25" s="1450"/>
      <c r="Q25" s="1450"/>
      <c r="R25" s="1450"/>
      <c r="S25" s="1450"/>
      <c r="T25" s="1450"/>
      <c r="U25" s="1450"/>
      <c r="V25" s="1451"/>
      <c r="W25" s="1450"/>
      <c r="X25" s="1450"/>
      <c r="Y25" s="1450"/>
      <c r="Z25" s="1450"/>
      <c r="AA25" s="1450"/>
      <c r="AB25" s="1450"/>
      <c r="AC25" s="1450"/>
      <c r="AD25" s="1450"/>
      <c r="AE25" s="1450"/>
      <c r="AF25" s="1450"/>
      <c r="AG25" s="1450"/>
      <c r="AH25" s="1450"/>
      <c r="AI25" s="1450"/>
      <c r="AJ25" s="1450"/>
      <c r="AK25" s="1450"/>
      <c r="AL25" s="1450"/>
      <c r="AM25" s="1450"/>
      <c r="AN25" s="1450"/>
      <c r="AO25" s="1450"/>
      <c r="AP25" s="1450"/>
      <c r="AQ25" s="1450"/>
      <c r="AR25" s="1450"/>
    </row>
    <row r="26" spans="1:44" ht="30.75" x14ac:dyDescent="0.45">
      <c r="A26" s="1450"/>
      <c r="B26" s="1450"/>
      <c r="C26" s="1450"/>
      <c r="D26" s="1450"/>
      <c r="E26" s="1450"/>
      <c r="F26" s="1553" t="s">
        <v>1498</v>
      </c>
      <c r="G26" s="1553"/>
      <c r="H26" s="1553"/>
      <c r="I26" s="1553"/>
      <c r="J26" s="1553"/>
      <c r="K26" s="1553"/>
      <c r="L26" s="1553"/>
      <c r="M26" s="1553"/>
      <c r="N26" s="1553"/>
      <c r="O26" s="1553"/>
      <c r="P26" s="1553"/>
      <c r="Q26" s="1553"/>
      <c r="R26" s="1553"/>
      <c r="S26" s="1553"/>
      <c r="T26" s="1553"/>
      <c r="U26" s="1553"/>
      <c r="V26" s="1553"/>
      <c r="W26" s="1553"/>
      <c r="X26" s="1553"/>
      <c r="Y26" s="1553"/>
      <c r="Z26" s="1553"/>
      <c r="AA26" s="1553"/>
      <c r="AB26" s="1553"/>
      <c r="AC26" s="1553"/>
      <c r="AD26" s="1553"/>
      <c r="AE26" s="1553"/>
      <c r="AF26" s="1553"/>
      <c r="AG26" s="1553"/>
      <c r="AH26" s="1553"/>
      <c r="AI26" s="1553"/>
      <c r="AJ26" s="1553"/>
      <c r="AK26" s="1553"/>
      <c r="AL26" s="1553"/>
      <c r="AM26" s="1553"/>
      <c r="AN26" s="1553"/>
      <c r="AO26" s="1553"/>
      <c r="AP26" s="1553"/>
      <c r="AQ26" s="1450"/>
      <c r="AR26" s="1450"/>
    </row>
    <row r="27" spans="1:44" ht="30.75" customHeight="1" x14ac:dyDescent="0.45">
      <c r="A27" s="1450"/>
      <c r="B27" s="1450"/>
      <c r="C27" s="1450"/>
      <c r="D27" s="1450"/>
      <c r="E27" s="1450"/>
      <c r="F27" s="1450"/>
      <c r="G27" s="1450"/>
      <c r="H27" s="1450"/>
      <c r="I27" s="1450"/>
      <c r="J27" s="1450"/>
      <c r="K27" s="1450"/>
      <c r="L27" s="1450"/>
      <c r="M27" s="827"/>
      <c r="N27" s="827"/>
      <c r="O27" s="1453"/>
      <c r="P27" s="1454"/>
      <c r="Q27" s="1550" t="s">
        <v>5893</v>
      </c>
      <c r="R27" s="1550"/>
      <c r="S27" s="1550"/>
      <c r="T27" s="1550"/>
      <c r="U27" s="1550"/>
      <c r="V27" s="1454"/>
      <c r="W27" s="1550" t="s">
        <v>5894</v>
      </c>
      <c r="X27" s="1550"/>
      <c r="Y27" s="1550"/>
      <c r="Z27" s="1550"/>
      <c r="AA27" s="1455"/>
      <c r="AB27" s="827"/>
      <c r="AC27" s="827"/>
      <c r="AD27" s="1450"/>
      <c r="AE27" s="1450"/>
      <c r="AF27" s="1450"/>
      <c r="AG27" s="1450"/>
      <c r="AH27" s="1450"/>
      <c r="AI27" s="1450"/>
      <c r="AJ27" s="1450"/>
      <c r="AK27" s="1450"/>
      <c r="AL27" s="1450"/>
      <c r="AM27" s="1450"/>
      <c r="AN27" s="1450"/>
      <c r="AO27" s="1450"/>
      <c r="AP27" s="1450"/>
      <c r="AQ27" s="1450"/>
      <c r="AR27" s="1450"/>
    </row>
    <row r="29" spans="1:44" ht="76.5" customHeight="1" x14ac:dyDescent="0.25"/>
  </sheetData>
  <mergeCells count="49">
    <mergeCell ref="Q4:T4"/>
    <mergeCell ref="W27:Z27"/>
    <mergeCell ref="R5:R7"/>
    <mergeCell ref="Q5:Q7"/>
    <mergeCell ref="AG3:AP3"/>
    <mergeCell ref="AP4:AP7"/>
    <mergeCell ref="AL4:AL7"/>
    <mergeCell ref="S5:S7"/>
    <mergeCell ref="AB4:AD4"/>
    <mergeCell ref="AB5:AB7"/>
    <mergeCell ref="AC5:AC7"/>
    <mergeCell ref="AD5:AD7"/>
    <mergeCell ref="AH4:AH7"/>
    <mergeCell ref="T5:T7"/>
    <mergeCell ref="AM4:AM7"/>
    <mergeCell ref="W4:W7"/>
    <mergeCell ref="X4:X7"/>
    <mergeCell ref="U4:U7"/>
    <mergeCell ref="V4:V7"/>
    <mergeCell ref="AA4:AA7"/>
    <mergeCell ref="AK4:AK7"/>
    <mergeCell ref="AE4:AE7"/>
    <mergeCell ref="AF4:AF7"/>
    <mergeCell ref="AG4:AG7"/>
    <mergeCell ref="AI4:AI7"/>
    <mergeCell ref="AJ4:AJ7"/>
    <mergeCell ref="N4:N7"/>
    <mergeCell ref="O4:O7"/>
    <mergeCell ref="P4:P7"/>
    <mergeCell ref="G4:G7"/>
    <mergeCell ref="H4:H7"/>
    <mergeCell ref="I4:I7"/>
    <mergeCell ref="J4:J7"/>
    <mergeCell ref="AN4:AN7"/>
    <mergeCell ref="AO4:AO7"/>
    <mergeCell ref="Q27:U27"/>
    <mergeCell ref="AI1:AQ1"/>
    <mergeCell ref="AI2:AQ2"/>
    <mergeCell ref="F26:AP26"/>
    <mergeCell ref="V2:X2"/>
    <mergeCell ref="F3:F7"/>
    <mergeCell ref="G3:L3"/>
    <mergeCell ref="M3:W3"/>
    <mergeCell ref="X3:AF3"/>
    <mergeCell ref="Y4:Y7"/>
    <mergeCell ref="Z4:Z7"/>
    <mergeCell ref="K4:K7"/>
    <mergeCell ref="L4:L7"/>
    <mergeCell ref="M4:M7"/>
  </mergeCells>
  <printOptions horizontalCentered="1" verticalCentered="1"/>
  <pageMargins left="0.25" right="0.25" top="0.75" bottom="0.75" header="0.3" footer="0.3"/>
  <pageSetup paperSize="9" scale="29" fitToHeight="0" orientation="landscape" r:id="rId1"/>
  <ignoredErrors>
    <ignoredError sqref="Q18 Q23" twoDigitTextYear="1"/>
    <ignoredError sqref="V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Y23"/>
  <sheetViews>
    <sheetView workbookViewId="0">
      <selection activeCell="D12" sqref="D12"/>
    </sheetView>
  </sheetViews>
  <sheetFormatPr defaultRowHeight="15" x14ac:dyDescent="0.25"/>
  <cols>
    <col min="1" max="1" width="17.42578125" customWidth="1"/>
    <col min="2" max="18" width="4.7109375" customWidth="1"/>
    <col min="19" max="19" width="4.5703125" customWidth="1"/>
    <col min="20" max="23" width="4.7109375" customWidth="1"/>
    <col min="24" max="24" width="5.28515625" customWidth="1"/>
    <col min="25" max="25" width="4.7109375" customWidth="1"/>
  </cols>
  <sheetData>
    <row r="1" spans="1:25" x14ac:dyDescent="0.25">
      <c r="K1" s="960" t="s">
        <v>2042</v>
      </c>
      <c r="L1" s="1563">
        <f ca="1">TODAY()</f>
        <v>45328</v>
      </c>
      <c r="M1" s="1563"/>
      <c r="N1" s="1563"/>
      <c r="O1" s="1563"/>
      <c r="P1" s="1563"/>
      <c r="Q1" s="1563"/>
    </row>
    <row r="2" spans="1:25" x14ac:dyDescent="0.25">
      <c r="A2" s="961"/>
      <c r="B2" s="961"/>
      <c r="C2" s="961"/>
      <c r="D2" s="961"/>
      <c r="E2" s="961"/>
      <c r="F2" s="961"/>
      <c r="G2" s="961"/>
      <c r="H2" s="961"/>
      <c r="I2" s="961"/>
      <c r="J2" s="962"/>
      <c r="K2" s="962"/>
      <c r="L2" s="961"/>
      <c r="M2" s="961"/>
      <c r="N2" s="963"/>
      <c r="O2" s="961"/>
      <c r="P2" s="961"/>
      <c r="Q2" s="961"/>
      <c r="R2" s="961"/>
      <c r="S2" s="961"/>
      <c r="T2" s="961"/>
      <c r="U2" s="961"/>
      <c r="V2" s="961"/>
      <c r="W2" s="961"/>
      <c r="X2" s="961"/>
      <c r="Y2" s="961"/>
    </row>
    <row r="3" spans="1:25" ht="27.75" customHeight="1" x14ac:dyDescent="0.25">
      <c r="A3" s="1564" t="s">
        <v>2043</v>
      </c>
      <c r="B3" s="1564"/>
      <c r="C3" s="1564"/>
      <c r="D3" s="1564"/>
      <c r="E3" s="1564"/>
      <c r="F3" s="1560" t="s">
        <v>888</v>
      </c>
      <c r="G3" s="1562" t="s">
        <v>1833</v>
      </c>
      <c r="H3" s="1562"/>
      <c r="I3" s="1562"/>
      <c r="J3" s="1562"/>
      <c r="K3" s="1560" t="s">
        <v>888</v>
      </c>
      <c r="L3" s="1562" t="s">
        <v>2044</v>
      </c>
      <c r="M3" s="1562"/>
      <c r="N3" s="1562"/>
      <c r="O3" s="1562"/>
      <c r="P3" s="1560" t="s">
        <v>888</v>
      </c>
      <c r="Q3" s="1565" t="s">
        <v>2045</v>
      </c>
      <c r="R3" s="1566"/>
      <c r="S3" s="1566"/>
      <c r="T3" s="1560" t="s">
        <v>888</v>
      </c>
      <c r="U3" s="1562" t="s">
        <v>2046</v>
      </c>
      <c r="V3" s="1562"/>
      <c r="W3" s="1562"/>
      <c r="X3" s="1562"/>
      <c r="Y3" s="1560" t="s">
        <v>888</v>
      </c>
    </row>
    <row r="4" spans="1:25" ht="63.75" customHeight="1" x14ac:dyDescent="0.25">
      <c r="A4" s="207"/>
      <c r="B4" s="964" t="s">
        <v>1834</v>
      </c>
      <c r="C4" s="964" t="s">
        <v>1835</v>
      </c>
      <c r="D4" s="964" t="s">
        <v>560</v>
      </c>
      <c r="E4" s="964" t="s">
        <v>136</v>
      </c>
      <c r="F4" s="1561"/>
      <c r="G4" s="965" t="s">
        <v>1834</v>
      </c>
      <c r="H4" s="965" t="s">
        <v>1835</v>
      </c>
      <c r="I4" s="965" t="s">
        <v>560</v>
      </c>
      <c r="J4" s="965" t="s">
        <v>136</v>
      </c>
      <c r="K4" s="1561"/>
      <c r="L4" s="965" t="s">
        <v>1834</v>
      </c>
      <c r="M4" s="965" t="s">
        <v>1835</v>
      </c>
      <c r="N4" s="965" t="s">
        <v>560</v>
      </c>
      <c r="O4" s="965" t="s">
        <v>136</v>
      </c>
      <c r="P4" s="1561"/>
      <c r="Q4" s="965" t="s">
        <v>1834</v>
      </c>
      <c r="R4" s="965" t="s">
        <v>1835</v>
      </c>
      <c r="S4" s="965" t="s">
        <v>560</v>
      </c>
      <c r="T4" s="1561"/>
      <c r="U4" s="965" t="s">
        <v>1834</v>
      </c>
      <c r="V4" s="965" t="s">
        <v>1835</v>
      </c>
      <c r="W4" s="965" t="s">
        <v>560</v>
      </c>
      <c r="X4" s="965" t="s">
        <v>136</v>
      </c>
      <c r="Y4" s="1561"/>
    </row>
    <row r="5" spans="1:25" x14ac:dyDescent="0.25">
      <c r="A5" s="207" t="s">
        <v>63</v>
      </c>
      <c r="B5" s="966">
        <v>28</v>
      </c>
      <c r="C5" s="966">
        <v>2</v>
      </c>
      <c r="D5" s="966">
        <v>1</v>
      </c>
      <c r="E5" s="966">
        <v>5</v>
      </c>
      <c r="F5" s="967">
        <f>SUM(B5:E5)</f>
        <v>36</v>
      </c>
      <c r="G5" s="966">
        <f>COUNTIFS(ШТАТ!AM:AM,A5,ШТАТ!AJ:AJ,"о")</f>
        <v>27</v>
      </c>
      <c r="H5" s="966">
        <f>COUNTIFS(ШТАТ!AM:AM,A5,ШТАТ!AJ:AJ,"п")</f>
        <v>2</v>
      </c>
      <c r="I5" s="966">
        <f>COUNTIFS(ШТАТ!AM:AM,A5,ШТАТ!AJ:AJ,"к/с")</f>
        <v>1</v>
      </c>
      <c r="J5" s="966">
        <f>COUNTIFS(ШТАТ!AM:AM,A5,ШТАТ!AJ:AJ,"с/с")</f>
        <v>2</v>
      </c>
      <c r="K5" s="967">
        <f>SUM(G5+H5+I5+J5)</f>
        <v>32</v>
      </c>
      <c r="L5" s="966">
        <f>G5-Q5-U5</f>
        <v>11</v>
      </c>
      <c r="M5" s="966">
        <f>H5-R5-V5</f>
        <v>1</v>
      </c>
      <c r="N5" s="966">
        <f>I5-S5-W5</f>
        <v>1</v>
      </c>
      <c r="O5" s="966">
        <f>J5-X5</f>
        <v>2</v>
      </c>
      <c r="P5" s="967">
        <f>SUM(L5+M5+N5+O5)</f>
        <v>15</v>
      </c>
      <c r="Q5" s="966">
        <f>COUNTIFS(ШТАТ!AM:AM,A5,ШТАТ!AJ:AJ,"о",ШТАТ!X:X,"Выполнение специальных задач")+COUNTIFS(ШТАТ!AM:AM,A5,ШТАТ!AJ:AJ,"о",ШТАТ!X:X,"САР")</f>
        <v>2</v>
      </c>
      <c r="R5" s="966">
        <f>COUNTIFS(ШТАТ!AM:AM,A5,ШТАТ!AJ:AJ,"п",ШТАТ!X:X,"Выполнение специальных задач")+COUNTIFS(ШТАТ!AM:AM,A5,ШТАТ!AJ:AJ,"п",ШТАТ!X:X,"САР")</f>
        <v>0</v>
      </c>
      <c r="S5" s="966">
        <f>COUNTIFS(ШТАТ!AM:AM,A5,ШТАТ!AJ:AJ,"к/с",ШТАТ!X:X,"Выполнение специальных задач")+COUNTIFS(ШТАТ!AM:AM,A5,ШТАТ!AJ:AJ,"к/с",ШТАТ!X:X,"САР")</f>
        <v>0</v>
      </c>
      <c r="T5" s="967">
        <f t="shared" ref="T5:T19" si="0">SUM(Q5+R5+S5)</f>
        <v>2</v>
      </c>
      <c r="U5" s="966">
        <f>COUNTIFS(ШТАТ!AM:AM,A5,ШТАТ!AJ:AJ,"о",ШТАТ!W:W,"г. Белгород")</f>
        <v>14</v>
      </c>
      <c r="V5" s="966">
        <f>COUNTIFS(ШТАТ!AM:AM,A5,ШТАТ!AJ:AJ,"п",ШТАТ!W:W,"г. Белгород")</f>
        <v>1</v>
      </c>
      <c r="W5" s="966">
        <f>COUNTIFS(ШТАТ!AM:AM,A5,ШТАТ!AJ:AJ,"к/с",ШТАТ!W:W,"г. Белгород")</f>
        <v>0</v>
      </c>
      <c r="X5" s="966">
        <f>COUNTIFS(ШТАТ!AM:AM,A5,ШТАТ!AJ:AJ,"с/с",ШТАТ!W:W,"г. Белгород")</f>
        <v>0</v>
      </c>
      <c r="Y5" s="967">
        <f>SUM(U5+V5+W5+X5)</f>
        <v>15</v>
      </c>
    </row>
    <row r="6" spans="1:25" x14ac:dyDescent="0.25">
      <c r="A6" s="207" t="s">
        <v>267</v>
      </c>
      <c r="B6" s="207">
        <v>27</v>
      </c>
      <c r="C6" s="207">
        <v>12</v>
      </c>
      <c r="D6" s="207">
        <v>57</v>
      </c>
      <c r="E6" s="207">
        <v>326</v>
      </c>
      <c r="F6" s="967">
        <f t="shared" ref="F6:F19" si="1">SUM(B6:E6)</f>
        <v>422</v>
      </c>
      <c r="G6" s="966">
        <f>COUNTIFS(ШТАТ!AM:AM,A6,ШТАТ!AJ:AJ,"о")</f>
        <v>26</v>
      </c>
      <c r="H6" s="966">
        <f>COUNTIFS(ШТАТ!AM:AM,A6,ШТАТ!AJ:AJ,"п")</f>
        <v>7</v>
      </c>
      <c r="I6" s="966">
        <f>COUNTIFS(ШТАТ!AM:AM,A6,ШТАТ!AJ:AJ,"к/с")</f>
        <v>330</v>
      </c>
      <c r="J6" s="966">
        <f>COUNTIFS(ШТАТ!AM:AM,A6,ШТАТ!AJ:AJ,"с/с")</f>
        <v>0</v>
      </c>
      <c r="K6" s="967">
        <f t="shared" ref="K6:K19" si="2">SUM(G6+H6+I6+J6)</f>
        <v>363</v>
      </c>
      <c r="L6" s="966">
        <f t="shared" ref="L6:L19" si="3">G6-Q6-U6</f>
        <v>1</v>
      </c>
      <c r="M6" s="966">
        <f t="shared" ref="M6:M19" si="4">H6-R6-V6</f>
        <v>2</v>
      </c>
      <c r="N6" s="966">
        <f t="shared" ref="N6:N19" si="5">I6-S6-W6</f>
        <v>60</v>
      </c>
      <c r="O6" s="966">
        <f t="shared" ref="O6:O19" si="6">J6-X6</f>
        <v>0</v>
      </c>
      <c r="P6" s="967">
        <f t="shared" ref="P6:P19" si="7">SUM(L6+M6+N6+O6)</f>
        <v>63</v>
      </c>
      <c r="Q6" s="966">
        <f>COUNTIFS(ШТАТ!AM:AM,A6,ШТАТ!AJ:AJ,"о",ШТАТ!X:X,"Выполнение специальных задач")+COUNTIFS(ШТАТ!AM:AM,A6,ШТАТ!AJ:AJ,"о",ШТАТ!X:X,"САР")</f>
        <v>1</v>
      </c>
      <c r="R6" s="966">
        <f>COUNTIFS(ШТАТ!AM:AM,A6,ШТАТ!AJ:AJ,"п",ШТАТ!X:X,"Выполнение специальных задач")+COUNTIFS(ШТАТ!AM:AM,A6,ШТАТ!AJ:AJ,"п",ШТАТ!X:X,"САР")</f>
        <v>1</v>
      </c>
      <c r="S6" s="966">
        <f>COUNTIFS(ШТАТ!AM:AM,A6,ШТАТ!AJ:AJ,"к/с",ШТАТ!X:X,"Выполнение специальных задач")+COUNTIFS(ШТАТ!AM:AM,A6,ШТАТ!AJ:AJ,"к/с",ШТАТ!X:X,"САР")</f>
        <v>7</v>
      </c>
      <c r="T6" s="967">
        <f t="shared" si="0"/>
        <v>9</v>
      </c>
      <c r="U6" s="966">
        <f>COUNTIFS(ШТАТ!AM:AM,A6,ШТАТ!AJ:AJ,"о",ШТАТ!W:W,"г. Белгород")</f>
        <v>24</v>
      </c>
      <c r="V6" s="966">
        <f>COUNTIFS(ШТАТ!AM:AM,A6,ШТАТ!AJ:AJ,"п",ШТАТ!W:W,"г. Белгород")</f>
        <v>4</v>
      </c>
      <c r="W6" s="966">
        <f>COUNTIFS(ШТАТ!AM:AM,A6,ШТАТ!AJ:AJ,"к/с",ШТАТ!W:W,"г. Белгород")</f>
        <v>263</v>
      </c>
      <c r="X6" s="966">
        <f>COUNTIFS(ШТАТ!AM:AM,A6,ШТАТ!AJ:AJ,"с/с",ШТАТ!W:W,"г. Белгород")</f>
        <v>0</v>
      </c>
      <c r="Y6" s="967">
        <f t="shared" ref="Y6:Y19" si="8">SUM(U6+V6+W6+X6)</f>
        <v>291</v>
      </c>
    </row>
    <row r="7" spans="1:25" x14ac:dyDescent="0.25">
      <c r="A7" s="207" t="s">
        <v>460</v>
      </c>
      <c r="B7" s="207">
        <v>27</v>
      </c>
      <c r="C7" s="207">
        <v>12</v>
      </c>
      <c r="D7" s="207">
        <v>57</v>
      </c>
      <c r="E7" s="207">
        <v>326</v>
      </c>
      <c r="F7" s="967">
        <f t="shared" si="1"/>
        <v>422</v>
      </c>
      <c r="G7" s="966">
        <f>COUNTIFS(ШТАТ!AM:AM,A7,ШТАТ!AJ:AJ,"о")</f>
        <v>24</v>
      </c>
      <c r="H7" s="966">
        <f>COUNTIFS(ШТАТ!AM:AM,A7,ШТАТ!AJ:AJ,"п")</f>
        <v>8</v>
      </c>
      <c r="I7" s="966">
        <f>COUNTIFS(ШТАТ!AM:AM,A7,ШТАТ!AJ:AJ,"к/с")</f>
        <v>14</v>
      </c>
      <c r="J7" s="966">
        <f>COUNTIFS(ШТАТ!AM:AM,A7,ШТАТ!AJ:AJ,"с/с")</f>
        <v>356</v>
      </c>
      <c r="K7" s="967">
        <f t="shared" si="2"/>
        <v>402</v>
      </c>
      <c r="L7" s="966">
        <f t="shared" si="3"/>
        <v>19</v>
      </c>
      <c r="M7" s="966">
        <f t="shared" si="4"/>
        <v>6</v>
      </c>
      <c r="N7" s="966">
        <f t="shared" si="5"/>
        <v>11</v>
      </c>
      <c r="O7" s="966">
        <f t="shared" si="6"/>
        <v>356</v>
      </c>
      <c r="P7" s="967">
        <f t="shared" si="7"/>
        <v>392</v>
      </c>
      <c r="Q7" s="966">
        <f>COUNTIFS(ШТАТ!AM:AM,A7,ШТАТ!AJ:AJ,"о",ШТАТ!X:X,"Выполнение специальных задач")+COUNTIFS(ШТАТ!AM:AM,A7,ШТАТ!AJ:AJ,"о",ШТАТ!X:X,"САР")</f>
        <v>1</v>
      </c>
      <c r="R7" s="966">
        <f>COUNTIFS(ШТАТ!AM:AM,A7,ШТАТ!AJ:AJ,"п",ШТАТ!X:X,"Выполнение специальных задач")+COUNTIFS(ШТАТ!AM:AM,A7,ШТАТ!AJ:AJ,"п",ШТАТ!X:X,"САР")</f>
        <v>2</v>
      </c>
      <c r="S7" s="966">
        <f>COUNTIFS(ШТАТ!AM:AM,A7,ШТАТ!AJ:AJ,"к/с",ШТАТ!X:X,"Выполнение специальных задач")+COUNTIFS(ШТАТ!AM:AM,A7,ШТАТ!AJ:AJ,"к/с",ШТАТ!X:X,"САР")</f>
        <v>0</v>
      </c>
      <c r="T7" s="967">
        <f t="shared" si="0"/>
        <v>3</v>
      </c>
      <c r="U7" s="966">
        <f>COUNTIFS(ШТАТ!AM:AM,A7,ШТАТ!AJ:AJ,"о",ШТАТ!W:W,"г. Белгород")</f>
        <v>4</v>
      </c>
      <c r="V7" s="966">
        <f>COUNTIFS(ШТАТ!AM:AM,A7,ШТАТ!AJ:AJ,"п",ШТАТ!W:W,"г. Белгород")</f>
        <v>0</v>
      </c>
      <c r="W7" s="966">
        <f>COUNTIFS(ШТАТ!AM:AM,A7,ШТАТ!AJ:AJ,"к/с",ШТАТ!W:W,"г. Белгород")</f>
        <v>3</v>
      </c>
      <c r="X7" s="966">
        <f>COUNTIFS(ШТАТ!AM:AM,A7,ШТАТ!AJ:AJ,"с/с",ШТАТ!W:W,"г. Белгород")</f>
        <v>0</v>
      </c>
      <c r="Y7" s="967">
        <f t="shared" si="8"/>
        <v>7</v>
      </c>
    </row>
    <row r="8" spans="1:25" x14ac:dyDescent="0.25">
      <c r="A8" s="207" t="s">
        <v>492</v>
      </c>
      <c r="B8" s="207">
        <v>27</v>
      </c>
      <c r="C8" s="207">
        <v>12</v>
      </c>
      <c r="D8" s="207">
        <v>57</v>
      </c>
      <c r="E8" s="207">
        <v>326</v>
      </c>
      <c r="F8" s="967">
        <f t="shared" si="1"/>
        <v>422</v>
      </c>
      <c r="G8" s="966">
        <f>COUNTIFS(ШТАТ!AM:AM,A8,ШТАТ!AJ:AJ,"о")</f>
        <v>25</v>
      </c>
      <c r="H8" s="966">
        <f>COUNTIFS(ШТАТ!AM:AM,A8,ШТАТ!AJ:AJ,"п")</f>
        <v>8</v>
      </c>
      <c r="I8" s="966">
        <f>COUNTIFS(ШТАТ!AM:AM,A8,ШТАТ!AJ:AJ,"к/с")</f>
        <v>209</v>
      </c>
      <c r="J8" s="966">
        <f>COUNTIFS(ШТАТ!AM:AM,A8,ШТАТ!AJ:AJ,"с/с")</f>
        <v>124</v>
      </c>
      <c r="K8" s="967">
        <f t="shared" si="2"/>
        <v>366</v>
      </c>
      <c r="L8" s="966">
        <f t="shared" si="3"/>
        <v>17</v>
      </c>
      <c r="M8" s="966">
        <f t="shared" si="4"/>
        <v>8</v>
      </c>
      <c r="N8" s="966">
        <f t="shared" si="5"/>
        <v>114</v>
      </c>
      <c r="O8" s="966">
        <f t="shared" si="6"/>
        <v>124</v>
      </c>
      <c r="P8" s="967">
        <f t="shared" si="7"/>
        <v>263</v>
      </c>
      <c r="Q8" s="966">
        <f>COUNTIFS(ШТАТ!AM:AM,A8,ШТАТ!AJ:AJ,"о",ШТАТ!X:X,"Выполнение специальных задач")+COUNTIFS(ШТАТ!AM:AM,A8,ШТАТ!AJ:AJ,"о",ШТАТ!X:X,"САР")</f>
        <v>4</v>
      </c>
      <c r="R8" s="966">
        <f>COUNTIFS(ШТАТ!AM:AM,A8,ШТАТ!AJ:AJ,"п",ШТАТ!X:X,"Выполнение специальных задач")+COUNTIFS(ШТАТ!AM:AM,A8,ШТАТ!AJ:AJ,"п",ШТАТ!X:X,"САР")</f>
        <v>0</v>
      </c>
      <c r="S8" s="966">
        <f>COUNTIFS(ШТАТ!AM:AM,A8,ШТАТ!AJ:AJ,"к/с",ШТАТ!X:X,"Выполнение специальных задач")+COUNTIFS(ШТАТ!AM:AM,A8,ШТАТ!AJ:AJ,"к/с",ШТАТ!X:X,"САР")</f>
        <v>37</v>
      </c>
      <c r="T8" s="967">
        <f t="shared" si="0"/>
        <v>41</v>
      </c>
      <c r="U8" s="966">
        <f>COUNTIFS(ШТАТ!AM:AM,A8,ШТАТ!AJ:AJ,"о",ШТАТ!W:W,"г. Белгород")</f>
        <v>4</v>
      </c>
      <c r="V8" s="966">
        <f>COUNTIFS(ШТАТ!AM:AM,A8,ШТАТ!AJ:AJ,"п",ШТАТ!W:W,"г. Белгород")</f>
        <v>0</v>
      </c>
      <c r="W8" s="966">
        <f>COUNTIFS(ШТАТ!AM:AM,A8,ШТАТ!AJ:AJ,"к/с",ШТАТ!W:W,"г. Белгород")</f>
        <v>58</v>
      </c>
      <c r="X8" s="966">
        <f>COUNTIFS(ШТАТ!AM:AM,A8,ШТАТ!AJ:AJ,"с/с",ШТАТ!W:W,"г. Белгород")</f>
        <v>0</v>
      </c>
      <c r="Y8" s="967">
        <f t="shared" si="8"/>
        <v>62</v>
      </c>
    </row>
    <row r="9" spans="1:25" x14ac:dyDescent="0.25">
      <c r="A9" s="207" t="s">
        <v>552</v>
      </c>
      <c r="B9" s="207">
        <v>11</v>
      </c>
      <c r="C9" s="207">
        <v>3</v>
      </c>
      <c r="D9" s="207">
        <v>24</v>
      </c>
      <c r="E9" s="207">
        <v>123</v>
      </c>
      <c r="F9" s="967">
        <f t="shared" si="1"/>
        <v>161</v>
      </c>
      <c r="G9" s="966">
        <f>COUNTIFS(ШТАТ!AM:AM,A9,ШТАТ!AJ:AJ,"о")</f>
        <v>11</v>
      </c>
      <c r="H9" s="966">
        <f>COUNTIFS(ШТАТ!AM:AM,A9,ШТАТ!AJ:AJ,"п")</f>
        <v>2</v>
      </c>
      <c r="I9" s="966">
        <f>COUNTIFS(ШТАТ!AM:AM,A9,ШТАТ!AJ:AJ,"к/с")</f>
        <v>124</v>
      </c>
      <c r="J9" s="966">
        <f>COUNTIFS(ШТАТ!AM:AM,A9,ШТАТ!AJ:AJ,"с/с")</f>
        <v>0</v>
      </c>
      <c r="K9" s="967">
        <f t="shared" si="2"/>
        <v>137</v>
      </c>
      <c r="L9" s="966">
        <f t="shared" si="3"/>
        <v>1</v>
      </c>
      <c r="M9" s="966">
        <f t="shared" si="4"/>
        <v>1</v>
      </c>
      <c r="N9" s="966">
        <f t="shared" si="5"/>
        <v>9</v>
      </c>
      <c r="O9" s="966">
        <f t="shared" si="6"/>
        <v>0</v>
      </c>
      <c r="P9" s="967">
        <f t="shared" si="7"/>
        <v>11</v>
      </c>
      <c r="Q9" s="966">
        <f>COUNTIFS(ШТАТ!AM:AM,A9,ШТАТ!AJ:AJ,"о",ШТАТ!X:X,"Выполнение специальных задач")+COUNTIFS(ШТАТ!AM:AM,A9,ШТАТ!AJ:AJ,"о",ШТАТ!X:X,"САР")</f>
        <v>9</v>
      </c>
      <c r="R9" s="966">
        <f>COUNTIFS(ШТАТ!AM:AM,A9,ШТАТ!AJ:AJ,"п",ШТАТ!X:X,"Выполнение специальных задач")+COUNTIFS(ШТАТ!AM:AM,A9,ШТАТ!AJ:AJ,"п",ШТАТ!X:X,"САР")</f>
        <v>1</v>
      </c>
      <c r="S9" s="966">
        <f>COUNTIFS(ШТАТ!AM:AM,A9,ШТАТ!AJ:AJ,"к/с",ШТАТ!X:X,"Выполнение специальных задач")+COUNTIFS(ШТАТ!AM:AM,A9,ШТАТ!AJ:AJ,"к/с",ШТАТ!X:X,"САР")</f>
        <v>7</v>
      </c>
      <c r="T9" s="967">
        <f t="shared" si="0"/>
        <v>17</v>
      </c>
      <c r="U9" s="966">
        <f>COUNTIFS(ШТАТ!AM:AM,A9,ШТАТ!AJ:AJ,"о",ШТАТ!W:W,"г. Белгород")</f>
        <v>1</v>
      </c>
      <c r="V9" s="966">
        <f>COUNTIFS(ШТАТ!AM:AM,A9,ШТАТ!AJ:AJ,"п",ШТАТ!W:W,"г. Белгород")</f>
        <v>0</v>
      </c>
      <c r="W9" s="966">
        <f>COUNTIFS(ШТАТ!AM:AM,A9,ШТАТ!AJ:AJ,"к/с",ШТАТ!W:W,"г. Белгород")</f>
        <v>108</v>
      </c>
      <c r="X9" s="966">
        <f>COUNTIFS(ШТАТ!AM:AM,A9,ШТАТ!AJ:AJ,"с/с",ШТАТ!W:W,"г. Белгород")</f>
        <v>0</v>
      </c>
      <c r="Y9" s="967">
        <f t="shared" si="8"/>
        <v>109</v>
      </c>
    </row>
    <row r="10" spans="1:25" x14ac:dyDescent="0.25">
      <c r="A10" s="207" t="s">
        <v>508</v>
      </c>
      <c r="B10" s="207">
        <v>20</v>
      </c>
      <c r="C10" s="207">
        <v>5</v>
      </c>
      <c r="D10" s="207">
        <v>29</v>
      </c>
      <c r="E10" s="207">
        <v>94</v>
      </c>
      <c r="F10" s="967">
        <f t="shared" si="1"/>
        <v>148</v>
      </c>
      <c r="G10" s="966">
        <f>COUNTIFS(ШТАТ!AM:AM,A10,ШТАТ!AJ:AJ,"о")</f>
        <v>19</v>
      </c>
      <c r="H10" s="966">
        <f>COUNTIFS(ШТАТ!AM:AM,A10,ШТАТ!AJ:AJ,"п")</f>
        <v>4</v>
      </c>
      <c r="I10" s="966">
        <f>COUNTIFS(ШТАТ!AM:AM,A10,ШТАТ!AJ:AJ,"к/с")</f>
        <v>110</v>
      </c>
      <c r="J10" s="966">
        <f>COUNTIFS(ШТАТ!AM:AM,A10,ШТАТ!AJ:AJ,"с/с")</f>
        <v>0</v>
      </c>
      <c r="K10" s="967">
        <f t="shared" si="2"/>
        <v>133</v>
      </c>
      <c r="L10" s="966">
        <f t="shared" si="3"/>
        <v>5</v>
      </c>
      <c r="M10" s="966">
        <f t="shared" si="4"/>
        <v>2</v>
      </c>
      <c r="N10" s="966">
        <f t="shared" si="5"/>
        <v>8</v>
      </c>
      <c r="O10" s="966">
        <f t="shared" si="6"/>
        <v>0</v>
      </c>
      <c r="P10" s="967">
        <f t="shared" si="7"/>
        <v>15</v>
      </c>
      <c r="Q10" s="966">
        <f>COUNTIFS(ШТАТ!AM:AM,A10,ШТАТ!AJ:AJ,"о",ШТАТ!X:X,"Выполнение специальных задач")+COUNTIFS(ШТАТ!AM:AM,A10,ШТАТ!AJ:AJ,"о",ШТАТ!X:X,"САР")</f>
        <v>8</v>
      </c>
      <c r="R10" s="966">
        <f>COUNTIFS(ШТАТ!AM:AM,A10,ШТАТ!AJ:AJ,"п",ШТАТ!X:X,"Выполнение специальных задач")+COUNTIFS(ШТАТ!AM:AM,A10,ШТАТ!AJ:AJ,"п",ШТАТ!X:X,"САР")</f>
        <v>1</v>
      </c>
      <c r="S10" s="966">
        <f>COUNTIFS(ШТАТ!AM:AM,A10,ШТАТ!AJ:AJ,"к/с",ШТАТ!X:X,"Выполнение специальных задач")+COUNTIFS(ШТАТ!AM:AM,A10,ШТАТ!AJ:AJ,"к/с",ШТАТ!X:X,"САР")</f>
        <v>83</v>
      </c>
      <c r="T10" s="967">
        <f t="shared" si="0"/>
        <v>92</v>
      </c>
      <c r="U10" s="966">
        <f>COUNTIFS(ШТАТ!AM:AM,A10,ШТАТ!AJ:AJ,"о",ШТАТ!W:W,"г. Белгород")</f>
        <v>6</v>
      </c>
      <c r="V10" s="966">
        <f>COUNTIFS(ШТАТ!AM:AM,A10,ШТАТ!AJ:AJ,"п",ШТАТ!W:W,"г. Белгород")</f>
        <v>1</v>
      </c>
      <c r="W10" s="966">
        <f>COUNTIFS(ШТАТ!AM:AM,A10,ШТАТ!AJ:AJ,"к/с",ШТАТ!W:W,"г. Белгород")</f>
        <v>19</v>
      </c>
      <c r="X10" s="966">
        <f>COUNTIFS(ШТАТ!AM:AM,A10,ШТАТ!AJ:AJ,"с/с",ШТАТ!W:W,"г. Белгород")</f>
        <v>0</v>
      </c>
      <c r="Y10" s="967">
        <f t="shared" si="8"/>
        <v>26</v>
      </c>
    </row>
    <row r="11" spans="1:25" x14ac:dyDescent="0.25">
      <c r="A11" s="207" t="s">
        <v>547</v>
      </c>
      <c r="B11" s="207">
        <v>4</v>
      </c>
      <c r="C11" s="207">
        <v>2</v>
      </c>
      <c r="D11" s="207">
        <v>9</v>
      </c>
      <c r="E11" s="207">
        <v>32</v>
      </c>
      <c r="F11" s="967">
        <f t="shared" si="1"/>
        <v>47</v>
      </c>
      <c r="G11" s="966">
        <f>COUNTIFS(ШТАТ!AM:AM,A11,ШТАТ!AJ:AJ,"о")</f>
        <v>4</v>
      </c>
      <c r="H11" s="966">
        <f>COUNTIFS(ШТАТ!AM:AM,A11,ШТАТ!AJ:AJ,"п")</f>
        <v>2</v>
      </c>
      <c r="I11" s="966">
        <f>COUNTIFS(ШТАТ!AM:AM,A11,ШТАТ!AJ:AJ,"к/с")</f>
        <v>19</v>
      </c>
      <c r="J11" s="966">
        <f>COUNTIFS(ШТАТ!AM:AM,A11,ШТАТ!AJ:AJ,"с/с")</f>
        <v>16</v>
      </c>
      <c r="K11" s="967">
        <f t="shared" si="2"/>
        <v>41</v>
      </c>
      <c r="L11" s="966">
        <f t="shared" si="3"/>
        <v>3</v>
      </c>
      <c r="M11" s="966">
        <f t="shared" si="4"/>
        <v>2</v>
      </c>
      <c r="N11" s="966">
        <f t="shared" si="5"/>
        <v>8</v>
      </c>
      <c r="O11" s="966">
        <f t="shared" si="6"/>
        <v>16</v>
      </c>
      <c r="P11" s="967">
        <f t="shared" si="7"/>
        <v>29</v>
      </c>
      <c r="Q11" s="966">
        <f>COUNTIFS(ШТАТ!AM:AM,A11,ШТАТ!AJ:AJ,"о",ШТАТ!X:X,"Выполнение специальных задач")+COUNTIFS(ШТАТ!AM:AM,A11,ШТАТ!AJ:AJ,"о",ШТАТ!X:X,"САР")</f>
        <v>0</v>
      </c>
      <c r="R11" s="966">
        <f>COUNTIFS(ШТАТ!AM:AM,A11,ШТАТ!AJ:AJ,"п",ШТАТ!X:X,"Выполнение специальных задач")+COUNTIFS(ШТАТ!AM:AM,A11,ШТАТ!AJ:AJ,"п",ШТАТ!X:X,"САР")</f>
        <v>0</v>
      </c>
      <c r="S11" s="966">
        <f>COUNTIFS(ШТАТ!AM:AM,A11,ШТАТ!AJ:AJ,"к/с",ШТАТ!X:X,"Выполнение специальных задач")+COUNTIFS(ШТАТ!AM:AM,A11,ШТАТ!AJ:AJ,"к/с",ШТАТ!X:X,"САР")</f>
        <v>5</v>
      </c>
      <c r="T11" s="967">
        <f t="shared" si="0"/>
        <v>5</v>
      </c>
      <c r="U11" s="966">
        <f>COUNTIFS(ШТАТ!AM:AM,A11,ШТАТ!AJ:AJ,"о",ШТАТ!W:W,"г. Белгород")</f>
        <v>1</v>
      </c>
      <c r="V11" s="966">
        <f>COUNTIFS(ШТАТ!AM:AM,A11,ШТАТ!AJ:AJ,"п",ШТАТ!W:W,"г. Белгород")</f>
        <v>0</v>
      </c>
      <c r="W11" s="966">
        <f>COUNTIFS(ШТАТ!AM:AM,A11,ШТАТ!AJ:AJ,"к/с",ШТАТ!W:W,"г. Белгород")</f>
        <v>6</v>
      </c>
      <c r="X11" s="966">
        <f>COUNTIFS(ШТАТ!AM:AM,A11,ШТАТ!AJ:AJ,"с/с",ШТАТ!W:W,"г. Белгород")</f>
        <v>0</v>
      </c>
      <c r="Y11" s="967">
        <f t="shared" si="8"/>
        <v>7</v>
      </c>
    </row>
    <row r="12" spans="1:25" x14ac:dyDescent="0.25">
      <c r="A12" s="207" t="s">
        <v>646</v>
      </c>
      <c r="B12" s="207">
        <v>4</v>
      </c>
      <c r="C12" s="207">
        <v>1</v>
      </c>
      <c r="D12" s="207">
        <v>10</v>
      </c>
      <c r="E12" s="207">
        <v>30</v>
      </c>
      <c r="F12" s="967">
        <f t="shared" si="1"/>
        <v>45</v>
      </c>
      <c r="G12" s="966">
        <f>COUNTIFS(ШТАТ!AM:AM,A12,ШТАТ!AJ:AJ,"о")</f>
        <v>4</v>
      </c>
      <c r="H12" s="966">
        <f>COUNTIFS(ШТАТ!AM:AM,A12,ШТАТ!AJ:AJ,"п")</f>
        <v>1</v>
      </c>
      <c r="I12" s="966">
        <f>COUNTIFS(ШТАТ!AM:AM,A12,ШТАТ!AJ:AJ,"к/с")</f>
        <v>39</v>
      </c>
      <c r="J12" s="966">
        <f>COUNTIFS(ШТАТ!AM:AM,A12,ШТАТ!AJ:AJ,"с/с")</f>
        <v>0</v>
      </c>
      <c r="K12" s="967">
        <f t="shared" si="2"/>
        <v>44</v>
      </c>
      <c r="L12" s="966">
        <f t="shared" si="3"/>
        <v>0</v>
      </c>
      <c r="M12" s="966">
        <f t="shared" si="4"/>
        <v>0</v>
      </c>
      <c r="N12" s="966">
        <f t="shared" si="5"/>
        <v>1</v>
      </c>
      <c r="O12" s="966">
        <f t="shared" si="6"/>
        <v>0</v>
      </c>
      <c r="P12" s="967">
        <f t="shared" si="7"/>
        <v>1</v>
      </c>
      <c r="Q12" s="966">
        <f>COUNTIFS(ШТАТ!AM:AM,A12,ШТАТ!AJ:AJ,"о",ШТАТ!X:X,"Выполнение специальных задач")+COUNTIFS(ШТАТ!AM:AM,A12,ШТАТ!AJ:AJ,"о",ШТАТ!X:X,"САР")</f>
        <v>0</v>
      </c>
      <c r="R12" s="966">
        <f>COUNTIFS(ШТАТ!AM:AM,A12,ШТАТ!AJ:AJ,"п",ШТАТ!X:X,"Выполнение специальных задач")+COUNTIFS(ШТАТ!AM:AM,A12,ШТАТ!AJ:AJ,"п",ШТАТ!X:X,"САР")</f>
        <v>0</v>
      </c>
      <c r="S12" s="966">
        <f>COUNTIFS(ШТАТ!AM:AM,A12,ШТАТ!AJ:AJ,"к/с",ШТАТ!X:X,"Выполнение специальных задач")+COUNTIFS(ШТАТ!AM:AM,A12,ШТАТ!AJ:AJ,"к/с",ШТАТ!X:X,"САР")</f>
        <v>0</v>
      </c>
      <c r="T12" s="967">
        <f t="shared" si="0"/>
        <v>0</v>
      </c>
      <c r="U12" s="966">
        <f>COUNTIFS(ШТАТ!AM:AM,A12,ШТАТ!AJ:AJ,"о",ШТАТ!W:W,"г. Белгород")</f>
        <v>4</v>
      </c>
      <c r="V12" s="966">
        <f>COUNTIFS(ШТАТ!AM:AM,A12,ШТАТ!AJ:AJ,"п",ШТАТ!W:W,"г. Белгород")</f>
        <v>1</v>
      </c>
      <c r="W12" s="966">
        <f>COUNTIFS(ШТАТ!AM:AM,A12,ШТАТ!AJ:AJ,"к/с",ШТАТ!W:W,"г. Белгород")</f>
        <v>38</v>
      </c>
      <c r="X12" s="966">
        <f>COUNTIFS(ШТАТ!AM:AM,A12,ШТАТ!AJ:AJ,"с/с",ШТАТ!W:W,"г. Белгород")</f>
        <v>0</v>
      </c>
      <c r="Y12" s="967">
        <f t="shared" si="8"/>
        <v>43</v>
      </c>
    </row>
    <row r="13" spans="1:25" x14ac:dyDescent="0.25">
      <c r="A13" s="207" t="s">
        <v>662</v>
      </c>
      <c r="B13" s="207">
        <v>3</v>
      </c>
      <c r="C13" s="207">
        <v>1</v>
      </c>
      <c r="D13" s="207">
        <v>10</v>
      </c>
      <c r="E13" s="207">
        <v>53</v>
      </c>
      <c r="F13" s="967">
        <f t="shared" si="1"/>
        <v>67</v>
      </c>
      <c r="G13" s="966">
        <f>COUNTIFS(ШТАТ!AM:AM,A13,ШТАТ!AJ:AJ,"о")</f>
        <v>2</v>
      </c>
      <c r="H13" s="966">
        <f>COUNTIFS(ШТАТ!AM:AM,A13,ШТАТ!AJ:AJ,"п")</f>
        <v>1</v>
      </c>
      <c r="I13" s="966">
        <f>COUNTIFS(ШТАТ!AM:AM,A13,ШТАТ!AJ:AJ,"к/с")</f>
        <v>11</v>
      </c>
      <c r="J13" s="966">
        <f>COUNTIFS(ШТАТ!AM:AM,A13,ШТАТ!AJ:AJ,"с/с")</f>
        <v>45</v>
      </c>
      <c r="K13" s="967">
        <f t="shared" si="2"/>
        <v>59</v>
      </c>
      <c r="L13" s="966">
        <f t="shared" si="3"/>
        <v>0</v>
      </c>
      <c r="M13" s="966">
        <f t="shared" si="4"/>
        <v>0</v>
      </c>
      <c r="N13" s="966">
        <f t="shared" si="5"/>
        <v>4</v>
      </c>
      <c r="O13" s="966">
        <f t="shared" si="6"/>
        <v>45</v>
      </c>
      <c r="P13" s="967">
        <f t="shared" si="7"/>
        <v>49</v>
      </c>
      <c r="Q13" s="966">
        <f>COUNTIFS(ШТАТ!AM:AM,A13,ШТАТ!AJ:AJ,"о",ШТАТ!X:X,"Выполнение специальных задач")+COUNTIFS(ШТАТ!AM:AM,A13,ШТАТ!AJ:AJ,"о",ШТАТ!X:X,"САР")</f>
        <v>0</v>
      </c>
      <c r="R13" s="966">
        <f>COUNTIFS(ШТАТ!AM:AM,A13,ШТАТ!AJ:AJ,"п",ШТАТ!X:X,"Выполнение специальных задач")+COUNTIFS(ШТАТ!AM:AM,A13,ШТАТ!AJ:AJ,"п",ШТАТ!X:X,"САР")</f>
        <v>1</v>
      </c>
      <c r="S13" s="966">
        <f>COUNTIFS(ШТАТ!AM:AM,A13,ШТАТ!AJ:AJ,"к/с",ШТАТ!X:X,"Выполнение специальных задач")+COUNTIFS(ШТАТ!AM:AM,A13,ШТАТ!AJ:AJ,"к/с",ШТАТ!X:X,"САР")</f>
        <v>2</v>
      </c>
      <c r="T13" s="967">
        <f t="shared" si="0"/>
        <v>3</v>
      </c>
      <c r="U13" s="966">
        <f>COUNTIFS(ШТАТ!AM:AM,A13,ШТАТ!AJ:AJ,"о",ШТАТ!W:W,"г. Белгород")</f>
        <v>2</v>
      </c>
      <c r="V13" s="966">
        <f>COUNTIFS(ШТАТ!AM:AM,A13,ШТАТ!AJ:AJ,"п",ШТАТ!W:W,"г. Белгород")</f>
        <v>0</v>
      </c>
      <c r="W13" s="966">
        <f>COUNTIFS(ШТАТ!AM:AM,A13,ШТАТ!AJ:AJ,"к/с",ШТАТ!W:W,"г. Белгород")</f>
        <v>5</v>
      </c>
      <c r="X13" s="966">
        <f>COUNTIFS(ШТАТ!AM:AM,A13,ШТАТ!AJ:AJ,"с/с",ШТАТ!W:W,"г. Белгород")</f>
        <v>0</v>
      </c>
      <c r="Y13" s="967">
        <f t="shared" si="8"/>
        <v>7</v>
      </c>
    </row>
    <row r="14" spans="1:25" x14ac:dyDescent="0.25">
      <c r="A14" s="207" t="s">
        <v>707</v>
      </c>
      <c r="B14" s="207">
        <v>1</v>
      </c>
      <c r="C14" s="207">
        <v>0</v>
      </c>
      <c r="D14" s="207">
        <v>3</v>
      </c>
      <c r="E14" s="207">
        <v>8</v>
      </c>
      <c r="F14" s="967">
        <f t="shared" si="1"/>
        <v>12</v>
      </c>
      <c r="G14" s="966">
        <f>COUNTIFS(ШТАТ!AM:AM,A14,ШТАТ!AJ:AJ,"о")</f>
        <v>0</v>
      </c>
      <c r="H14" s="966">
        <f>COUNTIFS(ШТАТ!AM:AM,A14,ШТАТ!AJ:AJ,"п")</f>
        <v>0</v>
      </c>
      <c r="I14" s="966">
        <f>COUNTIFS(ШТАТ!AM:AM,A14,ШТАТ!AJ:AJ,"к/с")</f>
        <v>2</v>
      </c>
      <c r="J14" s="966">
        <f>COUNTIFS(ШТАТ!AM:AM,A14,ШТАТ!AJ:AJ,"с/с")</f>
        <v>7</v>
      </c>
      <c r="K14" s="967">
        <f t="shared" si="2"/>
        <v>9</v>
      </c>
      <c r="L14" s="966">
        <f t="shared" si="3"/>
        <v>0</v>
      </c>
      <c r="M14" s="966">
        <f t="shared" si="4"/>
        <v>0</v>
      </c>
      <c r="N14" s="966">
        <f t="shared" si="5"/>
        <v>2</v>
      </c>
      <c r="O14" s="966">
        <f t="shared" si="6"/>
        <v>7</v>
      </c>
      <c r="P14" s="967">
        <f t="shared" si="7"/>
        <v>9</v>
      </c>
      <c r="Q14" s="966">
        <f>COUNTIFS(ШТАТ!AM:AM,A14,ШТАТ!AJ:AJ,"о",ШТАТ!X:X,"Выполнение специальных задач")+COUNTIFS(ШТАТ!AM:AM,A14,ШТАТ!AJ:AJ,"о",ШТАТ!X:X,"САР")</f>
        <v>0</v>
      </c>
      <c r="R14" s="966">
        <f>COUNTIFS(ШТАТ!AM:AM,A14,ШТАТ!AJ:AJ,"п",ШТАТ!X:X,"Выполнение специальных задач")+COUNTIFS(ШТАТ!AM:AM,A14,ШТАТ!AJ:AJ,"п",ШТАТ!X:X,"САР")</f>
        <v>0</v>
      </c>
      <c r="S14" s="966">
        <f>COUNTIFS(ШТАТ!AM:AM,A14,ШТАТ!AJ:AJ,"к/с",ШТАТ!X:X,"Выполнение специальных задач")+COUNTIFS(ШТАТ!AM:AM,A14,ШТАТ!AJ:AJ,"к/с",ШТАТ!X:X,"САР")</f>
        <v>0</v>
      </c>
      <c r="T14" s="967">
        <f t="shared" si="0"/>
        <v>0</v>
      </c>
      <c r="U14" s="966">
        <f>COUNTIFS(ШТАТ!AM:AM,A14,ШТАТ!AJ:AJ,"о",ШТАТ!W:W,"г. Белгород")</f>
        <v>0</v>
      </c>
      <c r="V14" s="966">
        <f>COUNTIFS(ШТАТ!AM:AM,A14,ШТАТ!AJ:AJ,"п",ШТАТ!W:W,"г. Белгород")</f>
        <v>0</v>
      </c>
      <c r="W14" s="966">
        <f>COUNTIFS(ШТАТ!AM:AM,A14,ШТАТ!AJ:AJ,"к/с",ШТАТ!W:W,"г. Белгород")</f>
        <v>0</v>
      </c>
      <c r="X14" s="966">
        <f>COUNTIFS(ШТАТ!AM:AM,A14,ШТАТ!AJ:AJ,"с/с",ШТАТ!W:W,"г. Белгород")</f>
        <v>0</v>
      </c>
      <c r="Y14" s="967">
        <f t="shared" si="8"/>
        <v>0</v>
      </c>
    </row>
    <row r="15" spans="1:25" x14ac:dyDescent="0.25">
      <c r="A15" s="207" t="s">
        <v>723</v>
      </c>
      <c r="B15" s="207">
        <v>4</v>
      </c>
      <c r="C15" s="207">
        <v>7</v>
      </c>
      <c r="D15" s="207">
        <v>8</v>
      </c>
      <c r="E15" s="207">
        <v>65</v>
      </c>
      <c r="F15" s="967">
        <f t="shared" si="1"/>
        <v>84</v>
      </c>
      <c r="G15" s="966">
        <f>COUNTIFS(ШТАТ!AM:AM,A15,ШТАТ!AJ:AJ,"о")</f>
        <v>4</v>
      </c>
      <c r="H15" s="966">
        <f>COUNTIFS(ШТАТ!AM:AM,A15,ШТАТ!AJ:AJ,"п")</f>
        <v>5</v>
      </c>
      <c r="I15" s="966">
        <f>COUNTIFS(ШТАТ!AM:AM,A15,ШТАТ!AJ:AJ,"к/с")</f>
        <v>11</v>
      </c>
      <c r="J15" s="966">
        <f>COUNTIFS(ШТАТ!AM:AM,A15,ШТАТ!AJ:AJ,"с/с")</f>
        <v>56</v>
      </c>
      <c r="K15" s="967">
        <f t="shared" si="2"/>
        <v>76</v>
      </c>
      <c r="L15" s="966">
        <f t="shared" si="3"/>
        <v>4</v>
      </c>
      <c r="M15" s="966">
        <f t="shared" si="4"/>
        <v>1</v>
      </c>
      <c r="N15" s="966">
        <f t="shared" si="5"/>
        <v>5</v>
      </c>
      <c r="O15" s="966">
        <f t="shared" si="6"/>
        <v>56</v>
      </c>
      <c r="P15" s="967">
        <f t="shared" si="7"/>
        <v>66</v>
      </c>
      <c r="Q15" s="966">
        <f>COUNTIFS(ШТАТ!AM:AM,A15,ШТАТ!AJ:AJ,"о",ШТАТ!X:X,"Выполнение специальных задач")+COUNTIFS(ШТАТ!AM:AM,A15,ШТАТ!AJ:AJ,"о",ШТАТ!X:X,"САР")</f>
        <v>0</v>
      </c>
      <c r="R15" s="966">
        <f>COUNTIFS(ШТАТ!AM:AM,A15,ШТАТ!AJ:AJ,"п",ШТАТ!X:X,"Выполнение специальных задач")+COUNTIFS(ШТАТ!AM:AM,A15,ШТАТ!AJ:AJ,"п",ШТАТ!X:X,"САР")</f>
        <v>3</v>
      </c>
      <c r="S15" s="966">
        <f>COUNTIFS(ШТАТ!AM:AM,A15,ШТАТ!AJ:AJ,"к/с",ШТАТ!X:X,"Выполнение специальных задач")+COUNTIFS(ШТАТ!AM:AM,A15,ШТАТ!AJ:AJ,"к/с",ШТАТ!X:X,"САР")</f>
        <v>2</v>
      </c>
      <c r="T15" s="967">
        <f t="shared" si="0"/>
        <v>5</v>
      </c>
      <c r="U15" s="966">
        <f>COUNTIFS(ШТАТ!AM:AM,A15,ШТАТ!AJ:AJ,"о",ШТАТ!W:W,"г. Белгород")</f>
        <v>0</v>
      </c>
      <c r="V15" s="966">
        <f>COUNTIFS(ШТАТ!AM:AM,A15,ШТАТ!AJ:AJ,"п",ШТАТ!W:W,"г. Белгород")</f>
        <v>1</v>
      </c>
      <c r="W15" s="966">
        <f>COUNTIFS(ШТАТ!AM:AM,A15,ШТАТ!AJ:AJ,"к/с",ШТАТ!W:W,"г. Белгород")</f>
        <v>4</v>
      </c>
      <c r="X15" s="966">
        <f>COUNTIFS(ШТАТ!AM:AM,A15,ШТАТ!AJ:AJ,"с/с",ШТАТ!W:W,"г. Белгород")</f>
        <v>0</v>
      </c>
      <c r="Y15" s="967">
        <f t="shared" si="8"/>
        <v>5</v>
      </c>
    </row>
    <row r="16" spans="1:25" x14ac:dyDescent="0.25">
      <c r="A16" s="207" t="s">
        <v>784</v>
      </c>
      <c r="B16" s="207">
        <v>1</v>
      </c>
      <c r="C16" s="207">
        <v>0</v>
      </c>
      <c r="D16" s="207">
        <v>2</v>
      </c>
      <c r="E16" s="207">
        <v>5</v>
      </c>
      <c r="F16" s="967">
        <f t="shared" si="1"/>
        <v>8</v>
      </c>
      <c r="G16" s="966">
        <f>COUNTIFS(ШТАТ!AM:AM,A16,ШТАТ!AJ:AJ,"о")</f>
        <v>1</v>
      </c>
      <c r="H16" s="966">
        <f>COUNTIFS(ШТАТ!AM:AM,A16,ШТАТ!AJ:AJ,"п")</f>
        <v>0</v>
      </c>
      <c r="I16" s="966">
        <f>COUNTIFS(ШТАТ!AM:AM,A16,ШТАТ!AJ:AJ,"к/с")</f>
        <v>1</v>
      </c>
      <c r="J16" s="966">
        <f>COUNTIFS(ШТАТ!AM:AM,A16,ШТАТ!AJ:AJ,"с/с")</f>
        <v>2</v>
      </c>
      <c r="K16" s="967">
        <f t="shared" si="2"/>
        <v>4</v>
      </c>
      <c r="L16" s="966">
        <f t="shared" si="3"/>
        <v>1</v>
      </c>
      <c r="M16" s="966">
        <f t="shared" si="4"/>
        <v>0</v>
      </c>
      <c r="N16" s="966">
        <f t="shared" si="5"/>
        <v>0</v>
      </c>
      <c r="O16" s="966">
        <f t="shared" si="6"/>
        <v>2</v>
      </c>
      <c r="P16" s="967">
        <f t="shared" si="7"/>
        <v>3</v>
      </c>
      <c r="Q16" s="966">
        <f>COUNTIFS(ШТАТ!AM:AM,A16,ШТАТ!AJ:AJ,"о",ШТАТ!X:X,"Выполнение специальных задач")+COUNTIFS(ШТАТ!AM:AM,A16,ШТАТ!AJ:AJ,"о",ШТАТ!X:X,"САР")</f>
        <v>0</v>
      </c>
      <c r="R16" s="966">
        <f>COUNTIFS(ШТАТ!AM:AM,A16,ШТАТ!AJ:AJ,"п",ШТАТ!X:X,"Выполнение специальных задач")+COUNTIFS(ШТАТ!AM:AM,A16,ШТАТ!AJ:AJ,"п",ШТАТ!X:X,"САР")</f>
        <v>0</v>
      </c>
      <c r="S16" s="966">
        <f>COUNTIFS(ШТАТ!AM:AM,A16,ШТАТ!AJ:AJ,"к/с",ШТАТ!X:X,"Выполнение специальных задач")+COUNTIFS(ШТАТ!AM:AM,A16,ШТАТ!AJ:AJ,"к/с",ШТАТ!X:X,"САР")</f>
        <v>1</v>
      </c>
      <c r="T16" s="967">
        <f t="shared" si="0"/>
        <v>1</v>
      </c>
      <c r="U16" s="966">
        <f>COUNTIFS(ШТАТ!AM:AM,A16,ШТАТ!AJ:AJ,"о",ШТАТ!W:W,"г. Белгород")</f>
        <v>0</v>
      </c>
      <c r="V16" s="966">
        <f>COUNTIFS(ШТАТ!AM:AM,A16,ШТАТ!AJ:AJ,"п",ШТАТ!W:W,"г. Белгород")</f>
        <v>0</v>
      </c>
      <c r="W16" s="966">
        <f>COUNTIFS(ШТАТ!AM:AM,A16,ШТАТ!AJ:AJ,"к/с",ШТАТ!W:W,"г. Белгород")</f>
        <v>0</v>
      </c>
      <c r="X16" s="966">
        <f>COUNTIFS(ШТАТ!AM:AM,A16,ШТАТ!AJ:AJ,"с/с",ШТАТ!W:W,"г. Белгород")</f>
        <v>0</v>
      </c>
      <c r="Y16" s="967">
        <f t="shared" si="8"/>
        <v>0</v>
      </c>
    </row>
    <row r="17" spans="1:25" x14ac:dyDescent="0.25">
      <c r="A17" s="207" t="s">
        <v>789</v>
      </c>
      <c r="B17" s="207">
        <v>2</v>
      </c>
      <c r="C17" s="207">
        <v>4</v>
      </c>
      <c r="D17" s="207">
        <v>12</v>
      </c>
      <c r="E17" s="207">
        <v>55</v>
      </c>
      <c r="F17" s="967">
        <f t="shared" si="1"/>
        <v>73</v>
      </c>
      <c r="G17" s="966">
        <f>COUNTIFS(ШТАТ!AM:AM,A17,ШТАТ!AJ:AJ,"о")</f>
        <v>0</v>
      </c>
      <c r="H17" s="966">
        <f>COUNTIFS(ШТАТ!AM:AM,A17,ШТАТ!AJ:AJ,"п")</f>
        <v>0</v>
      </c>
      <c r="I17" s="966">
        <f>COUNTIFS(ШТАТ!AM:AM,A17,ШТАТ!AJ:AJ,"к/с")</f>
        <v>0</v>
      </c>
      <c r="J17" s="966">
        <f>COUNTIFS(ШТАТ!AM:AM,A17,ШТАТ!AJ:AJ,"с/с")</f>
        <v>0</v>
      </c>
      <c r="K17" s="967">
        <f t="shared" si="2"/>
        <v>0</v>
      </c>
      <c r="L17" s="966">
        <f t="shared" si="3"/>
        <v>0</v>
      </c>
      <c r="M17" s="966">
        <f t="shared" si="4"/>
        <v>0</v>
      </c>
      <c r="N17" s="966">
        <f t="shared" si="5"/>
        <v>0</v>
      </c>
      <c r="O17" s="966">
        <f t="shared" si="6"/>
        <v>0</v>
      </c>
      <c r="P17" s="967">
        <f t="shared" si="7"/>
        <v>0</v>
      </c>
      <c r="Q17" s="966">
        <f>COUNTIFS(ШТАТ!AM:AM,A17,ШТАТ!AJ:AJ,"о",ШТАТ!X:X,"Выполнение специальных задач")+COUNTIFS(ШТАТ!AM:AM,A17,ШТАТ!AJ:AJ,"о",ШТАТ!X:X,"САР")</f>
        <v>0</v>
      </c>
      <c r="R17" s="966">
        <f>COUNTIFS(ШТАТ!AM:AM,A17,ШТАТ!AJ:AJ,"п",ШТАТ!X:X,"Выполнение специальных задач")+COUNTIFS(ШТАТ!AM:AM,A17,ШТАТ!AJ:AJ,"п",ШТАТ!X:X,"САР")</f>
        <v>0</v>
      </c>
      <c r="S17" s="966">
        <f>COUNTIFS(ШТАТ!AM:AM,A17,ШТАТ!AJ:AJ,"к/с",ШТАТ!X:X,"Выполнение специальных задач")+COUNTIFS(ШТАТ!AM:AM,A17,ШТАТ!AJ:AJ,"к/с",ШТАТ!X:X,"САР")</f>
        <v>0</v>
      </c>
      <c r="T17" s="967">
        <f t="shared" si="0"/>
        <v>0</v>
      </c>
      <c r="U17" s="966">
        <f>COUNTIFS(ШТАТ!AM:AM,A17,ШТАТ!AJ:AJ,"о",ШТАТ!W:W,"г. Белгород")</f>
        <v>0</v>
      </c>
      <c r="V17" s="966">
        <f>COUNTIFS(ШТАТ!AM:AM,A17,ШТАТ!AJ:AJ,"п",ШТАТ!W:W,"г. Белгород")</f>
        <v>0</v>
      </c>
      <c r="W17" s="966">
        <f>COUNTIFS(ШТАТ!AM:AM,A17,ШТАТ!AJ:AJ,"к/с",ШТАТ!W:W,"г. Белгород")</f>
        <v>0</v>
      </c>
      <c r="X17" s="966">
        <f>COUNTIFS(ШТАТ!AM:AM,A17,ШТАТ!AJ:AJ,"с/с",ШТАТ!W:W,"г. Белгород")</f>
        <v>0</v>
      </c>
      <c r="Y17" s="967">
        <f t="shared" si="8"/>
        <v>0</v>
      </c>
    </row>
    <row r="18" spans="1:25" x14ac:dyDescent="0.25">
      <c r="A18" s="207" t="s">
        <v>929</v>
      </c>
      <c r="B18" s="207">
        <v>0</v>
      </c>
      <c r="C18" s="207">
        <v>1</v>
      </c>
      <c r="D18" s="207">
        <v>2</v>
      </c>
      <c r="E18" s="207">
        <v>16</v>
      </c>
      <c r="F18" s="967">
        <f t="shared" si="1"/>
        <v>19</v>
      </c>
      <c r="G18" s="966">
        <f>COUNTIFS(ШТАТ!AM:AM,A18,ШТАТ!AJ:AJ,"о")</f>
        <v>0</v>
      </c>
      <c r="H18" s="966">
        <f>COUNTIFS(ШТАТ!AM:AM,A18,ШТАТ!AJ:AJ,"п")</f>
        <v>1</v>
      </c>
      <c r="I18" s="966">
        <f>COUNTIFS(ШТАТ!AM:AM,A18,ШТАТ!AJ:AJ,"к/с")</f>
        <v>13</v>
      </c>
      <c r="J18" s="966">
        <f>COUNTIFS(ШТАТ!AM:AM,A18,ШТАТ!AJ:AJ,"с/с")</f>
        <v>0</v>
      </c>
      <c r="K18" s="967">
        <f t="shared" si="2"/>
        <v>14</v>
      </c>
      <c r="L18" s="966">
        <f t="shared" si="3"/>
        <v>0</v>
      </c>
      <c r="M18" s="966">
        <f t="shared" si="4"/>
        <v>0</v>
      </c>
      <c r="N18" s="966">
        <f t="shared" si="5"/>
        <v>3</v>
      </c>
      <c r="O18" s="966">
        <f t="shared" si="6"/>
        <v>0</v>
      </c>
      <c r="P18" s="967">
        <f t="shared" si="7"/>
        <v>3</v>
      </c>
      <c r="Q18" s="966">
        <f>COUNTIFS(ШТАТ!AM:AM,A18,ШТАТ!AJ:AJ,"о",ШТАТ!X:X,"Выполнение специальных задач")+COUNTIFS(ШТАТ!AM:AM,A18,ШТАТ!AJ:AJ,"о",ШТАТ!X:X,"САР")</f>
        <v>0</v>
      </c>
      <c r="R18" s="966">
        <f>COUNTIFS(ШТАТ!AM:AM,A18,ШТАТ!AJ:AJ,"п",ШТАТ!X:X,"Выполнение специальных задач")+COUNTIFS(ШТАТ!AM:AM,A18,ШТАТ!AJ:AJ,"п",ШТАТ!X:X,"САР")</f>
        <v>0</v>
      </c>
      <c r="S18" s="966">
        <f>COUNTIFS(ШТАТ!AM:AM,A18,ШТАТ!AJ:AJ,"к/с",ШТАТ!X:X,"Выполнение специальных задач")+COUNTIFS(ШТАТ!AM:AM,A18,ШТАТ!AJ:AJ,"к/с",ШТАТ!X:X,"САР")</f>
        <v>7</v>
      </c>
      <c r="T18" s="967">
        <f t="shared" si="0"/>
        <v>7</v>
      </c>
      <c r="U18" s="966">
        <f>COUNTIFS(ШТАТ!AM:AM,A18,ШТАТ!AJ:AJ,"о",ШТАТ!W:W,"г. Белгород")</f>
        <v>0</v>
      </c>
      <c r="V18" s="966">
        <f>COUNTIFS(ШТАТ!AM:AM,A18,ШТАТ!AJ:AJ,"п",ШТАТ!W:W,"г. Белгород")</f>
        <v>1</v>
      </c>
      <c r="W18" s="966">
        <f>COUNTIFS(ШТАТ!AM:AM,A18,ШТАТ!AJ:AJ,"к/с",ШТАТ!W:W,"г. Белгород")</f>
        <v>3</v>
      </c>
      <c r="X18" s="966">
        <f>COUNTIFS(ШТАТ!AM:AM,A18,ШТАТ!AJ:AJ,"с/с",ШТАТ!W:W,"г. Белгород")</f>
        <v>0</v>
      </c>
      <c r="Y18" s="967">
        <f t="shared" si="8"/>
        <v>4</v>
      </c>
    </row>
    <row r="19" spans="1:25" x14ac:dyDescent="0.25">
      <c r="A19" s="207" t="s">
        <v>848</v>
      </c>
      <c r="B19" s="207">
        <v>2</v>
      </c>
      <c r="C19" s="207">
        <v>1</v>
      </c>
      <c r="D19" s="207">
        <v>1</v>
      </c>
      <c r="E19" s="207">
        <v>9</v>
      </c>
      <c r="F19" s="967">
        <f t="shared" si="1"/>
        <v>13</v>
      </c>
      <c r="G19" s="966">
        <f>COUNTIFS(ШТАТ!AM:AM,A19,ШТАТ!AJ:AJ,"о")</f>
        <v>1</v>
      </c>
      <c r="H19" s="966">
        <f>COUNTIFS(ШТАТ!AM:AM,A19,ШТАТ!AJ:AJ,"п")</f>
        <v>1</v>
      </c>
      <c r="I19" s="966">
        <f>COUNTIFS(ШТАТ!AM:AM,A19,ШТАТ!AJ:AJ,"к/с")</f>
        <v>6</v>
      </c>
      <c r="J19" s="966">
        <f>COUNTIFS(ШТАТ!AM:AM,A19,ШТАТ!AJ:AJ,"с/с")</f>
        <v>3</v>
      </c>
      <c r="K19" s="967">
        <f t="shared" si="2"/>
        <v>11</v>
      </c>
      <c r="L19" s="966">
        <f t="shared" si="3"/>
        <v>1</v>
      </c>
      <c r="M19" s="966">
        <f t="shared" si="4"/>
        <v>1</v>
      </c>
      <c r="N19" s="966">
        <f t="shared" si="5"/>
        <v>3</v>
      </c>
      <c r="O19" s="966">
        <f t="shared" si="6"/>
        <v>3</v>
      </c>
      <c r="P19" s="967">
        <f t="shared" si="7"/>
        <v>8</v>
      </c>
      <c r="Q19" s="966">
        <f>COUNTIFS(ШТАТ!AM:AM,A19,ШТАТ!AJ:AJ,"о",ШТАТ!X:X,"Выполнение специальных задач")+COUNTIFS(ШТАТ!AM:AM,A19,ШТАТ!AJ:AJ,"о",ШТАТ!X:X,"САР")</f>
        <v>0</v>
      </c>
      <c r="R19" s="966">
        <f>COUNTIFS(ШТАТ!AM:AM,A19,ШТАТ!AJ:AJ,"п",ШТАТ!X:X,"Выполнение специальных задач")+COUNTIFS(ШТАТ!AM:AM,A19,ШТАТ!AJ:AJ,"п",ШТАТ!X:X,"САР")</f>
        <v>0</v>
      </c>
      <c r="S19" s="966">
        <f>COUNTIFS(ШТАТ!AM:AM,A19,ШТАТ!AJ:AJ,"к/с",ШТАТ!X:X,"Выполнение специальных задач")+COUNTIFS(ШТАТ!AM:AM,A19,ШТАТ!AJ:AJ,"к/с",ШТАТ!X:X,"САР")</f>
        <v>2</v>
      </c>
      <c r="T19" s="967">
        <f t="shared" si="0"/>
        <v>2</v>
      </c>
      <c r="U19" s="966">
        <f>COUNTIFS(ШТАТ!AM:AM,A19,ШТАТ!AJ:AJ,"о",ШТАТ!W:W,"г. Белгород")</f>
        <v>0</v>
      </c>
      <c r="V19" s="966">
        <f>COUNTIFS(ШТАТ!AM:AM,A19,ШТАТ!AJ:AJ,"п",ШТАТ!W:W,"г. Белгород")</f>
        <v>0</v>
      </c>
      <c r="W19" s="966">
        <f>COUNTIFS(ШТАТ!AM:AM,A19,ШТАТ!AJ:AJ,"к/с",ШТАТ!W:W,"г. Белгород")</f>
        <v>1</v>
      </c>
      <c r="X19" s="966">
        <f>COUNTIFS(ШТАТ!AM:AM,A19,ШТАТ!AJ:AJ,"с/с",ШТАТ!W:W,"г. Белгород")</f>
        <v>0</v>
      </c>
      <c r="Y19" s="967">
        <f t="shared" si="8"/>
        <v>1</v>
      </c>
    </row>
    <row r="20" spans="1:25" x14ac:dyDescent="0.25">
      <c r="A20" s="968" t="s">
        <v>1346</v>
      </c>
      <c r="B20" s="969">
        <f t="shared" ref="B20:N20" si="9">SUM(B5:B19)</f>
        <v>161</v>
      </c>
      <c r="C20" s="969">
        <f t="shared" si="9"/>
        <v>63</v>
      </c>
      <c r="D20" s="969">
        <f t="shared" si="9"/>
        <v>282</v>
      </c>
      <c r="E20" s="969">
        <f t="shared" si="9"/>
        <v>1473</v>
      </c>
      <c r="F20" s="970">
        <f t="shared" si="9"/>
        <v>1979</v>
      </c>
      <c r="G20" s="970">
        <f t="shared" si="9"/>
        <v>148</v>
      </c>
      <c r="H20" s="970">
        <f t="shared" si="9"/>
        <v>42</v>
      </c>
      <c r="I20" s="970">
        <f t="shared" si="9"/>
        <v>890</v>
      </c>
      <c r="J20" s="970">
        <f t="shared" si="9"/>
        <v>611</v>
      </c>
      <c r="K20" s="967">
        <f t="shared" si="9"/>
        <v>1691</v>
      </c>
      <c r="L20" s="967">
        <f t="shared" si="9"/>
        <v>63</v>
      </c>
      <c r="M20" s="967">
        <f t="shared" si="9"/>
        <v>24</v>
      </c>
      <c r="N20" s="967">
        <f t="shared" si="9"/>
        <v>229</v>
      </c>
      <c r="O20" s="967">
        <f t="shared" ref="O20:X20" si="10">SUM(O5:O19)</f>
        <v>611</v>
      </c>
      <c r="P20" s="967">
        <f t="shared" si="10"/>
        <v>927</v>
      </c>
      <c r="Q20" s="967">
        <f t="shared" si="10"/>
        <v>25</v>
      </c>
      <c r="R20" s="967">
        <f t="shared" si="10"/>
        <v>9</v>
      </c>
      <c r="S20" s="967">
        <f t="shared" si="10"/>
        <v>153</v>
      </c>
      <c r="T20" s="967">
        <f>SUM(T5:T19)</f>
        <v>187</v>
      </c>
      <c r="U20" s="967">
        <f t="shared" si="10"/>
        <v>60</v>
      </c>
      <c r="V20" s="967">
        <f t="shared" si="10"/>
        <v>9</v>
      </c>
      <c r="W20" s="967">
        <f>SUM(W5:W19)</f>
        <v>508</v>
      </c>
      <c r="X20" s="967">
        <f t="shared" si="10"/>
        <v>0</v>
      </c>
      <c r="Y20" s="967">
        <f>SUM(Y5:Y19)</f>
        <v>577</v>
      </c>
    </row>
    <row r="21" spans="1:25" x14ac:dyDescent="0.25">
      <c r="A21" s="971"/>
      <c r="B21" s="971"/>
      <c r="C21" s="971"/>
      <c r="D21" s="971"/>
      <c r="E21" s="971"/>
    </row>
    <row r="22" spans="1:25" ht="15.75" x14ac:dyDescent="0.25">
      <c r="J22" s="688" t="s">
        <v>1498</v>
      </c>
      <c r="K22" s="688"/>
      <c r="L22" s="688"/>
      <c r="M22" s="688"/>
      <c r="N22" s="688"/>
      <c r="O22" s="688"/>
      <c r="P22" s="688"/>
    </row>
    <row r="23" spans="1:25" ht="15.75" x14ac:dyDescent="0.25">
      <c r="I23" s="688" t="s">
        <v>2801</v>
      </c>
      <c r="J23" s="688"/>
      <c r="K23" s="688"/>
      <c r="L23" s="688"/>
      <c r="M23" s="688"/>
      <c r="N23" s="688"/>
      <c r="O23" s="688"/>
      <c r="P23" s="688" t="s">
        <v>2802</v>
      </c>
    </row>
  </sheetData>
  <mergeCells count="12">
    <mergeCell ref="T3:T4"/>
    <mergeCell ref="U3:X3"/>
    <mergeCell ref="Y3:Y4"/>
    <mergeCell ref="O1:Q1"/>
    <mergeCell ref="A3:E3"/>
    <mergeCell ref="F3:F4"/>
    <mergeCell ref="G3:J3"/>
    <mergeCell ref="K3:K4"/>
    <mergeCell ref="L3:O3"/>
    <mergeCell ref="P3:P4"/>
    <mergeCell ref="Q3:S3"/>
    <mergeCell ref="L1:N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9" fitToHeight="0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BJ78"/>
  <sheetViews>
    <sheetView topLeftCell="B1" zoomScale="25" zoomScaleNormal="25" workbookViewId="0">
      <pane xSplit="12" ySplit="12" topLeftCell="N13" activePane="bottomRight" state="frozen"/>
      <selection activeCell="B1" sqref="B1"/>
      <selection pane="topRight" activeCell="O1" sqref="O1"/>
      <selection pane="bottomLeft" activeCell="B13" sqref="B13"/>
      <selection pane="bottomRight" activeCell="P12" sqref="P12"/>
    </sheetView>
  </sheetViews>
  <sheetFormatPr defaultRowHeight="15" x14ac:dyDescent="0.25"/>
  <cols>
    <col min="1" max="1" width="0" hidden="1" customWidth="1"/>
    <col min="2" max="2" width="84.7109375" customWidth="1"/>
    <col min="3" max="3" width="26.42578125" customWidth="1"/>
    <col min="4" max="4" width="25.140625" customWidth="1"/>
    <col min="5" max="5" width="23.42578125" customWidth="1"/>
    <col min="6" max="7" width="41.7109375" customWidth="1"/>
    <col min="8" max="19" width="19.42578125" customWidth="1"/>
    <col min="20" max="20" width="29.7109375" customWidth="1"/>
    <col min="21" max="22" width="19.42578125" customWidth="1"/>
    <col min="23" max="23" width="19.42578125" style="669" customWidth="1"/>
    <col min="24" max="29" width="19.42578125" customWidth="1"/>
    <col min="30" max="30" width="32" customWidth="1"/>
    <col min="31" max="31" width="34.85546875" customWidth="1"/>
    <col min="32" max="49" width="19.42578125" customWidth="1"/>
    <col min="50" max="50" width="18.85546875" customWidth="1"/>
    <col min="51" max="51" width="19.42578125" customWidth="1"/>
    <col min="52" max="52" width="29.140625" customWidth="1"/>
    <col min="53" max="53" width="19.42578125" customWidth="1"/>
    <col min="54" max="55" width="22" customWidth="1"/>
    <col min="56" max="60" width="19.42578125" customWidth="1"/>
    <col min="61" max="61" width="37.140625" customWidth="1"/>
    <col min="62" max="62" width="60.5703125" customWidth="1"/>
  </cols>
  <sheetData>
    <row r="1" spans="1:62" ht="33" x14ac:dyDescent="0.45">
      <c r="A1" s="6"/>
      <c r="B1" s="6"/>
      <c r="C1" s="7"/>
      <c r="D1" s="6"/>
      <c r="E1" s="6"/>
      <c r="F1" s="6"/>
      <c r="G1" s="6"/>
      <c r="H1" s="6"/>
      <c r="I1" s="6"/>
      <c r="J1" s="6"/>
      <c r="K1" s="13"/>
      <c r="L1" s="6"/>
      <c r="M1" s="6"/>
      <c r="N1" s="13"/>
      <c r="O1" s="13"/>
      <c r="P1" s="6"/>
      <c r="Q1" s="6"/>
      <c r="R1" s="6"/>
      <c r="S1" s="6"/>
      <c r="T1" s="6"/>
      <c r="U1" s="6"/>
      <c r="V1" s="6"/>
      <c r="W1" s="66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</row>
    <row r="2" spans="1:62" ht="33" x14ac:dyDescent="0.45">
      <c r="A2" s="6"/>
      <c r="B2" s="6"/>
      <c r="C2" s="8"/>
      <c r="D2" s="8"/>
      <c r="E2" s="8"/>
      <c r="F2" s="6"/>
      <c r="G2" s="6"/>
      <c r="H2" s="13"/>
      <c r="I2" s="13"/>
      <c r="J2" s="6"/>
      <c r="K2" s="90"/>
      <c r="L2" s="6"/>
      <c r="M2" s="6"/>
      <c r="N2" s="90"/>
      <c r="O2" s="90"/>
      <c r="P2" s="6"/>
      <c r="Q2" s="6"/>
      <c r="R2" s="6"/>
      <c r="S2" s="6"/>
      <c r="T2" s="6"/>
      <c r="U2" s="6"/>
      <c r="V2" s="6"/>
      <c r="W2" s="666"/>
      <c r="X2" s="6"/>
      <c r="Y2" s="1596"/>
      <c r="Z2" s="159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597" t="s">
        <v>866</v>
      </c>
      <c r="AU2" s="1597"/>
      <c r="AV2" s="1597"/>
      <c r="AW2" s="1597"/>
      <c r="AX2" s="1597"/>
      <c r="AY2" s="1597"/>
      <c r="AZ2" s="1597"/>
      <c r="BA2" s="1597"/>
      <c r="BB2" s="1597"/>
      <c r="BC2" s="1597"/>
      <c r="BD2" s="1597"/>
      <c r="BE2" s="6"/>
      <c r="BF2" s="6"/>
      <c r="BG2" s="9" t="s">
        <v>867</v>
      </c>
      <c r="BH2" s="9"/>
      <c r="BI2" s="10"/>
      <c r="BJ2" s="10"/>
    </row>
    <row r="3" spans="1:62" ht="35.25" x14ac:dyDescent="0.45">
      <c r="A3" s="6"/>
      <c r="B3" s="6"/>
      <c r="C3" s="8"/>
      <c r="D3" s="8"/>
      <c r="E3" s="8"/>
      <c r="F3" s="6"/>
      <c r="G3" s="6"/>
      <c r="H3" s="91"/>
      <c r="I3" s="91"/>
      <c r="J3" s="97"/>
      <c r="K3" s="98"/>
      <c r="L3" s="97"/>
      <c r="M3" s="97"/>
      <c r="N3" s="98"/>
      <c r="O3" s="98"/>
      <c r="P3" s="6"/>
      <c r="Q3" s="6"/>
      <c r="R3" s="6"/>
      <c r="S3" s="6"/>
      <c r="T3" s="6"/>
      <c r="U3" s="6"/>
      <c r="V3" s="6"/>
      <c r="W3" s="666"/>
      <c r="X3" s="6"/>
      <c r="Y3" s="11"/>
      <c r="Z3" s="11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1597" t="s">
        <v>868</v>
      </c>
      <c r="AU3" s="1597"/>
      <c r="AV3" s="1597"/>
      <c r="AW3" s="1597"/>
      <c r="AX3" s="1597"/>
      <c r="AY3" s="1597"/>
      <c r="AZ3" s="1597"/>
      <c r="BA3" s="1597"/>
      <c r="BB3" s="1597"/>
      <c r="BC3" s="1597"/>
      <c r="BD3" s="1597"/>
      <c r="BE3" s="6"/>
      <c r="BF3" s="6"/>
      <c r="BG3" s="10"/>
      <c r="BH3" s="10"/>
      <c r="BI3" s="10"/>
      <c r="BJ3" s="10"/>
    </row>
    <row r="4" spans="1:62" ht="35.25" x14ac:dyDescent="0.45">
      <c r="A4" s="12" t="s">
        <v>869</v>
      </c>
      <c r="B4" s="13"/>
      <c r="C4" s="13"/>
      <c r="D4" s="13"/>
      <c r="E4" s="13"/>
      <c r="F4" s="13"/>
      <c r="G4" s="13"/>
      <c r="H4" s="92"/>
      <c r="I4" s="92"/>
      <c r="J4" s="91"/>
      <c r="K4" s="98"/>
      <c r="L4" s="91"/>
      <c r="M4" s="91"/>
      <c r="N4" s="98"/>
      <c r="O4" s="98"/>
      <c r="P4" s="13"/>
      <c r="Q4" s="13"/>
      <c r="R4" s="13"/>
      <c r="S4" s="13"/>
      <c r="T4" s="13"/>
      <c r="U4" s="13"/>
      <c r="V4" s="13"/>
      <c r="W4" s="91"/>
      <c r="X4" s="13"/>
      <c r="Y4" s="13" t="s">
        <v>870</v>
      </c>
      <c r="Z4" s="13"/>
      <c r="AA4" s="13"/>
      <c r="AB4" s="13"/>
      <c r="AC4" s="13"/>
      <c r="AD4" s="14">
        <v>45215</v>
      </c>
      <c r="AE4" s="12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35.25" x14ac:dyDescent="0.25">
      <c r="A5" s="13"/>
      <c r="B5" s="13"/>
      <c r="C5" s="13"/>
      <c r="D5" s="13"/>
      <c r="E5" s="13"/>
      <c r="F5" s="13"/>
      <c r="G5" s="13"/>
      <c r="H5" s="98"/>
      <c r="I5" s="98"/>
      <c r="J5" s="91"/>
      <c r="K5" s="98"/>
      <c r="L5" s="91"/>
      <c r="M5" s="91"/>
      <c r="N5" s="98"/>
      <c r="O5" s="98"/>
      <c r="P5" s="13"/>
      <c r="Q5" s="13"/>
      <c r="R5" s="13"/>
      <c r="S5" s="13"/>
      <c r="T5" s="13"/>
      <c r="U5" s="13"/>
      <c r="V5" s="13"/>
      <c r="W5" s="91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9.5" customHeight="1" thickBot="1" x14ac:dyDescent="0.5">
      <c r="A6" s="1598"/>
      <c r="B6" s="1598"/>
      <c r="C6" s="1598"/>
      <c r="D6" s="1598"/>
      <c r="E6" s="1598"/>
      <c r="F6" s="1598"/>
      <c r="G6" s="1598"/>
      <c r="H6" s="1599"/>
      <c r="I6" s="1599"/>
      <c r="J6" s="1600"/>
      <c r="K6" s="1599"/>
      <c r="L6" s="1600"/>
      <c r="M6" s="1600"/>
      <c r="N6" s="1599"/>
      <c r="O6" s="1599"/>
      <c r="P6" s="1600"/>
      <c r="Q6" s="1600"/>
      <c r="R6" s="1600"/>
      <c r="S6" s="1600"/>
      <c r="T6" s="1600"/>
      <c r="U6" s="1600"/>
      <c r="V6" s="1600"/>
      <c r="W6" s="1600"/>
      <c r="X6" s="1600"/>
      <c r="Y6" s="1600"/>
      <c r="Z6" s="1600"/>
      <c r="AA6" s="1600"/>
      <c r="AB6" s="1600"/>
      <c r="AC6" s="1600"/>
      <c r="AD6" s="1600"/>
      <c r="AE6" s="1600"/>
      <c r="AF6" s="1600"/>
      <c r="AG6" s="1600"/>
      <c r="AH6" s="1600"/>
      <c r="AI6" s="1600"/>
      <c r="AJ6" s="1600"/>
      <c r="AK6" s="1600"/>
      <c r="AL6" s="1600"/>
      <c r="AM6" s="1600"/>
      <c r="AN6" s="1600"/>
      <c r="AO6" s="1600"/>
      <c r="AP6" s="1600"/>
      <c r="AQ6" s="1600"/>
      <c r="AR6" s="1600"/>
      <c r="AS6" s="1600"/>
      <c r="AT6" s="1600"/>
      <c r="AU6" s="1600"/>
      <c r="AV6" s="1600"/>
      <c r="AW6" s="1600"/>
      <c r="AX6" s="1598"/>
      <c r="AY6" s="1598"/>
      <c r="AZ6" s="1598"/>
      <c r="BA6" s="1598"/>
      <c r="BB6" s="1598"/>
      <c r="BC6" s="1598"/>
      <c r="BD6" s="1598"/>
      <c r="BE6" s="1598"/>
      <c r="BF6" s="1598"/>
      <c r="BG6" s="1598"/>
      <c r="BH6" s="1598"/>
      <c r="BI6" s="1598"/>
      <c r="BJ6" s="15"/>
    </row>
    <row r="7" spans="1:62" ht="36" customHeight="1" thickBot="1" x14ac:dyDescent="0.3">
      <c r="A7" s="1601" t="s">
        <v>0</v>
      </c>
      <c r="B7" s="1604" t="s">
        <v>871</v>
      </c>
      <c r="C7" s="1588" t="s">
        <v>872</v>
      </c>
      <c r="D7" s="1589"/>
      <c r="E7" s="1589"/>
      <c r="F7" s="1589"/>
      <c r="G7" s="1589"/>
      <c r="H7" s="1588" t="s">
        <v>873</v>
      </c>
      <c r="I7" s="1589"/>
      <c r="J7" s="1589"/>
      <c r="K7" s="1589"/>
      <c r="L7" s="1589"/>
      <c r="M7" s="1589"/>
      <c r="N7" s="1589"/>
      <c r="O7" s="1589"/>
      <c r="P7" s="1589"/>
      <c r="Q7" s="1589"/>
      <c r="R7" s="1589"/>
      <c r="S7" s="1589"/>
      <c r="T7" s="1589"/>
      <c r="U7" s="1588" t="s">
        <v>874</v>
      </c>
      <c r="V7" s="1589"/>
      <c r="W7" s="1589"/>
      <c r="X7" s="1589"/>
      <c r="Y7" s="1589"/>
      <c r="Z7" s="1589"/>
      <c r="AA7" s="1589"/>
      <c r="AB7" s="1589"/>
      <c r="AC7" s="1589"/>
      <c r="AD7" s="1589"/>
      <c r="AE7" s="1589"/>
      <c r="AF7" s="1589"/>
      <c r="AG7" s="1588" t="s">
        <v>875</v>
      </c>
      <c r="AH7" s="1589"/>
      <c r="AI7" s="1589"/>
      <c r="AJ7" s="1589"/>
      <c r="AK7" s="1589"/>
      <c r="AL7" s="1589"/>
      <c r="AM7" s="1589"/>
      <c r="AN7" s="1589"/>
      <c r="AO7" s="1589"/>
      <c r="AP7" s="1589"/>
      <c r="AQ7" s="1589"/>
      <c r="AR7" s="1589"/>
      <c r="AS7" s="1589"/>
      <c r="AT7" s="1589"/>
      <c r="AU7" s="1589"/>
      <c r="AV7" s="1589"/>
      <c r="AW7" s="1589"/>
      <c r="AX7" s="1589"/>
      <c r="AY7" s="1589"/>
      <c r="AZ7" s="1589"/>
      <c r="BA7" s="1589"/>
      <c r="BB7" s="1589"/>
      <c r="BC7" s="1589"/>
      <c r="BD7" s="1589"/>
      <c r="BE7" s="1589"/>
      <c r="BF7" s="1589"/>
      <c r="BG7" s="1589"/>
      <c r="BH7" s="1589"/>
      <c r="BI7" s="1589"/>
      <c r="BJ7" s="1590"/>
    </row>
    <row r="8" spans="1:62" ht="36" customHeight="1" thickBot="1" x14ac:dyDescent="0.3">
      <c r="A8" s="1602"/>
      <c r="B8" s="1605"/>
      <c r="C8" s="1576" t="s">
        <v>876</v>
      </c>
      <c r="D8" s="1567" t="s">
        <v>877</v>
      </c>
      <c r="E8" s="1567" t="s">
        <v>878</v>
      </c>
      <c r="F8" s="1570" t="s">
        <v>879</v>
      </c>
      <c r="G8" s="1573" t="s">
        <v>880</v>
      </c>
      <c r="H8" s="1576" t="s">
        <v>876</v>
      </c>
      <c r="I8" s="1570" t="s">
        <v>877</v>
      </c>
      <c r="J8" s="1588" t="s">
        <v>878</v>
      </c>
      <c r="K8" s="1594"/>
      <c r="L8" s="1590"/>
      <c r="M8" s="1588" t="s">
        <v>879</v>
      </c>
      <c r="N8" s="1594"/>
      <c r="O8" s="1595"/>
      <c r="P8" s="1588" t="s">
        <v>881</v>
      </c>
      <c r="Q8" s="1589"/>
      <c r="R8" s="1590"/>
      <c r="S8" s="1573" t="s">
        <v>880</v>
      </c>
      <c r="T8" s="1585" t="s">
        <v>882</v>
      </c>
      <c r="U8" s="1576" t="s">
        <v>876</v>
      </c>
      <c r="V8" s="1570" t="s">
        <v>877</v>
      </c>
      <c r="W8" s="1588" t="s">
        <v>878</v>
      </c>
      <c r="X8" s="1589"/>
      <c r="Y8" s="1590"/>
      <c r="Z8" s="1588" t="s">
        <v>879</v>
      </c>
      <c r="AA8" s="1589"/>
      <c r="AB8" s="1590"/>
      <c r="AC8" s="1588" t="s">
        <v>881</v>
      </c>
      <c r="AD8" s="1589"/>
      <c r="AE8" s="1590"/>
      <c r="AF8" s="1573" t="s">
        <v>880</v>
      </c>
      <c r="AG8" s="1585" t="s">
        <v>472</v>
      </c>
      <c r="AH8" s="1588" t="s">
        <v>883</v>
      </c>
      <c r="AI8" s="1589"/>
      <c r="AJ8" s="1590"/>
      <c r="AK8" s="1588" t="s">
        <v>884</v>
      </c>
      <c r="AL8" s="1589"/>
      <c r="AM8" s="1589"/>
      <c r="AN8" s="1589"/>
      <c r="AO8" s="1589"/>
      <c r="AP8" s="1589"/>
      <c r="AQ8" s="1589"/>
      <c r="AR8" s="1589"/>
      <c r="AS8" s="1589"/>
      <c r="AT8" s="1589"/>
      <c r="AU8" s="1589"/>
      <c r="AV8" s="1589"/>
      <c r="AW8" s="1589"/>
      <c r="AX8" s="1589"/>
      <c r="AY8" s="1589"/>
      <c r="AZ8" s="1589"/>
      <c r="BA8" s="1589"/>
      <c r="BB8" s="1589"/>
      <c r="BC8" s="1589"/>
      <c r="BD8" s="1590"/>
      <c r="BE8" s="1591" t="s">
        <v>178</v>
      </c>
      <c r="BF8" s="1567" t="s">
        <v>885</v>
      </c>
      <c r="BG8" s="1570" t="s">
        <v>886</v>
      </c>
      <c r="BH8" s="1573" t="s">
        <v>887</v>
      </c>
      <c r="BI8" s="1573" t="s">
        <v>74</v>
      </c>
      <c r="BJ8" s="1573" t="s">
        <v>880</v>
      </c>
    </row>
    <row r="9" spans="1:62" ht="35.25" customHeight="1" x14ac:dyDescent="0.25">
      <c r="A9" s="1602"/>
      <c r="B9" s="1605"/>
      <c r="C9" s="1577"/>
      <c r="D9" s="1568"/>
      <c r="E9" s="1568"/>
      <c r="F9" s="1571"/>
      <c r="G9" s="1574"/>
      <c r="H9" s="1577"/>
      <c r="I9" s="1571"/>
      <c r="J9" s="1573" t="s">
        <v>888</v>
      </c>
      <c r="K9" s="1583" t="s">
        <v>889</v>
      </c>
      <c r="L9" s="1584"/>
      <c r="M9" s="1573" t="s">
        <v>888</v>
      </c>
      <c r="N9" s="1583" t="s">
        <v>889</v>
      </c>
      <c r="O9" s="1584"/>
      <c r="P9" s="1573" t="s">
        <v>888</v>
      </c>
      <c r="Q9" s="1583" t="s">
        <v>889</v>
      </c>
      <c r="R9" s="1584"/>
      <c r="S9" s="1574"/>
      <c r="T9" s="1586"/>
      <c r="U9" s="1577"/>
      <c r="V9" s="1571"/>
      <c r="W9" s="1581" t="s">
        <v>888</v>
      </c>
      <c r="X9" s="1583" t="s">
        <v>889</v>
      </c>
      <c r="Y9" s="1584"/>
      <c r="Z9" s="1573" t="s">
        <v>888</v>
      </c>
      <c r="AA9" s="1583" t="s">
        <v>889</v>
      </c>
      <c r="AB9" s="1584"/>
      <c r="AC9" s="1573" t="s">
        <v>888</v>
      </c>
      <c r="AD9" s="1583" t="s">
        <v>889</v>
      </c>
      <c r="AE9" s="1584"/>
      <c r="AF9" s="1574"/>
      <c r="AG9" s="1586"/>
      <c r="AH9" s="1576" t="s">
        <v>890</v>
      </c>
      <c r="AI9" s="1567" t="s">
        <v>891</v>
      </c>
      <c r="AJ9" s="1570" t="s">
        <v>892</v>
      </c>
      <c r="AK9" s="1573" t="s">
        <v>880</v>
      </c>
      <c r="AL9" s="1576" t="s">
        <v>469</v>
      </c>
      <c r="AM9" s="1567" t="s">
        <v>893</v>
      </c>
      <c r="AN9" s="1567" t="s">
        <v>894</v>
      </c>
      <c r="AO9" s="1567" t="s">
        <v>895</v>
      </c>
      <c r="AP9" s="1567" t="s">
        <v>896</v>
      </c>
      <c r="AQ9" s="1567" t="s">
        <v>897</v>
      </c>
      <c r="AR9" s="1567" t="s">
        <v>898</v>
      </c>
      <c r="AS9" s="1567" t="s">
        <v>899</v>
      </c>
      <c r="AT9" s="1567" t="s">
        <v>900</v>
      </c>
      <c r="AU9" s="1567" t="s">
        <v>901</v>
      </c>
      <c r="AV9" s="1567" t="s">
        <v>902</v>
      </c>
      <c r="AW9" s="1567" t="s">
        <v>903</v>
      </c>
      <c r="AX9" s="1567" t="s">
        <v>904</v>
      </c>
      <c r="AY9" s="1567" t="s">
        <v>905</v>
      </c>
      <c r="AZ9" s="1567" t="s">
        <v>1421</v>
      </c>
      <c r="BA9" s="1567" t="s">
        <v>295</v>
      </c>
      <c r="BB9" s="1567" t="s">
        <v>906</v>
      </c>
      <c r="BC9" s="1570" t="s">
        <v>1463</v>
      </c>
      <c r="BD9" s="1570" t="s">
        <v>1464</v>
      </c>
      <c r="BE9" s="1592"/>
      <c r="BF9" s="1568"/>
      <c r="BG9" s="1571"/>
      <c r="BH9" s="1574"/>
      <c r="BI9" s="1574"/>
      <c r="BJ9" s="1574"/>
    </row>
    <row r="10" spans="1:62" ht="15" customHeight="1" x14ac:dyDescent="0.25">
      <c r="A10" s="1602"/>
      <c r="B10" s="1605"/>
      <c r="C10" s="1577"/>
      <c r="D10" s="1568"/>
      <c r="E10" s="1568"/>
      <c r="F10" s="1571"/>
      <c r="G10" s="1574"/>
      <c r="H10" s="1577"/>
      <c r="I10" s="1571"/>
      <c r="J10" s="1574"/>
      <c r="K10" s="1579" t="s">
        <v>908</v>
      </c>
      <c r="L10" s="1580" t="s">
        <v>909</v>
      </c>
      <c r="M10" s="1574"/>
      <c r="N10" s="1579" t="s">
        <v>908</v>
      </c>
      <c r="O10" s="1580" t="s">
        <v>909</v>
      </c>
      <c r="P10" s="1574"/>
      <c r="Q10" s="1579" t="s">
        <v>908</v>
      </c>
      <c r="R10" s="1580" t="s">
        <v>909</v>
      </c>
      <c r="S10" s="1574"/>
      <c r="T10" s="1586"/>
      <c r="U10" s="1577"/>
      <c r="V10" s="1571"/>
      <c r="W10" s="1582"/>
      <c r="X10" s="1579" t="s">
        <v>908</v>
      </c>
      <c r="Y10" s="1580" t="s">
        <v>909</v>
      </c>
      <c r="Z10" s="1574"/>
      <c r="AA10" s="1579" t="s">
        <v>908</v>
      </c>
      <c r="AB10" s="1580" t="s">
        <v>909</v>
      </c>
      <c r="AC10" s="1574"/>
      <c r="AD10" s="1579" t="s">
        <v>908</v>
      </c>
      <c r="AE10" s="1580" t="s">
        <v>909</v>
      </c>
      <c r="AF10" s="1574"/>
      <c r="AG10" s="1586"/>
      <c r="AH10" s="1577"/>
      <c r="AI10" s="1568"/>
      <c r="AJ10" s="1571"/>
      <c r="AK10" s="1574"/>
      <c r="AL10" s="1577"/>
      <c r="AM10" s="1568"/>
      <c r="AN10" s="1568"/>
      <c r="AO10" s="1568"/>
      <c r="AP10" s="1568"/>
      <c r="AQ10" s="1568"/>
      <c r="AR10" s="1568"/>
      <c r="AS10" s="1568"/>
      <c r="AT10" s="1568"/>
      <c r="AU10" s="1568"/>
      <c r="AV10" s="1568"/>
      <c r="AW10" s="1568"/>
      <c r="AX10" s="1568"/>
      <c r="AY10" s="1568"/>
      <c r="AZ10" s="1568"/>
      <c r="BA10" s="1568"/>
      <c r="BB10" s="1568"/>
      <c r="BC10" s="1571"/>
      <c r="BD10" s="1571"/>
      <c r="BE10" s="1592"/>
      <c r="BF10" s="1568"/>
      <c r="BG10" s="1571"/>
      <c r="BH10" s="1574"/>
      <c r="BI10" s="1574"/>
      <c r="BJ10" s="1574"/>
    </row>
    <row r="11" spans="1:62" ht="132" customHeight="1" thickBot="1" x14ac:dyDescent="0.3">
      <c r="A11" s="1603"/>
      <c r="B11" s="1606"/>
      <c r="C11" s="1578"/>
      <c r="D11" s="1569"/>
      <c r="E11" s="1569"/>
      <c r="F11" s="1572"/>
      <c r="G11" s="1575"/>
      <c r="H11" s="1578"/>
      <c r="I11" s="1572"/>
      <c r="J11" s="1575"/>
      <c r="K11" s="1578"/>
      <c r="L11" s="1572"/>
      <c r="M11" s="1575"/>
      <c r="N11" s="1578"/>
      <c r="O11" s="1572"/>
      <c r="P11" s="1575"/>
      <c r="Q11" s="1578"/>
      <c r="R11" s="1572"/>
      <c r="S11" s="1575"/>
      <c r="T11" s="1587"/>
      <c r="U11" s="1578"/>
      <c r="V11" s="1572"/>
      <c r="W11" s="1582"/>
      <c r="X11" s="1578"/>
      <c r="Y11" s="1572"/>
      <c r="Z11" s="1575"/>
      <c r="AA11" s="1578"/>
      <c r="AB11" s="1572"/>
      <c r="AC11" s="1575"/>
      <c r="AD11" s="1578"/>
      <c r="AE11" s="1572"/>
      <c r="AF11" s="1575"/>
      <c r="AG11" s="1587"/>
      <c r="AH11" s="1578"/>
      <c r="AI11" s="1569"/>
      <c r="AJ11" s="1572"/>
      <c r="AK11" s="1575"/>
      <c r="AL11" s="1578"/>
      <c r="AM11" s="1569"/>
      <c r="AN11" s="1569"/>
      <c r="AO11" s="1569"/>
      <c r="AP11" s="1569"/>
      <c r="AQ11" s="1569"/>
      <c r="AR11" s="1569"/>
      <c r="AS11" s="1569"/>
      <c r="AT11" s="1569"/>
      <c r="AU11" s="1569"/>
      <c r="AV11" s="1569"/>
      <c r="AW11" s="1569"/>
      <c r="AX11" s="1569"/>
      <c r="AY11" s="1569"/>
      <c r="AZ11" s="1569"/>
      <c r="BA11" s="1569"/>
      <c r="BB11" s="1569"/>
      <c r="BC11" s="1572"/>
      <c r="BD11" s="1572"/>
      <c r="BE11" s="1593"/>
      <c r="BF11" s="1569"/>
      <c r="BG11" s="1572"/>
      <c r="BH11" s="1575"/>
      <c r="BI11" s="1575"/>
      <c r="BJ11" s="1575"/>
    </row>
    <row r="12" spans="1:62" ht="173.25" customHeight="1" thickBot="1" x14ac:dyDescent="0.3">
      <c r="A12" s="16">
        <v>1</v>
      </c>
      <c r="B12" s="17" t="s">
        <v>63</v>
      </c>
      <c r="C12" s="18">
        <f>COUNTIFS(ШТАТ!AM:AM,"Управление",ШТАТ!AK:AK,1)</f>
        <v>28</v>
      </c>
      <c r="D12" s="18">
        <f>COUNTIFS(ШТАТ!AM:AM,"Управление",ШТАТ!AK:AK,2)</f>
        <v>2</v>
      </c>
      <c r="E12" s="18">
        <f>COUNTIFS(ШТАТ!AM:AM,"Управление",ШТАТ!AK:AK,3)</f>
        <v>1</v>
      </c>
      <c r="F12" s="18">
        <f>COUNTIFS(ШТАТ!AM:AM,"Управление",ШТАТ!AK:AK,4)</f>
        <v>5</v>
      </c>
      <c r="G12" s="19">
        <f t="shared" ref="G12:G22" si="0">SUM(C12:F12)</f>
        <v>36</v>
      </c>
      <c r="H12" s="18">
        <f>COUNTIFS(ШТАТ!AM:AM,"Управление",ШТАТ!AJ:AJ,"о")</f>
        <v>27</v>
      </c>
      <c r="I12" s="18">
        <f>COUNTIFS(ШТАТ!AM:AM,"Управление",ШТАТ!AJ:AJ,"п")</f>
        <v>2</v>
      </c>
      <c r="J12" s="19">
        <f t="shared" ref="J12:J21" si="1">SUM(K12:L12)</f>
        <v>0</v>
      </c>
      <c r="K12" s="20">
        <f>COUNTIFS(ШТАТ!AM:AM,"Управление",ШТАТ!AK:AK,3,ШТАТ!AJ:AJ,"к/с")</f>
        <v>0</v>
      </c>
      <c r="L12" s="21">
        <v>0</v>
      </c>
      <c r="M12" s="19">
        <f>N12+O12</f>
        <v>3</v>
      </c>
      <c r="N12" s="22">
        <f>COUNTIFS(ШТАТ!AM:AM,"Управление",ШТАТ!AK:AK,4,ШТАТ!AJ:AJ,"к/с")</f>
        <v>1</v>
      </c>
      <c r="O12" s="22">
        <f>COUNTIFS(ШТАТ!AM:AM,"Управление",ШТАТ!AK:AK,4,ШТАТ!AJ:AJ,"с/с")</f>
        <v>2</v>
      </c>
      <c r="P12" s="19">
        <f>SUM(Q12:R12)</f>
        <v>3</v>
      </c>
      <c r="Q12" s="22">
        <f t="shared" ref="Q12:Q22" si="2">K12+N12</f>
        <v>1</v>
      </c>
      <c r="R12" s="21">
        <f t="shared" ref="R12:R22" si="3">L12+O12</f>
        <v>2</v>
      </c>
      <c r="S12" s="19">
        <f t="shared" ref="S12:S22" si="4">SUM(H12:J12,M12)</f>
        <v>32</v>
      </c>
      <c r="T12" s="23">
        <f t="shared" ref="T12:T43" si="5">S12/G12</f>
        <v>0.88888888888888884</v>
      </c>
      <c r="U12" s="102">
        <f>COUNTIFS(ШТАТ!U:U,"",ШТАТ!AM:AM,"Управление",ШТАТ!AJ:AJ,"о")</f>
        <v>7</v>
      </c>
      <c r="V12" s="102">
        <f>COUNTIFS(ШТАТ!U:U,"",ШТАТ!AM:AM,"Управление",ШТАТ!AJ:AJ,"п")</f>
        <v>1</v>
      </c>
      <c r="W12" s="103">
        <f>SUM(X12:Y12)</f>
        <v>0</v>
      </c>
      <c r="X12" s="102">
        <f>COUNTIFS(ШТАТ!U:U,"",ШТАТ!AM:AM,"Управление",ШТАТ!AK:AK,3,ШТАТ!AJ:AJ,"к/с")</f>
        <v>0</v>
      </c>
      <c r="Y12" s="102">
        <f>COUNTIFS(ШТАТ!U:U,"",ШТАТ!AM:AM,"Управление",ШТАТ!AK:AK,3,ШТАТ!AJ:AJ,"с/с")</f>
        <v>0</v>
      </c>
      <c r="Z12" s="103">
        <f>SUM(AA12:AB12)</f>
        <v>3</v>
      </c>
      <c r="AA12" s="104">
        <f>COUNTIFS(ШТАТ!U:U,"",ШТАТ!AM:AM,"Управление",ШТАТ!AK:AK,4,ШТАТ!AJ:AJ,"к/с")</f>
        <v>1</v>
      </c>
      <c r="AB12" s="102">
        <f>COUNTIFS(ШТАТ!U:U,"",ШТАТ!AM:AM,"Управление",ШТАТ!AK:AK,4,ШТАТ!AJ:AJ,"с/с")</f>
        <v>2</v>
      </c>
      <c r="AC12" s="25">
        <f>SUM(AD12:AE12)</f>
        <v>3</v>
      </c>
      <c r="AD12" s="21">
        <f>X12+AA12</f>
        <v>1</v>
      </c>
      <c r="AE12" s="22">
        <f t="shared" ref="AE12:AE21" si="6">SUM(Y12,AB12)</f>
        <v>2</v>
      </c>
      <c r="AF12" s="19">
        <f>SUM(U12,V12,AC12)</f>
        <v>11</v>
      </c>
      <c r="AG12" s="24"/>
      <c r="AH12" s="24">
        <f>COUNTIFS(ШТАТ!$AL:$AL,$B12,ШТАТ!$U:$U,"МП")</f>
        <v>0</v>
      </c>
      <c r="AI12" s="24">
        <f>COUNTIFS(ШТАТ!AM:AM,"Управление",ШТАТ!U:U,"осв-ие")</f>
        <v>0</v>
      </c>
      <c r="AJ12" s="24">
        <f>COUNTIFS(ШТАТ!AM:AM,"Управление",ШТАТ!U:U,"госп")</f>
        <v>0</v>
      </c>
      <c r="AK12" s="27">
        <f>SUM(AL12:BD12)</f>
        <v>21</v>
      </c>
      <c r="AL12" s="24">
        <f>COUNTIFS(ШТАТ!AM:AM,"Управление",ШТАТ!W:W,"Барсуковка")</f>
        <v>0</v>
      </c>
      <c r="AM12" s="24">
        <f>COUNTIFS(ШТАТ!$AL:$AL,$B12,ШТАТ!$W:$W,"Павенково")</f>
        <v>0</v>
      </c>
      <c r="AN12" s="18"/>
      <c r="AO12" s="24">
        <f>COUNTIFS(ШТАТ!AM:AM,"Управление",ШТАТ!W:W,"полигон Чехово")</f>
        <v>0</v>
      </c>
      <c r="AP12" s="24">
        <f>COUNTIFS(ШТАТ!AM:AM,"Управление",ШТАТ!X:X,"Такелажные работы")</f>
        <v>0</v>
      </c>
      <c r="AQ12" s="18">
        <f>COUNTIFS(ШТАТ!AM:AM,"Управление",ШТАТ!X:X,"Усиление объектов")</f>
        <v>0</v>
      </c>
      <c r="AR12" s="18">
        <f>COUNTIFS(ШТАТ!AM:AM,"Управление",ШТАТ!U:U,"полигон")-SUM(AL12:AO12)</f>
        <v>0</v>
      </c>
      <c r="AS12" s="24"/>
      <c r="AT12" s="24">
        <f>COUNTIFS(ШТАТ!AM:AM,"Управление",ШТАТ!X:X,"САР")</f>
        <v>0</v>
      </c>
      <c r="AU12" s="24">
        <f>COUNTIFS(ШТАТ!AM:AM,"Управление",ШТАТ!X:X,"Выполнение специальных задач",ШТАТ!P:P,"")</f>
        <v>2</v>
      </c>
      <c r="AV12" s="24">
        <f>COUNTIFS(ШТАТ!AM:AM,"Управление",ШТАТ!X:X,"Переподготовка")</f>
        <v>1</v>
      </c>
      <c r="AW12" s="24">
        <f>COUNTIFS(ШТАТ!AM:AM,"Управление",ШТАТ!X:X,"Усиление объектов")</f>
        <v>0</v>
      </c>
      <c r="AX12" s="24">
        <v>0</v>
      </c>
      <c r="AY12" s="24"/>
      <c r="AZ12" s="24">
        <f>COUNTIFS(ШТАТ!AM:AM,"Управление",ШТАТ!W:W,"г. Белгород")</f>
        <v>15</v>
      </c>
      <c r="BA12" s="24">
        <f>COUNTIFS(ШТАТ!AM:AM,"Управление",ШТАТ!W:W,"в/ч 38838")</f>
        <v>0</v>
      </c>
      <c r="BB12" s="24">
        <f>COUNTIFS(ШТАТ!AM:AM,"Управление",ШТАТ!W:W,"в/ч 90151")</f>
        <v>0</v>
      </c>
      <c r="BC12" s="24"/>
      <c r="BD12" s="26">
        <f>COUNTIFS(ШТАТ!$AL:$AL,$B12,ШТАТ!$U:$U,"ком-ка")-SUM(AS12:BC12)-AP12-AQ12</f>
        <v>3</v>
      </c>
      <c r="BE12" s="22">
        <f>COUNTIFS(ШТАТ!AM:AM,"Управление",ШТАТ!U:U,"отпуск")</f>
        <v>0</v>
      </c>
      <c r="BF12" s="22"/>
      <c r="BG12" s="22">
        <f>COUNTIFS(ШТАТ!AM:AM,B12,ШТАТ!U:U,"СОЧ")</f>
        <v>0</v>
      </c>
      <c r="BH12" s="28">
        <f t="shared" ref="BH12:BH22" si="7">SUM(AG12:AJ12)+SUM(BE12:BG12)+AK12</f>
        <v>21</v>
      </c>
      <c r="BI12" s="29" t="e">
        <f>#REF!-#REF!</f>
        <v>#REF!</v>
      </c>
      <c r="BJ12" s="19" t="e">
        <f t="shared" ref="BJ12:BJ20" si="8">SUM(BH12:BI12)</f>
        <v>#REF!</v>
      </c>
    </row>
    <row r="13" spans="1:62" ht="177" customHeight="1" thickBot="1" x14ac:dyDescent="0.3">
      <c r="A13" s="30"/>
      <c r="B13" s="31" t="s">
        <v>266</v>
      </c>
      <c r="C13" s="18">
        <f>COUNTIFS(ШТАТ!AM:AM,"1 МСБ",ШТАТ!AL:AL,"Упр. 1 МСБ",ШТАТ!AK:AK,1)</f>
        <v>4</v>
      </c>
      <c r="D13" s="18">
        <f>COUNTIFS(ШТАТ!AM:AM,"1 МСБ",ШТАТ!AL:AL,"Упр. 1 МСБ",ШТАТ!AK:AK,2)</f>
        <v>0</v>
      </c>
      <c r="E13" s="18">
        <f>COUNTIFS(ШТАТ!AM:AM,"1 МСБ",ШТАТ!AL:AL,"Упр. 1 МСБ",ШТАТ!AK:AK,3)</f>
        <v>1</v>
      </c>
      <c r="F13" s="18">
        <f>COUNTIFS(ШТАТ!AM:AM,"1 МСБ",ШТАТ!AL:AL,"Упр. 1 МСБ",ШТАТ!AK:AK,4)</f>
        <v>0</v>
      </c>
      <c r="G13" s="19">
        <f t="shared" si="0"/>
        <v>5</v>
      </c>
      <c r="H13" s="18">
        <f>COUNTIFS(ШТАТ!AM:AM,"1 МСБ",ШТАТ!AL:AL,"Упр. 1 МСБ",ШТАТ!AJ:AJ,"о")</f>
        <v>4</v>
      </c>
      <c r="I13" s="18">
        <f>COUNTIFS(ШТАТ!AM:AM,"1 МСБ",ШТАТ!AL:AL,"Упр. 1 МСБ",ШТАТ!AJ:AJ,"п")</f>
        <v>0</v>
      </c>
      <c r="J13" s="19">
        <f t="shared" si="1"/>
        <v>0</v>
      </c>
      <c r="K13" s="20">
        <f>COUNTIFS(ШТАТ!AM:AM,"1 МСБ",ШТАТ!AL:AL,"Упр. 1 МСБ",ШТАТ!AK:AK,3,ШТАТ!AJ:AJ,"к/с")</f>
        <v>0</v>
      </c>
      <c r="L13" s="21">
        <v>0</v>
      </c>
      <c r="M13" s="19">
        <f t="shared" ref="M13:M19" si="9">N13+O13</f>
        <v>0</v>
      </c>
      <c r="N13" s="22">
        <f>COUNTIFS(ШТАТ!AM:AM,"1 МСБ",ШТАТ!AL:AL,"Упр. 1 МСБ",ШТАТ!AK:AK,4,ШТАТ!AJ:AJ,"к/с")</f>
        <v>0</v>
      </c>
      <c r="O13" s="22">
        <f>COUNTIFS(ШТАТ!AM:AM,"1 МСБ",ШТАТ!AL:AL,"Упр. 1 МСБ",ШТАТ!AK:AK,4,ШТАТ!AJ:AJ,"с/с")</f>
        <v>0</v>
      </c>
      <c r="P13" s="19">
        <f t="shared" ref="P13:P19" si="10">SUM(Q13:R13)</f>
        <v>0</v>
      </c>
      <c r="Q13" s="22">
        <f t="shared" si="2"/>
        <v>0</v>
      </c>
      <c r="R13" s="21">
        <f t="shared" si="3"/>
        <v>0</v>
      </c>
      <c r="S13" s="19">
        <f t="shared" si="4"/>
        <v>4</v>
      </c>
      <c r="T13" s="23">
        <f t="shared" si="5"/>
        <v>0.8</v>
      </c>
      <c r="U13" s="24">
        <f>COUNTIFS(ШТАТ!U:U,"",ШТАТ!AM:AM,"1 МСБ",ШТАТ!AL:AL,"Упр. 1 МСБ",ШТАТ!AJ:AJ,"о")</f>
        <v>0</v>
      </c>
      <c r="V13" s="24">
        <f>COUNTIFS(ШТАТ!U:U,"",ШТАТ!AM:AM,"1 МСБ",ШТАТ!AL:AL,"Упр. 1 МСБ",ШТАТ!AJ:AJ,"п")</f>
        <v>0</v>
      </c>
      <c r="W13" s="103">
        <f t="shared" ref="W13:W22" si="11">SUM(X13:Y13)</f>
        <v>0</v>
      </c>
      <c r="X13" s="24">
        <f>COUNTIFS(ШТАТ!U:U,"",ШТАТ!AM:AM,"1 МСБ",ШТАТ!AL:AL,"Упр. 1 МСБ",ШТАТ!AK:AK,3,ШТАТ!AJ:AJ,"к/с")</f>
        <v>0</v>
      </c>
      <c r="Y13" s="24">
        <f>COUNTIFS(ШТАТ!U:U,"",ШТАТ!AM:AM,"1 МСБ",ШТАТ!AL:AL,B13,ШТАТ!AK:AK,3,ШТАТ!AJ:AJ,"с/с")</f>
        <v>0</v>
      </c>
      <c r="Z13" s="25">
        <f t="shared" ref="Z13:Z22" si="12">SUM(AA13:AB13)</f>
        <v>0</v>
      </c>
      <c r="AA13" s="26">
        <f>COUNTIFS(ШТАТ!U:U,"",ШТАТ!AM:AM,"1 МСБ",ШТАТ!AL:AL,"Упр. 1 МСБ",ШТАТ!AK:AK,4,ШТАТ!AJ:AJ,"к/с")</f>
        <v>0</v>
      </c>
      <c r="AB13" s="24">
        <f>COUNTIFS(ШТАТ!U:U,"",ШТАТ!AM:AM,"1 МСБ",ШТАТ!AL:AL,"Упр. 1 МСБ",ШТАТ!AK:AK,4,ШТАТ!AJ:AJ,"с/с")</f>
        <v>0</v>
      </c>
      <c r="AC13" s="25">
        <f t="shared" ref="AC13:AC21" si="13">SUM(AD13:AE13)</f>
        <v>0</v>
      </c>
      <c r="AD13" s="21">
        <f>X13+AA13</f>
        <v>0</v>
      </c>
      <c r="AE13" s="22">
        <f t="shared" si="6"/>
        <v>0</v>
      </c>
      <c r="AF13" s="19">
        <f t="shared" ref="AF13:AF22" si="14">SUM(U13,V13,AC13)</f>
        <v>0</v>
      </c>
      <c r="AG13" s="24"/>
      <c r="AH13" s="24">
        <f>COUNTIFS(ШТАТ!$AL:$AL,$B13,ШТАТ!$U:$U,"МП")</f>
        <v>0</v>
      </c>
      <c r="AI13" s="24">
        <f>COUNTIFS(ШТАТ!AM:AM,"1 МСБ",ШТАТ!AL:AL,"Упр. 1 МСБ",ШТАТ!U:U,"осв-ие")</f>
        <v>0</v>
      </c>
      <c r="AJ13" s="24">
        <f>COUNTIFS(ШТАТ!AM:AM,"1 МСБ",ШТАТ!AL:AL,"Упр. 1 МСБ",ШТАТ!U:U,"госп")</f>
        <v>0</v>
      </c>
      <c r="AK13" s="27">
        <f t="shared" ref="AK13:AK22" si="15">SUM(AL13:BD13)</f>
        <v>4</v>
      </c>
      <c r="AL13" s="24">
        <f>COUNTIFS(ШТАТ!AM:AM,"1 МСБ",ШТАТ!AL:AL,"Упр. 1 МСБ",ШТАТ!W:W,"Барсуковка")</f>
        <v>0</v>
      </c>
      <c r="AM13" s="24">
        <f>COUNTIFS(ШТАТ!$AL:$AL,$B13,ШТАТ!$W:$W,"Павенково")</f>
        <v>0</v>
      </c>
      <c r="AN13" s="18"/>
      <c r="AO13" s="24">
        <f>COUNTIFS(ШТАТ!AM:AM,"1 МСБ",ШТАТ!AL:AL,"Упр. 1 МСБ",ШТАТ!W:W,"полигон Чехово")</f>
        <v>0</v>
      </c>
      <c r="AP13" s="24">
        <f>COUNTIFS(ШТАТ!AM:AM,"1 МСБ",ШТАТ!AL:AL,"Упр. 1 МСБ",ШТАТ!X:X,"Такелажные работы")</f>
        <v>0</v>
      </c>
      <c r="AQ13" s="18">
        <f>COUNTIFS(ШТАТ!AM:AM,"1 МСБ",ШТАТ!AL:AL,"Упр. 1 МСБ",ШТАТ!X:X,"Усиление объектов")</f>
        <v>0</v>
      </c>
      <c r="AR13" s="18">
        <f>COUNTIFS(ШТАТ!AM:AM,"1 МСБ",ШТАТ!AL:AL,"Упр. 1 МСБ",ШТАТ!U:U,"полигон")-SUM(AL13:AO13)</f>
        <v>0</v>
      </c>
      <c r="AS13" s="24"/>
      <c r="AT13" s="24">
        <f>COUNTIFS(ШТАТ!AM:AM,"1 МСБ",ШТАТ!AL:AL,"Упр. 1 МСБ",ШТАТ!X:X,"САР")</f>
        <v>0</v>
      </c>
      <c r="AU13" s="24">
        <f>COUNTIFS(ШТАТ!AM:AM,"1 МСБ",ШТАТ!AL:AL,B13,ШТАТ!X:X,"Выполнение специальных задач")</f>
        <v>0</v>
      </c>
      <c r="AV13" s="24">
        <f>COUNTIFS(ШТАТ!AM:AM,"1 МСБ",ШТАТ!AL:AL,"Упр. 1 МСБ",ШТАТ!X:X,"Переподготовка")</f>
        <v>0</v>
      </c>
      <c r="AW13" s="24">
        <f>COUNTIFS(ШТАТ!AM:AM,"1 МСБ",ШТАТ!AL:AL,"Упр. 1 МСБ",ШТАТ!X:X,"Усиление объектов")</f>
        <v>0</v>
      </c>
      <c r="AX13" s="24">
        <v>0</v>
      </c>
      <c r="AY13" s="24"/>
      <c r="AZ13" s="24">
        <f>COUNTIFS(ШТАТ!AM:AM,"1 МСБ",ШТАТ!AL:AL,"Упр. 1 МСБ",ШТАТ!W:W,"г. Белгород")</f>
        <v>4</v>
      </c>
      <c r="BA13" s="24">
        <f>COUNTIFS(ШТАТ!AM:AM,"1 МСБ",ШТАТ!AL:AL,"Упр. 1 МСБ",ШТАТ!W:W,"в/ч 38838")</f>
        <v>0</v>
      </c>
      <c r="BB13" s="24">
        <f>COUNTIFS(ШТАТ!AM:AM,"1 МСБ",ШТАТ!AL:AL,"Упр. 1 МСБ",ШТАТ!W:W,"в/ч 90151")</f>
        <v>0</v>
      </c>
      <c r="BC13" s="24"/>
      <c r="BD13" s="26">
        <f>COUNTIFS(ШТАТ!$AL:$AL,$B13,ШТАТ!$U:$U,"ком-ка")-SUM(AS13:BC13)-AP13-AQ13</f>
        <v>0</v>
      </c>
      <c r="BE13" s="24">
        <f>COUNTIFS(ШТАТ!AM:AM,"1 МСБ",ШТАТ!AL:AL,"Упр. 1 МСБ",ШТАТ!U:U,"отпуск")</f>
        <v>0</v>
      </c>
      <c r="BF13" s="22"/>
      <c r="BG13" s="24">
        <f>COUNTIFS(ШТАТ!AM:AM,"1 МСБ",ШТАТ!AL:AL,B13,ШТАТ!U:U,"СОЧ")</f>
        <v>0</v>
      </c>
      <c r="BH13" s="28">
        <f t="shared" si="7"/>
        <v>4</v>
      </c>
      <c r="BI13" s="29" t="e">
        <f>#REF!-#REF!</f>
        <v>#REF!</v>
      </c>
      <c r="BJ13" s="19" t="e">
        <f t="shared" si="8"/>
        <v>#REF!</v>
      </c>
    </row>
    <row r="14" spans="1:62" ht="106.5" customHeight="1" thickBot="1" x14ac:dyDescent="0.3">
      <c r="A14" s="30"/>
      <c r="B14" s="32" t="s">
        <v>278</v>
      </c>
      <c r="C14" s="18">
        <f>COUNTIFS(ШТАТ!AM:AM,"1 МСБ",ШТАТ!AL:AL,"1 МСР",ШТАТ!AK:AK,1)</f>
        <v>5</v>
      </c>
      <c r="D14" s="18">
        <f>COUNTIFS(ШТАТ!AM:AM,"1 МСБ",ШТАТ!AL:AL,"1 МСР",ШТАТ!AK:AK,2)</f>
        <v>3</v>
      </c>
      <c r="E14" s="18">
        <f>COUNTIFS(ШТАТ!AM:AM,"1 МСБ",ШТАТ!AL:AL,"1 МСР",ШТАТ!AK:AK,3)</f>
        <v>10</v>
      </c>
      <c r="F14" s="18">
        <f>COUNTIFS(ШТАТ!AM:AM,"1 МСБ",ШТАТ!AL:AL,"1 МСР",ШТАТ!AK:AK,4)</f>
        <v>76</v>
      </c>
      <c r="G14" s="19">
        <f t="shared" si="0"/>
        <v>94</v>
      </c>
      <c r="H14" s="18">
        <f>COUNTIFS(ШТАТ!AM:AM,"1 МСБ",ШТАТ!AL:AL,"1 МСР",ШТАТ!AJ:AJ,"о")</f>
        <v>4</v>
      </c>
      <c r="I14" s="18">
        <f>COUNTIFS(ШТАТ!AM:AM,"1 МСБ",ШТАТ!AL:AL,"1 МСР",ШТАТ!AJ:AJ,"п")</f>
        <v>2</v>
      </c>
      <c r="J14" s="19">
        <f t="shared" si="1"/>
        <v>8</v>
      </c>
      <c r="K14" s="20">
        <f>COUNTIFS(ШТАТ!AM:AM,"1 МСБ",ШТАТ!AL:AL,"1 МСР",ШТАТ!AK:AK,3,ШТАТ!AJ:AJ,"к/с")</f>
        <v>8</v>
      </c>
      <c r="L14" s="21">
        <v>0</v>
      </c>
      <c r="M14" s="19">
        <f t="shared" si="9"/>
        <v>74</v>
      </c>
      <c r="N14" s="22">
        <f>COUNTIFS(ШТАТ!AM:AM,"1 МСБ",ШТАТ!AL:AL,"1 МСР",ШТАТ!AK:AK,4,ШТАТ!AJ:AJ,"к/с")</f>
        <v>74</v>
      </c>
      <c r="O14" s="22">
        <f>COUNTIFS(ШТАТ!AM:AM,"1 МСБ",ШТАТ!AL:AL,"1 МСР",ШТАТ!AK:AK,4,ШТАТ!AJ:AJ,"с/с")</f>
        <v>0</v>
      </c>
      <c r="P14" s="19">
        <f t="shared" si="10"/>
        <v>82</v>
      </c>
      <c r="Q14" s="22">
        <f t="shared" si="2"/>
        <v>82</v>
      </c>
      <c r="R14" s="21">
        <f t="shared" si="3"/>
        <v>0</v>
      </c>
      <c r="S14" s="19">
        <f t="shared" si="4"/>
        <v>88</v>
      </c>
      <c r="T14" s="23">
        <f t="shared" si="5"/>
        <v>0.93617021276595747</v>
      </c>
      <c r="U14" s="24">
        <f>COUNTIFS(ШТАТ!U:U,"",ШТАТ!AM:AM,"1 МСБ",ШТАТ!AL:AL,"1 МСР",ШТАТ!AJ:AJ,"о")</f>
        <v>0</v>
      </c>
      <c r="V14" s="24">
        <f>COUNTIFS(ШТАТ!U:U,"",ШТАТ!AM:AM,"1 МСБ",ШТАТ!AL:AL,"1 МСР",ШТАТ!AJ:AJ,"п")</f>
        <v>0</v>
      </c>
      <c r="W14" s="103">
        <f t="shared" si="11"/>
        <v>0</v>
      </c>
      <c r="X14" s="24">
        <f>COUNTIFS(ШТАТ!U:U,"",ШТАТ!AM:AM,"1 МСБ",ШТАТ!AL:AL,"1 МСР",ШТАТ!AK:AK,3,ШТАТ!AJ:AJ,"к/с")</f>
        <v>0</v>
      </c>
      <c r="Y14" s="24">
        <f>COUNTIFS(ШТАТ!U:U,"",ШТАТ!AM:AM,"1 МСБ",ШТАТ!AL:AL,B14,ШТАТ!AK:AK,3,ШТАТ!AJ:AJ,"с/с")</f>
        <v>0</v>
      </c>
      <c r="Z14" s="25">
        <f t="shared" si="12"/>
        <v>13</v>
      </c>
      <c r="AA14" s="26">
        <f>COUNTIFS(ШТАТ!U:U,"",ШТАТ!AM:AM,"1 МСБ",ШТАТ!AL:AL,"1 МСР",ШТАТ!AK:AK,4,ШТАТ!AJ:AJ,"к/с")</f>
        <v>13</v>
      </c>
      <c r="AB14" s="24">
        <f>COUNTIFS(ШТАТ!U:U,"",ШТАТ!AM:AM,"1 МСБ",ШТАТ!AL:AL,"1 МСР",ШТАТ!AK:AK,4,ШТАТ!AJ:AJ,"с/с")</f>
        <v>0</v>
      </c>
      <c r="AC14" s="25">
        <f t="shared" si="13"/>
        <v>13</v>
      </c>
      <c r="AD14" s="21">
        <f t="shared" ref="AD14:AD21" si="16">X14+AA14</f>
        <v>13</v>
      </c>
      <c r="AE14" s="21">
        <f t="shared" si="6"/>
        <v>0</v>
      </c>
      <c r="AF14" s="19">
        <f t="shared" si="14"/>
        <v>13</v>
      </c>
      <c r="AG14" s="24"/>
      <c r="AH14" s="24">
        <f>COUNTIFS(ШТАТ!$AL:$AL,$B14,ШТАТ!$U:$U,"МП")</f>
        <v>0</v>
      </c>
      <c r="AI14" s="24">
        <f>COUNTIFS(ШТАТ!AM:AM,"1 МСБ",ШТАТ!AL:AL,"1 МСР",ШТАТ!U:U,"осв-ие")</f>
        <v>0</v>
      </c>
      <c r="AJ14" s="24">
        <f>COUNTIFS(ШТАТ!AM:AM,"1 МСБ",ШТАТ!AL:AL,"1 МСР",ШТАТ!U:U,"госп")</f>
        <v>1</v>
      </c>
      <c r="AK14" s="27">
        <f t="shared" si="15"/>
        <v>71</v>
      </c>
      <c r="AL14" s="24">
        <f>COUNTIFS(ШТАТ!AM:AM,"1 МСБ",ШТАТ!AL:AL,"1 МСР",ШТАТ!W:W,"Барсуковка")</f>
        <v>0</v>
      </c>
      <c r="AM14" s="24">
        <f>COUNTIFS(ШТАТ!$AL:$AL,$B14,ШТАТ!$W:$W,"Павенково")</f>
        <v>0</v>
      </c>
      <c r="AN14" s="18"/>
      <c r="AO14" s="24">
        <f>COUNTIFS(ШТАТ!AM:AM,"1 МСБ",ШТАТ!AL:AL,"1 МСР",ШТАТ!W:W,"полигон Чехово")</f>
        <v>0</v>
      </c>
      <c r="AP14" s="24">
        <f>COUNTIFS(ШТАТ!AM:AM,"1 МСБ",ШТАТ!AL:AL,"1 МСР",ШТАТ!X:X,"Такелажные работы")</f>
        <v>0</v>
      </c>
      <c r="AQ14" s="18">
        <f>COUNTIFS(ШТАТ!AM:AM,"1 МСБ",ШТАТ!AL:AL,"1 МСР",ШТАТ!X:X,"Усиление объектов")</f>
        <v>0</v>
      </c>
      <c r="AR14" s="18">
        <f>COUNTIFS(ШТАТ!AM:AM,"1 МСБ",ШТАТ!AL:AL,"1 МСР",ШТАТ!U:U,"полигон")-SUM(AL14:AO14)</f>
        <v>0</v>
      </c>
      <c r="AS14" s="24"/>
      <c r="AT14" s="24">
        <f>COUNTIFS(ШТАТ!AM:AM,"1 МСБ",ШТАТ!AL:AL,"1 МСР",ШТАТ!X:X,"САР")</f>
        <v>0</v>
      </c>
      <c r="AU14" s="24">
        <f>COUNTIFS(ШТАТ!AM:AM,"1 МСБ",ШТАТ!AL:AL,B14,ШТАТ!X:X,"Выполнение специальных задач")</f>
        <v>1</v>
      </c>
      <c r="AV14" s="24">
        <f>COUNTIFS(ШТАТ!AM:AM,"1 МСБ",ШТАТ!AL:AL,"1 МСР",ШТАТ!X:X,"Переподготовка")</f>
        <v>0</v>
      </c>
      <c r="AW14" s="24">
        <f>COUNTIFS(ШТАТ!AM:AM,"1 МСБ",ШТАТ!AL:AL,"1 МСР",ШТАТ!X:X,"Усиление объектов")</f>
        <v>0</v>
      </c>
      <c r="AX14" s="24">
        <v>0</v>
      </c>
      <c r="AY14" s="24"/>
      <c r="AZ14" s="24">
        <f>COUNTIFS(ШТАТ!AM:AM,"1 МСБ",ШТАТ!AL:AL,"1 МСР",ШТАТ!W:W,"г. Белгород")</f>
        <v>67</v>
      </c>
      <c r="BA14" s="24">
        <f>COUNTIFS(ШТАТ!AM:AM,"1 МСБ",ШТАТ!AL:AL,"1 МСР",ШТАТ!W:W,"в/ч 38838")</f>
        <v>0</v>
      </c>
      <c r="BB14" s="24">
        <f>COUNTIFS(ШТАТ!AM:AM,"1 МСБ",ШТАТ!AL:AL,"1 МСР",ШТАТ!W:W,"в/ч 90151")</f>
        <v>0</v>
      </c>
      <c r="BC14" s="24"/>
      <c r="BD14" s="26">
        <f>COUNTIFS(ШТАТ!$AL:$AL,$B14,ШТАТ!$U:$U,"ком-ка")-SUM(AS14:BC14)-AP14-AQ14</f>
        <v>3</v>
      </c>
      <c r="BE14" s="24">
        <f>COUNTIFS(ШТАТ!AM:AM,"1 МСБ",ШТАТ!AL:AL,"1 МСР",ШТАТ!U:U,"отпуск")</f>
        <v>1</v>
      </c>
      <c r="BF14" s="22"/>
      <c r="BG14" s="24">
        <f>COUNTIFS(ШТАТ!AM:AM,"1 МСБ",ШТАТ!AL:AL,B14,ШТАТ!U:U,"СОЧ")</f>
        <v>2</v>
      </c>
      <c r="BH14" s="28">
        <f t="shared" si="7"/>
        <v>75</v>
      </c>
      <c r="BI14" s="29" t="e">
        <f>#REF!-#REF!</f>
        <v>#REF!</v>
      </c>
      <c r="BJ14" s="19" t="e">
        <f t="shared" si="8"/>
        <v>#REF!</v>
      </c>
    </row>
    <row r="15" spans="1:62" ht="106.5" customHeight="1" thickBot="1" x14ac:dyDescent="0.3">
      <c r="A15" s="30"/>
      <c r="B15" s="32" t="s">
        <v>332</v>
      </c>
      <c r="C15" s="18">
        <f>COUNTIFS(ШТАТ!AM:AM,"1 МСБ",ШТАТ!AL:AL,"2 МСР",ШТАТ!AK:AK,1)</f>
        <v>5</v>
      </c>
      <c r="D15" s="18">
        <f>COUNTIFS(ШТАТ!AM:AM,"1 МСБ",ШТАТ!AL:AL,"2 МСР",ШТАТ!AK:AK,2)</f>
        <v>3</v>
      </c>
      <c r="E15" s="18">
        <f>COUNTIFS(ШТАТ!AM:AM,"1 МСБ",ШТАТ!AL:AL,"2 МСР",ШТАТ!AK:AK,3)</f>
        <v>10</v>
      </c>
      <c r="F15" s="18">
        <f>COUNTIFS(ШТАТ!AM:AM,"1 МСБ",ШТАТ!AL:AL,"2 МСР",ШТАТ!AK:AK,4)</f>
        <v>76</v>
      </c>
      <c r="G15" s="19">
        <f t="shared" si="0"/>
        <v>94</v>
      </c>
      <c r="H15" s="18">
        <f>COUNTIFS(ШТАТ!AM:AM,"1 МСБ",ШТАТ!AL:AL,"2 МСР",ШТАТ!AJ:AJ,"о")</f>
        <v>5</v>
      </c>
      <c r="I15" s="18">
        <f>COUNTIFS(ШТАТ!AM:AM,"1 МСБ",ШТАТ!AL:AL,"2 МСР",ШТАТ!AJ:AJ,"п")</f>
        <v>2</v>
      </c>
      <c r="J15" s="19">
        <f t="shared" si="1"/>
        <v>8</v>
      </c>
      <c r="K15" s="20">
        <f>COUNTIFS(ШТАТ!AM:AM,"1 МСБ",ШТАТ!AL:AL,"2 МСР",ШТАТ!AK:AK,3,ШТАТ!AJ:AJ,"к/с")</f>
        <v>8</v>
      </c>
      <c r="L15" s="21">
        <v>0</v>
      </c>
      <c r="M15" s="19">
        <f t="shared" si="9"/>
        <v>61</v>
      </c>
      <c r="N15" s="22">
        <f>COUNTIFS(ШТАТ!AM:AM,"1 МСБ",ШТАТ!AL:AL,"2 МСР",ШТАТ!AK:AK,4,ШТАТ!AJ:AJ,"к/с")</f>
        <v>61</v>
      </c>
      <c r="O15" s="22">
        <f>COUNTIFS(ШТАТ!AM:AM,"1 МСБ",ШТАТ!AL:AL,"2 МСР",ШТАТ!AK:AK,4,ШТАТ!AJ:AJ,"с/с")</f>
        <v>0</v>
      </c>
      <c r="P15" s="19">
        <f t="shared" si="10"/>
        <v>69</v>
      </c>
      <c r="Q15" s="22">
        <f t="shared" si="2"/>
        <v>69</v>
      </c>
      <c r="R15" s="21">
        <f t="shared" si="3"/>
        <v>0</v>
      </c>
      <c r="S15" s="19">
        <f t="shared" si="4"/>
        <v>76</v>
      </c>
      <c r="T15" s="23">
        <f t="shared" si="5"/>
        <v>0.80851063829787229</v>
      </c>
      <c r="U15" s="24">
        <f>COUNTIFS(ШТАТ!U:U,"",ШТАТ!AM:AM,"1 МСБ",ШТАТ!AL:AL,"2 МСР",ШТАТ!AJ:AJ,"о")</f>
        <v>0</v>
      </c>
      <c r="V15" s="24">
        <f>COUNTIFS(ШТАТ!U:U,"",ШТАТ!AM:AM,"1 МСБ",ШТАТ!AL:AL,"2 МСР",ШТАТ!AJ:AJ,"п")</f>
        <v>0</v>
      </c>
      <c r="W15" s="103">
        <f t="shared" si="11"/>
        <v>0</v>
      </c>
      <c r="X15" s="24">
        <f>COUNTIFS(ШТАТ!U:U,"",ШТАТ!AM:AM,"1 МСБ",ШТАТ!AL:AL,"2 МСР",ШТАТ!AK:AK,3,ШТАТ!AJ:AJ,"к/с")</f>
        <v>0</v>
      </c>
      <c r="Y15" s="24">
        <f>COUNTIFS(ШТАТ!U:U,"",ШТАТ!AM:AM,"1 МСБ",ШТАТ!AL:AL,B15,ШТАТ!AK:AK,3,ШТАТ!AJ:AJ,"с/с")</f>
        <v>0</v>
      </c>
      <c r="Z15" s="25">
        <f t="shared" si="12"/>
        <v>5</v>
      </c>
      <c r="AA15" s="26">
        <f>COUNTIFS(ШТАТ!U:U,"",ШТАТ!AM:AM,"1 МСБ",ШТАТ!AL:AL,"2 МСР",ШТАТ!AK:AK,4,ШТАТ!AJ:AJ,"к/с")</f>
        <v>5</v>
      </c>
      <c r="AB15" s="24">
        <f>COUNTIFS(ШТАТ!U:U,"",ШТАТ!AM:AM,"1 МСБ",ШТАТ!AL:AL,"2 МСР",ШТАТ!AK:AK,4,ШТАТ!AJ:AJ,"с/с")</f>
        <v>0</v>
      </c>
      <c r="AC15" s="25">
        <f t="shared" si="13"/>
        <v>5</v>
      </c>
      <c r="AD15" s="21">
        <f t="shared" si="16"/>
        <v>5</v>
      </c>
      <c r="AE15" s="21">
        <f t="shared" si="6"/>
        <v>0</v>
      </c>
      <c r="AF15" s="19">
        <f t="shared" si="14"/>
        <v>5</v>
      </c>
      <c r="AG15" s="24"/>
      <c r="AH15" s="24">
        <f>COUNTIFS(ШТАТ!$AL:$AL,$B15,ШТАТ!$U:$U,"МП")</f>
        <v>0</v>
      </c>
      <c r="AI15" s="24">
        <f>COUNTIFS(ШТАТ!AM:AM,"1 МСБ",ШТАТ!AL:AL,"2 МСР",ШТАТ!U:U,"осв-ие")</f>
        <v>1</v>
      </c>
      <c r="AJ15" s="24">
        <f>COUNTIFS(ШТАТ!AM:AM,"1 МСБ",ШТАТ!AL:AL,"2 МСР",ШТАТ!U:U,"госп")</f>
        <v>0</v>
      </c>
      <c r="AK15" s="27">
        <f t="shared" si="15"/>
        <v>67</v>
      </c>
      <c r="AL15" s="24">
        <f>COUNTIFS(ШТАТ!AM:AM,"1 МСБ",ШТАТ!AL:AL,"2 МСР",ШТАТ!W:W,"Барсуковка")</f>
        <v>0</v>
      </c>
      <c r="AM15" s="24">
        <f>COUNTIFS(ШТАТ!$AL:$AL,$B15,ШТАТ!$W:$W,"Павенково")</f>
        <v>0</v>
      </c>
      <c r="AN15" s="18"/>
      <c r="AO15" s="24">
        <f>COUNTIFS(ШТАТ!AM:AM,"1 МСБ",ШТАТ!AL:AL,"2 МСР",ШТАТ!W:W,"полигон Чехово")</f>
        <v>0</v>
      </c>
      <c r="AP15" s="24">
        <f>COUNTIFS(ШТАТ!AM:AM,"1 МСБ",ШТАТ!AL:AL,"2 МСР",ШТАТ!X:X,"Такелажные работы")</f>
        <v>0</v>
      </c>
      <c r="AQ15" s="18">
        <f>COUNTIFS(ШТАТ!AM:AM,"1 МСБ",ШТАТ!AL:AL,"2 МСР",ШТАТ!X:X,"Усиление объектов")</f>
        <v>0</v>
      </c>
      <c r="AR15" s="18">
        <f>COUNTIFS(ШТАТ!AM:AM,"1 МСБ",ШТАТ!AL:AL,"2 МСР",ШТАТ!U:U,"полигон")-SUM(AL15:AO15)</f>
        <v>0</v>
      </c>
      <c r="AS15" s="24"/>
      <c r="AT15" s="24">
        <f>COUNTIFS(ШТАТ!AM:AM,"1 МСБ",ШТАТ!AL:AL,"2 МСР",ШТАТ!X:X,"САР")</f>
        <v>0</v>
      </c>
      <c r="AU15" s="24">
        <f>COUNTIFS(ШТАТ!AM:AM,"1 МСБ",ШТАТ!AL:AL,B15,ШТАТ!X:X,"Выполнение специальных задач")</f>
        <v>0</v>
      </c>
      <c r="AV15" s="24">
        <f>COUNTIFS(ШТАТ!AM:AM,"1 МСБ",ШТАТ!AL:AL,"2 МСР",ШТАТ!X:X,"Переподготовка")</f>
        <v>0</v>
      </c>
      <c r="AW15" s="24">
        <f>COUNTIFS(ШТАТ!AM:AM,"1 МСБ",ШТАТ!AL:AL,"2 МСР",ШТАТ!X:X,"Усиление объектов")</f>
        <v>0</v>
      </c>
      <c r="AX15" s="24">
        <v>0</v>
      </c>
      <c r="AY15" s="24"/>
      <c r="AZ15" s="24">
        <f>COUNTIFS(ШТАТ!AM:AM,"1 МСБ",ШТАТ!AL:AL,"2 МСР",ШТАТ!W:W,"г. Белгород")</f>
        <v>66</v>
      </c>
      <c r="BA15" s="24">
        <f>COUNTIFS(ШТАТ!AM:AM,"1 МСБ",ШТАТ!AL:AL,"2 МСР",ШТАТ!W:W,"в/ч 38838")</f>
        <v>0</v>
      </c>
      <c r="BB15" s="24">
        <f>COUNTIFS(ШТАТ!AM:AM,"1 МСБ",ШТАТ!AL:AL,"2 МСР",ШТАТ!W:W,"в/ч 90151")</f>
        <v>0</v>
      </c>
      <c r="BC15" s="24"/>
      <c r="BD15" s="26">
        <f>COUNTIFS(ШТАТ!$AL:$AL,$B15,ШТАТ!$U:$U,"ком-ка")-SUM(AS15:BC15)-AP15-AQ15</f>
        <v>1</v>
      </c>
      <c r="BE15" s="24">
        <f>COUNTIFS(ШТАТ!AM:AM,"1 МСБ",ШТАТ!AL:AL,"2 МСР",ШТАТ!U:U,"отпуск")</f>
        <v>1</v>
      </c>
      <c r="BF15" s="22"/>
      <c r="BG15" s="24">
        <f>COUNTIFS(ШТАТ!AM:AM,"1 МСБ",ШТАТ!AL:AL,B15,ШТАТ!U:U,"СОЧ")</f>
        <v>2</v>
      </c>
      <c r="BH15" s="28">
        <f t="shared" si="7"/>
        <v>71</v>
      </c>
      <c r="BI15" s="29" t="e">
        <f>#REF!-#REF!</f>
        <v>#REF!</v>
      </c>
      <c r="BJ15" s="19" t="e">
        <f t="shared" si="8"/>
        <v>#REF!</v>
      </c>
    </row>
    <row r="16" spans="1:62" ht="106.5" customHeight="1" thickBot="1" x14ac:dyDescent="0.3">
      <c r="A16" s="30"/>
      <c r="B16" s="32" t="s">
        <v>336</v>
      </c>
      <c r="C16" s="18">
        <f>COUNTIFS(ШТАТ!AM:AM,"1 МСБ",ШТАТ!AL:AL,"3 МСР",ШТАТ!AK:AK,1)</f>
        <v>5</v>
      </c>
      <c r="D16" s="18">
        <f>COUNTIFS(ШТАТ!AM:AM,"1 МСБ",ШТАТ!AL:AL,"3 МСР",ШТАТ!AK:AK,2)</f>
        <v>3</v>
      </c>
      <c r="E16" s="18">
        <f>COUNTIFS(ШТАТ!AM:AM,"1 МСБ",ШТАТ!AL:AL,"3 МСР",ШТАТ!AK:AK,3)</f>
        <v>10</v>
      </c>
      <c r="F16" s="18">
        <f>COUNTIFS(ШТАТ!AM:AM,"1 МСБ",ШТАТ!AL:AL,"3 МСР",ШТАТ!AK:AK,4)</f>
        <v>76</v>
      </c>
      <c r="G16" s="19">
        <f t="shared" si="0"/>
        <v>94</v>
      </c>
      <c r="H16" s="18">
        <f>COUNTIFS(ШТАТ!AM:AM,"1 МСБ",ШТАТ!AL:AL,"3 МСР",ШТАТ!AJ:AJ,"о")</f>
        <v>5</v>
      </c>
      <c r="I16" s="18">
        <f>COUNTIFS(ШТАТ!AM:AM,"1 МСБ",ШТАТ!AL:AL,"3 МСР",ШТАТ!AJ:AJ,"п")</f>
        <v>2</v>
      </c>
      <c r="J16" s="19">
        <f t="shared" si="1"/>
        <v>9</v>
      </c>
      <c r="K16" s="20">
        <f>COUNTIFS(ШТАТ!AM:AM,"1 МСБ",ШТАТ!AL:AL,"3 МСР",ШТАТ!AK:AK,3,ШТАТ!AJ:AJ,"к/с")</f>
        <v>9</v>
      </c>
      <c r="L16" s="21">
        <v>0</v>
      </c>
      <c r="M16" s="19">
        <f t="shared" si="9"/>
        <v>59</v>
      </c>
      <c r="N16" s="22">
        <f>COUNTIFS(ШТАТ!AM:AM,"1 МСБ",ШТАТ!AL:AL,"3 МСР",ШТАТ!AK:AK,4,ШТАТ!AJ:AJ,"к/с")</f>
        <v>59</v>
      </c>
      <c r="O16" s="22">
        <f>COUNTIFS(ШТАТ!AM:AM,"1 МСБ",ШТАТ!AL:AL,"3 МСР",ШТАТ!AK:AK,4,ШТАТ!AJ:AJ,"с/с")</f>
        <v>0</v>
      </c>
      <c r="P16" s="19">
        <f t="shared" si="10"/>
        <v>68</v>
      </c>
      <c r="Q16" s="22">
        <f t="shared" si="2"/>
        <v>68</v>
      </c>
      <c r="R16" s="21">
        <f t="shared" si="3"/>
        <v>0</v>
      </c>
      <c r="S16" s="19">
        <f t="shared" si="4"/>
        <v>75</v>
      </c>
      <c r="T16" s="23">
        <f t="shared" si="5"/>
        <v>0.7978723404255319</v>
      </c>
      <c r="U16" s="24">
        <f>COUNTIFS(ШТАТ!U:U,"",ШТАТ!AM:AM,"1 МСБ",ШТАТ!AL:AL,"3 МСР",ШТАТ!AJ:AJ,"о")</f>
        <v>0</v>
      </c>
      <c r="V16" s="24">
        <f>COUNTIFS(ШТАТ!U:U,"",ШТАТ!AM:AM,"1 МСБ",ШТАТ!AL:AL,"3 МСР",ШТАТ!AJ:AJ,"п")</f>
        <v>0</v>
      </c>
      <c r="W16" s="103">
        <f t="shared" si="11"/>
        <v>1</v>
      </c>
      <c r="X16" s="24">
        <f>COUNTIFS(ШТАТ!U:U,"",ШТАТ!AM:AM,"1 МСБ",ШТАТ!AL:AL,"3 МСР",ШТАТ!AK:AK,3,ШТАТ!AJ:AJ,"к/с")</f>
        <v>1</v>
      </c>
      <c r="Y16" s="24">
        <f>COUNTIFS(ШТАТ!U:U,"",ШТАТ!AM:AM,"1 МСБ",ШТАТ!AL:AL,B16,ШТАТ!AK:AK,3,ШТАТ!AJ:AJ,"с/с")</f>
        <v>0</v>
      </c>
      <c r="Z16" s="25">
        <f t="shared" si="12"/>
        <v>6</v>
      </c>
      <c r="AA16" s="26">
        <f>COUNTIFS(ШТАТ!U:U,"",ШТАТ!AM:AM,"1 МСБ",ШТАТ!AL:AL,"3 МСР",ШТАТ!AK:AK,4,ШТАТ!AJ:AJ,"к/с")</f>
        <v>6</v>
      </c>
      <c r="AB16" s="24">
        <f>COUNTIFS(ШТАТ!U:U,"",ШТАТ!AM:AM,"1 МСБ",ШТАТ!AL:AL,"3 МСР",ШТАТ!AK:AK,4,ШТАТ!AJ:AJ,"с/с")</f>
        <v>0</v>
      </c>
      <c r="AC16" s="25">
        <f t="shared" si="13"/>
        <v>7</v>
      </c>
      <c r="AD16" s="21">
        <f t="shared" si="16"/>
        <v>7</v>
      </c>
      <c r="AE16" s="21">
        <f t="shared" si="6"/>
        <v>0</v>
      </c>
      <c r="AF16" s="19">
        <f t="shared" si="14"/>
        <v>7</v>
      </c>
      <c r="AG16" s="24"/>
      <c r="AH16" s="24">
        <f>COUNTIFS(ШТАТ!$AL:$AL,$B16,ШТАТ!$U:$U,"МП")</f>
        <v>0</v>
      </c>
      <c r="AI16" s="24">
        <f>COUNTIFS(ШТАТ!AM:AM,"1 МСБ",ШТАТ!AL:AL,"3 МСР",ШТАТ!U:U,"осв-ие")</f>
        <v>0</v>
      </c>
      <c r="AJ16" s="24">
        <f>COUNTIFS(ШТАТ!AM:AM,"1 МСБ",ШТАТ!AL:AL,"3 МСР",ШТАТ!U:U,"госп")</f>
        <v>0</v>
      </c>
      <c r="AK16" s="27">
        <f t="shared" si="15"/>
        <v>68</v>
      </c>
      <c r="AL16" s="24">
        <f>COUNTIFS(ШТАТ!AM:AM,"1 МСБ",ШТАТ!AL:AL,"3 МСР",ШТАТ!W:W,"Барсуковка")</f>
        <v>1</v>
      </c>
      <c r="AM16" s="24">
        <f>COUNTIFS(ШТАТ!$AL:$AL,$B16,ШТАТ!$W:$W,"Павенково")</f>
        <v>0</v>
      </c>
      <c r="AN16" s="18"/>
      <c r="AO16" s="24">
        <f>COUNTIFS(ШТАТ!AM:AM,"1 МСБ",ШТАТ!AL:AL,"3 МСР",ШТАТ!W:W,"полигон Чехово")</f>
        <v>0</v>
      </c>
      <c r="AP16" s="24">
        <f>COUNTIFS(ШТАТ!AM:AM,"1 МСБ",ШТАТ!AL:AL,"3 МСР",ШТАТ!X:X,"Такелажные работы")</f>
        <v>0</v>
      </c>
      <c r="AQ16" s="18">
        <f>COUNTIFS(ШТАТ!AM:AM,"1 МСБ",ШТАТ!AL:AL,"3 МСР",ШТАТ!X:X,"Усиление объектов")</f>
        <v>0</v>
      </c>
      <c r="AR16" s="18">
        <f>COUNTIFS(ШТАТ!AM:AM,"1 МСБ",ШТАТ!AL:AL,"3 МСР",ШТАТ!U:U,"полигон")-SUM(AL16:AO16)</f>
        <v>0</v>
      </c>
      <c r="AS16" s="24"/>
      <c r="AT16" s="24">
        <f>COUNTIFS(ШТАТ!AM:AM,"1 МСБ",ШТАТ!AL:AL,"3 МСР",ШТАТ!X:X,"САР")</f>
        <v>0</v>
      </c>
      <c r="AU16" s="24">
        <f>COUNTIFS(ШТАТ!AM:AM,"1 МСБ",ШТАТ!AL:AL,B16,ШТАТ!X:X,"Выполнение специальных задач")</f>
        <v>4</v>
      </c>
      <c r="AV16" s="24">
        <f>COUNTIFS(ШТАТ!AM:AM,"1 МСБ",ШТАТ!AL:AL,"3 МСР",ШТАТ!X:X,"Переподготовка")</f>
        <v>0</v>
      </c>
      <c r="AW16" s="24">
        <f>COUNTIFS(ШТАТ!AM:AM,"1 МСБ",ШТАТ!AL:AL,"3 МСР",ШТАТ!X:X,"Усиление объектов")</f>
        <v>0</v>
      </c>
      <c r="AX16" s="24">
        <v>0</v>
      </c>
      <c r="AY16" s="24"/>
      <c r="AZ16" s="24">
        <f>COUNTIFS(ШТАТ!AM:AM,"1 МСБ",ШТАТ!AL:AL,"3 МСР",ШТАТ!W:W,"г. Белгород")</f>
        <v>60</v>
      </c>
      <c r="BA16" s="24">
        <f>COUNTIFS(ШТАТ!AM:AM,"1 МСБ",ШТАТ!AL:AL,"3 МСР",ШТАТ!W:W,"в/ч 38838")</f>
        <v>0</v>
      </c>
      <c r="BB16" s="24">
        <f>COUNTIFS(ШТАТ!AM:AM,"1 МСБ",ШТАТ!AL:AL,"3 МСР",ШТАТ!W:W,"в/ч 90151")</f>
        <v>0</v>
      </c>
      <c r="BC16" s="24"/>
      <c r="BD16" s="26">
        <f>COUNTIFS(ШТАТ!$AL:$AL,$B16,ШТАТ!$U:$U,"ком-ка")-SUM(AS16:BC16)-AP16-AQ16</f>
        <v>3</v>
      </c>
      <c r="BE16" s="24">
        <f>COUNTIFS(ШТАТ!AM:AM,"1 МСБ",ШТАТ!AL:AL,"3 МСР",ШТАТ!U:U,"отпуск")</f>
        <v>0</v>
      </c>
      <c r="BF16" s="22"/>
      <c r="BG16" s="24">
        <f>COUNTIFS(ШТАТ!AM:AM,"1 МСБ",ШТАТ!AL:AL,B16,ШТАТ!U:U,"СОЧ")</f>
        <v>0</v>
      </c>
      <c r="BH16" s="28">
        <f t="shared" si="7"/>
        <v>68</v>
      </c>
      <c r="BI16" s="29" t="e">
        <f>#REF!-#REF!</f>
        <v>#REF!</v>
      </c>
      <c r="BJ16" s="19" t="e">
        <f t="shared" si="8"/>
        <v>#REF!</v>
      </c>
    </row>
    <row r="17" spans="1:62" ht="71.25" customHeight="1" thickBot="1" x14ac:dyDescent="0.3">
      <c r="A17" s="30"/>
      <c r="B17" s="32" t="s">
        <v>341</v>
      </c>
      <c r="C17" s="18">
        <f>COUNTIFS(ШТАТ!AM:AM,"1 МСБ",ШТАТ!AL:AL,"1 МБ",ШТАТ!AK:AK,1)</f>
        <v>4</v>
      </c>
      <c r="D17" s="18">
        <f>COUNTIFS(ШТАТ!AM:AM,"1 МСБ",ШТАТ!AL:AL,"1 МБ",ШТАТ!AK:AK,2)</f>
        <v>1</v>
      </c>
      <c r="E17" s="18">
        <f>COUNTIFS(ШТАТ!AM:AM,"1 МСБ",ШТАТ!AL:AL,"1 МБ",ШТАТ!AK:AK,3)</f>
        <v>8</v>
      </c>
      <c r="F17" s="18">
        <f>COUNTIFS(ШТАТ!AM:AM,"1 МСБ",ШТАТ!AL:AL,"1 МБ",ШТАТ!AK:AK,4)</f>
        <v>32</v>
      </c>
      <c r="G17" s="19">
        <f t="shared" si="0"/>
        <v>45</v>
      </c>
      <c r="H17" s="18">
        <f>COUNTIFS(ШТАТ!AM:AM,"1 МСБ",ШТАТ!AL:AL,"1 МБ",ШТАТ!AJ:AJ,"о")</f>
        <v>4</v>
      </c>
      <c r="I17" s="18">
        <f>COUNTIFS(ШТАТ!AM:AM,"1 МСБ",ШТАТ!AL:AL,"1 МБ",ШТАТ!AJ:AJ,"п")</f>
        <v>0</v>
      </c>
      <c r="J17" s="19">
        <f t="shared" si="1"/>
        <v>8</v>
      </c>
      <c r="K17" s="20">
        <f>COUNTIFS(ШТАТ!AM:AM,"1 МСБ",ШТАТ!AL:AL,"1 МБ",ШТАТ!AK:AK,3,ШТАТ!AJ:AJ,"к/с")</f>
        <v>8</v>
      </c>
      <c r="L17" s="21">
        <v>0</v>
      </c>
      <c r="M17" s="19">
        <f>N17+O17</f>
        <v>30</v>
      </c>
      <c r="N17" s="22">
        <f>COUNTIFS(ШТАТ!AM:AM,"1 МСБ",ШТАТ!AL:AL,"1 МБ",ШТАТ!AK:AK,4,ШТАТ!AJ:AJ,"к/с")</f>
        <v>30</v>
      </c>
      <c r="O17" s="22">
        <f>COUNTIFS(ШТАТ!AM:AM,"1 МСБ",ШТАТ!AL:AL,"1 МБ",ШТАТ!AK:AK,4,ШТАТ!AJ:AJ,"с/с")</f>
        <v>0</v>
      </c>
      <c r="P17" s="19">
        <f>SUM(Q17:R17)</f>
        <v>38</v>
      </c>
      <c r="Q17" s="22">
        <f t="shared" si="2"/>
        <v>38</v>
      </c>
      <c r="R17" s="21">
        <f t="shared" si="3"/>
        <v>0</v>
      </c>
      <c r="S17" s="19">
        <f t="shared" si="4"/>
        <v>42</v>
      </c>
      <c r="T17" s="23">
        <f t="shared" si="5"/>
        <v>0.93333333333333335</v>
      </c>
      <c r="U17" s="24">
        <f>COUNTIFS(ШТАТ!U:U,"",ШТАТ!AM:AM,"1 МСБ",ШТАТ!AL:AL,"1 МБ",ШТАТ!AJ:AJ,"о")</f>
        <v>1</v>
      </c>
      <c r="V17" s="24">
        <f>COUNTIFS(ШТАТ!U:U,"",ШТАТ!AM:AM,"1 МСБ",ШТАТ!AL:AL,"1 МБ",ШТАТ!AJ:AJ,"п")</f>
        <v>0</v>
      </c>
      <c r="W17" s="103">
        <f t="shared" si="11"/>
        <v>1</v>
      </c>
      <c r="X17" s="24">
        <f>COUNTIFS(ШТАТ!U:U,"",ШТАТ!AM:AM,"1 МСБ",ШТАТ!AL:AL,"1 МБ",ШТАТ!AK:AK,3,ШТАТ!AJ:AJ,"к/с")</f>
        <v>1</v>
      </c>
      <c r="Y17" s="24">
        <f>COUNTIFS(ШТАТ!U:U,"",ШТАТ!AM:AM,"1 МСБ",ШТАТ!AL:AL,B17,ШТАТ!AK:AK,3,ШТАТ!AJ:AJ,"с/с")</f>
        <v>0</v>
      </c>
      <c r="Z17" s="25">
        <f t="shared" si="12"/>
        <v>0</v>
      </c>
      <c r="AA17" s="26">
        <f>COUNTIFS(ШТАТ!U:U,"",ШТАТ!AM:AM,"1 МСБ",ШТАТ!AL:AL,"1 МБ",ШТАТ!AK:AK,4,ШТАТ!AJ:AJ,"к/с")</f>
        <v>0</v>
      </c>
      <c r="AB17" s="24">
        <f>COUNTIFS(ШТАТ!U:U,"",ШТАТ!AM:AM,"1 МСБ",ШТАТ!AL:AL,"1 МБ",ШТАТ!AK:AK,4,ШТАТ!AJ:AJ,"с/с")</f>
        <v>0</v>
      </c>
      <c r="AC17" s="25">
        <f t="shared" si="13"/>
        <v>1</v>
      </c>
      <c r="AD17" s="21">
        <f t="shared" si="16"/>
        <v>1</v>
      </c>
      <c r="AE17" s="21">
        <f t="shared" si="6"/>
        <v>0</v>
      </c>
      <c r="AF17" s="19">
        <f t="shared" si="14"/>
        <v>2</v>
      </c>
      <c r="AG17" s="24"/>
      <c r="AH17" s="24">
        <f>COUNTIFS(ШТАТ!$AL:$AL,$B17,ШТАТ!$U:$U,"МП")</f>
        <v>0</v>
      </c>
      <c r="AI17" s="24">
        <f>COUNTIFS(ШТАТ!AM:AM,"1 МСБ",ШТАТ!AL:AL,"1 МБ",ШТАТ!U:U,"осв-ие")</f>
        <v>0</v>
      </c>
      <c r="AJ17" s="24">
        <f>COUNTIFS(ШТАТ!AM:AM,"1 МСБ",ШТАТ!AL:AL,"1 МБ",ШТАТ!U:U,"госп")</f>
        <v>0</v>
      </c>
      <c r="AK17" s="27">
        <f t="shared" si="15"/>
        <v>38</v>
      </c>
      <c r="AL17" s="24">
        <f>COUNTIFS(ШТАТ!AM:AM,"1 МСБ",ШТАТ!AL:AL,"1 МБ",ШТАТ!W:W,"Барсуковка")</f>
        <v>0</v>
      </c>
      <c r="AM17" s="24">
        <f>COUNTIFS(ШТАТ!$AL:$AL,$B17,ШТАТ!$W:$W,"Павенково")</f>
        <v>0</v>
      </c>
      <c r="AN17" s="18"/>
      <c r="AO17" s="24">
        <f>COUNTIFS(ШТАТ!AM:AM,"1 МСБ",ШТАТ!AL:AL,"1 МБ",ШТАТ!W:W,"полигон Чехово")</f>
        <v>0</v>
      </c>
      <c r="AP17" s="24">
        <f>COUNTIFS(ШТАТ!AM:AM,"1 МСБ",ШТАТ!AL:AL,"1 МБ",ШТАТ!X:X,"Такелажные работы")</f>
        <v>0</v>
      </c>
      <c r="AQ17" s="18">
        <f>COUNTIFS(ШТАТ!AM:AM,"1 МСБ",ШТАТ!AL:AL,"1 МБ",ШТАТ!X:X,"Усиление объектов")</f>
        <v>0</v>
      </c>
      <c r="AR17" s="18">
        <f>COUNTIFS(ШТАТ!AM:AM,"1 МСБ",ШТАТ!AL:AL,"1 МБ",ШТАТ!U:U,"полигон")-SUM(AL18:AO18)</f>
        <v>0</v>
      </c>
      <c r="AS17" s="24"/>
      <c r="AT17" s="24">
        <f>COUNTIFS(ШТАТ!AM:AM,"1 МСБ",ШТАТ!AL:AL,"1 МБ",ШТАТ!X:X,"САР")</f>
        <v>0</v>
      </c>
      <c r="AU17" s="24">
        <f>COUNTIFS(ШТАТ!AM:AM,"1 МСБ",ШТАТ!AL:AL,B17,ШТАТ!X:X,"Выполнение специальных задач")</f>
        <v>1</v>
      </c>
      <c r="AV17" s="24">
        <f>COUNTIFS(ШТАТ!AM:AM,"1 МСБ",ШТАТ!AL:AL,"1 МБ",ШТАТ!X:X,"Переподготовка")</f>
        <v>0</v>
      </c>
      <c r="AW17" s="24">
        <f>COUNTIFS(ШТАТ!AM:AM,"1 МСБ",ШТАТ!AL:AL,"1 МБ",ШТАТ!X:X,"Усиление объектов")</f>
        <v>0</v>
      </c>
      <c r="AX17" s="24">
        <v>0</v>
      </c>
      <c r="AY17" s="24"/>
      <c r="AZ17" s="24">
        <f>COUNTIFS(ШТАТ!AM:AM,"1 МСБ",ШТАТ!AL:AL,"1 МБ",ШТАТ!W:W,"г. Белгород")</f>
        <v>35</v>
      </c>
      <c r="BA17" s="24">
        <f>COUNTIFS(ШТАТ!AM:AM,"1 МСБ",ШТАТ!AL:AL,"1 МБ",ШТАТ!W:W,"в/ч 38838")</f>
        <v>0</v>
      </c>
      <c r="BB17" s="24">
        <f>COUNTIFS(ШТАТ!AM:AM,"1 МСБ",ШТАТ!AL:AL,"1 МБ",ШТАТ!W:W,"в/ч 90151")</f>
        <v>0</v>
      </c>
      <c r="BC17" s="24"/>
      <c r="BD17" s="26">
        <f>COUNTIFS(ШТАТ!$AL:$AL,$B17,ШТАТ!$U:$U,"ком-ка")-SUM(AS17:BC17)-AP17-AQ17</f>
        <v>2</v>
      </c>
      <c r="BE17" s="24">
        <f>COUNTIFS(ШТАТ!AM:AM,"1 МСБ",ШТАТ!AL:AL,"1 МБ",ШТАТ!U:U,"отпуск")</f>
        <v>1</v>
      </c>
      <c r="BF17" s="22"/>
      <c r="BG17" s="24">
        <f>COUNTIFS(ШТАТ!AM:AM,"1 МСБ",ШТАТ!AL:AL,B17,ШТАТ!U:U,"СОЧ")</f>
        <v>2</v>
      </c>
      <c r="BH17" s="28">
        <f t="shared" si="7"/>
        <v>41</v>
      </c>
      <c r="BI17" s="29" t="e">
        <f>#REF!-#REF!</f>
        <v>#REF!</v>
      </c>
      <c r="BJ17" s="19" t="e">
        <f t="shared" si="8"/>
        <v>#REF!</v>
      </c>
    </row>
    <row r="18" spans="1:62" ht="71.25" customHeight="1" thickBot="1" x14ac:dyDescent="0.3">
      <c r="A18" s="30"/>
      <c r="B18" s="32" t="s">
        <v>379</v>
      </c>
      <c r="C18" s="18">
        <f>COUNTIFS(ШТАТ!AM:AM,"1 МСБ",ШТАТ!AL:AL,"1 ГРВ",ШТАТ!AK:AK,1)</f>
        <v>1</v>
      </c>
      <c r="D18" s="18">
        <f>COUNTIFS(ШТАТ!AM:AM,"1 МСБ",ШТАТ!AL:AL,"1 ГРВ",ШТАТ!AK:AK,2)</f>
        <v>0</v>
      </c>
      <c r="E18" s="18">
        <f>COUNTIFS(ШТАТ!AM:AM,"1 МСБ",ШТАТ!AL:AL,"1 ГРВ",ШТАТ!AK:AK,3)</f>
        <v>3</v>
      </c>
      <c r="F18" s="18">
        <f>COUNTIFS(ШТАТ!AM:AM,"1 МСБ",ШТАТ!AL:AL,"1 ГРВ",ШТАТ!AK:AK,4)</f>
        <v>18</v>
      </c>
      <c r="G18" s="19">
        <f t="shared" si="0"/>
        <v>22</v>
      </c>
      <c r="H18" s="18">
        <f>COUNTIFS(ШТАТ!AM:AM,"1 МСБ",ШТАТ!AL:AL,"1 ГРВ",ШТАТ!AJ:AJ,"о")</f>
        <v>1</v>
      </c>
      <c r="I18" s="18">
        <f>COUNTIFS(ШТАТ!AM:AM,"1 МСБ",ШТАТ!AL:AL,"1 ГРВ",ШТАТ!AJ:AJ,"п")</f>
        <v>0</v>
      </c>
      <c r="J18" s="19">
        <f t="shared" si="1"/>
        <v>2</v>
      </c>
      <c r="K18" s="20">
        <f>COUNTIFS(ШТАТ!AM:AM,"1 МСБ",ШТАТ!AL:AL,"1 ГРВ",ШТАТ!AK:AK,3,ШТАТ!AJ:AJ,"к/с")</f>
        <v>2</v>
      </c>
      <c r="L18" s="21">
        <v>0</v>
      </c>
      <c r="M18" s="19">
        <f t="shared" si="9"/>
        <v>16</v>
      </c>
      <c r="N18" s="22">
        <f>COUNTIFS(ШТАТ!AM:AM,"1 МСБ",ШТАТ!AL:AL,"1 ГРВ",ШТАТ!AK:AK,4,ШТАТ!AJ:AJ,"к/с")</f>
        <v>16</v>
      </c>
      <c r="O18" s="22">
        <f>COUNTIFS(ШТАТ!AM:AM,"1 МСБ",ШТАТ!AL:AL,"1 ГРВ",ШТАТ!AK:AK,4,ШТАТ!AJ:AJ,"с/с")</f>
        <v>0</v>
      </c>
      <c r="P18" s="19">
        <f t="shared" si="10"/>
        <v>18</v>
      </c>
      <c r="Q18" s="22">
        <f t="shared" si="2"/>
        <v>18</v>
      </c>
      <c r="R18" s="21">
        <f t="shared" si="3"/>
        <v>0</v>
      </c>
      <c r="S18" s="19">
        <f t="shared" si="4"/>
        <v>19</v>
      </c>
      <c r="T18" s="23">
        <f t="shared" si="5"/>
        <v>0.86363636363636365</v>
      </c>
      <c r="U18" s="24">
        <f>COUNTIFS(ШТАТ!U:U,"",ШТАТ!AM:AM,"1 МСБ",ШТАТ!AL:AL,"1 ГРВ",ШТАТ!AJ:AJ,"о")</f>
        <v>0</v>
      </c>
      <c r="V18" s="24">
        <f>COUNTIFS(ШТАТ!U:U,"",ШТАТ!AM:AM,"1 МСБ",ШТАТ!AL:AL,"1 ГРВ",ШТАТ!AJ:AJ,"п")</f>
        <v>0</v>
      </c>
      <c r="W18" s="103">
        <f>SUM(X18:Y18)</f>
        <v>0</v>
      </c>
      <c r="X18" s="24">
        <f>COUNTIFS(ШТАТ!U:U,"",ШТАТ!AM:AM,"1 МСБ",ШТАТ!AL:AL,"1 ГРВ",ШТАТ!AK:AK,3,ШТАТ!AJ:AJ,"к/с")</f>
        <v>0</v>
      </c>
      <c r="Y18" s="24">
        <f>COUNTIFS(ШТАТ!U:U,"",ШТАТ!AM:AM,"1 МСБ",ШТАТ!AL:AL,B18,ШТАТ!AK:AK,3,ШТАТ!AJ:AJ,"с/с")</f>
        <v>0</v>
      </c>
      <c r="Z18" s="25">
        <f t="shared" si="12"/>
        <v>1</v>
      </c>
      <c r="AA18" s="26">
        <f>COUNTIFS(ШТАТ!U:U,"",ШТАТ!AM:AM,"1 МСБ",ШТАТ!AL:AL,"1 ГРВ",ШТАТ!AK:AK,4,ШТАТ!AJ:AJ,"к/с")</f>
        <v>1</v>
      </c>
      <c r="AB18" s="24">
        <f>COUNTIFS(ШТАТ!U:U,"",ШТАТ!AM:AM,"1 МСБ",ШТАТ!AL:AL,"1 ГРВ",ШТАТ!AK:AK,4,ШТАТ!AJ:AJ,"с/с")</f>
        <v>0</v>
      </c>
      <c r="AC18" s="25">
        <f t="shared" si="13"/>
        <v>1</v>
      </c>
      <c r="AD18" s="21">
        <f t="shared" si="16"/>
        <v>1</v>
      </c>
      <c r="AE18" s="21">
        <f t="shared" si="6"/>
        <v>0</v>
      </c>
      <c r="AF18" s="19">
        <f t="shared" si="14"/>
        <v>1</v>
      </c>
      <c r="AG18" s="24"/>
      <c r="AH18" s="24">
        <f>COUNTIFS(ШТАТ!$AL:$AL,$B18,ШТАТ!$U:$U,"МП")</f>
        <v>0</v>
      </c>
      <c r="AI18" s="24">
        <f>COUNTIFS(ШТАТ!AM:AM,"1 МСБ",ШТАТ!AL:AL,"1 ГРВ",ШТАТ!U:U,"осв-ие")</f>
        <v>0</v>
      </c>
      <c r="AJ18" s="24">
        <f>COUNTIFS(ШТАТ!AM:AM,"1 МСБ",ШТАТ!AL:AL,"1 ГРВ",ШТАТ!U:U,"госп")</f>
        <v>0</v>
      </c>
      <c r="AK18" s="27">
        <f t="shared" si="15"/>
        <v>17</v>
      </c>
      <c r="AL18" s="24">
        <f>COUNTIFS(ШТАТ!AM:AM,"1 МСБ",ШТАТ!AL:AL,"1 ГРВ",ШТАТ!W:W,"Барсуковка")</f>
        <v>0</v>
      </c>
      <c r="AM18" s="24">
        <f>COUNTIFS(ШТАТ!$AL:$AL,$B18,ШТАТ!$W:$W,"Павенково")</f>
        <v>0</v>
      </c>
      <c r="AN18" s="18"/>
      <c r="AO18" s="24">
        <f>COUNTIFS(ШТАТ!AM:AM,"1 МСБ",ШТАТ!AL:AL,"1 ГРВ",ШТАТ!W:W,"полигон Чехово")</f>
        <v>0</v>
      </c>
      <c r="AP18" s="24">
        <f>COUNTIFS(ШТАТ!AM:AM,"1 МСБ",ШТАТ!AL:AL,"1 ГРВ",ШТАТ!X:X,"Такелажные работы")</f>
        <v>0</v>
      </c>
      <c r="AQ18" s="18">
        <f>COUNTIFS(ШТАТ!AM:AM,"1 МСБ",ШТАТ!AL:AL,"1 ГРВ",ШТАТ!X:X,"Усиление объектов")</f>
        <v>0</v>
      </c>
      <c r="AR18" s="18">
        <f>COUNTIFS(ШТАТ!AM:AM,"1 МСБ",ШТАТ!AL:AL,"1 ГРВ",ШТАТ!U:U,"полигон")-SUM(AL12:AO12)</f>
        <v>0</v>
      </c>
      <c r="AS18" s="24"/>
      <c r="AT18" s="24">
        <f>COUNTIFS(ШТАТ!AM:AM,"1 МСБ",ШТАТ!AL:AL,"1 ГРВ",ШТАТ!X:X,"САР")</f>
        <v>0</v>
      </c>
      <c r="AU18" s="24">
        <f>COUNTIFS(ШТАТ!AM:AM,"1 МСБ",ШТАТ!AL:AL,B18,ШТАТ!X:X,"Выполнение специальных задач")</f>
        <v>0</v>
      </c>
      <c r="AV18" s="24">
        <f>COUNTIFS(ШТАТ!AM:AM,"1 МСБ",ШТАТ!AL:AL,"1 ГРВ",ШТАТ!X:X,"Переподготовка")</f>
        <v>0</v>
      </c>
      <c r="AW18" s="24">
        <f>COUNTIFS(ШТАТ!AM:AM,"1 МСБ",ШТАТ!AL:AL,"1 ГРВ",ШТАТ!X:X,"Усиление объектов")</f>
        <v>0</v>
      </c>
      <c r="AX18" s="24">
        <v>0</v>
      </c>
      <c r="AY18" s="24"/>
      <c r="AZ18" s="24">
        <f>COUNTIFS(ШТАТ!AM:AM,"1 МСБ",ШТАТ!AL:AL,"1 ГРВ",ШТАТ!W:W,"г. Белгород")</f>
        <v>16</v>
      </c>
      <c r="BA18" s="24">
        <f>COUNTIFS(ШТАТ!AM:AM,"1 МСБ",ШТАТ!AL:AL,"1 ГРВ",ШТАТ!W:W,"в/ч 38838")</f>
        <v>0</v>
      </c>
      <c r="BB18" s="24">
        <f>COUNTIFS(ШТАТ!AM:AM,"1 МСБ",ШТАТ!AL:AL,"1 ГРВ",ШТАТ!W:W,"в/ч 90151")</f>
        <v>0</v>
      </c>
      <c r="BC18" s="24"/>
      <c r="BD18" s="26">
        <f>COUNTIFS(ШТАТ!$AL:$AL,$B18,ШТАТ!$U:$U,"ком-ка")-SUM(AS18:BC18)-AP18-AQ18</f>
        <v>1</v>
      </c>
      <c r="BE18" s="24">
        <f>COUNTIFS(ШТАТ!AM:AM,"1 МСБ",ШТАТ!AL:AL,"1 ГРВ",ШТАТ!U:U,"отпуск")</f>
        <v>0</v>
      </c>
      <c r="BF18" s="22"/>
      <c r="BG18" s="24">
        <f>COUNTIFS(ШТАТ!AM:AM,"1 МСБ",ШТАТ!AL:AL,B18,ШТАТ!U:U,"СОЧ")</f>
        <v>1</v>
      </c>
      <c r="BH18" s="28">
        <f t="shared" si="7"/>
        <v>18</v>
      </c>
      <c r="BI18" s="29" t="e">
        <f>#REF!-#REF!</f>
        <v>#REF!</v>
      </c>
      <c r="BJ18" s="19" t="e">
        <f t="shared" si="8"/>
        <v>#REF!</v>
      </c>
    </row>
    <row r="19" spans="1:62" ht="106.5" customHeight="1" thickBot="1" x14ac:dyDescent="0.3">
      <c r="A19" s="30"/>
      <c r="B19" s="32" t="s">
        <v>394</v>
      </c>
      <c r="C19" s="18">
        <f>COUNTIFS(ШТАТ!AM:AM,"1 МСБ",ШТАТ!AL:AL,"1 ВПТУР",ШТАТ!AK:AK,1)</f>
        <v>1</v>
      </c>
      <c r="D19" s="18">
        <f>COUNTIFS(ШТАТ!AM:AM,"1 МСБ",ШТАТ!AL:AL,"1 ВПТУР",ШТАТ!AK:AK,2)</f>
        <v>0</v>
      </c>
      <c r="E19" s="18">
        <f>COUNTIFS(ШТАТ!AM:AM,"1 МСБ",ШТАТ!AL:AL,"1 ВПТУР",ШТАТ!AK:AK,3)</f>
        <v>3</v>
      </c>
      <c r="F19" s="18">
        <f>COUNTIFS(ШТАТ!AM:AM,"1 МСБ",ШТАТ!AL:AL,"1 ВПТУР",ШТАТ!AK:AK,4)</f>
        <v>9</v>
      </c>
      <c r="G19" s="19">
        <f t="shared" si="0"/>
        <v>13</v>
      </c>
      <c r="H19" s="18">
        <f>COUNTIFS(ШТАТ!AM:AM,"1 МСБ",ШТАТ!AL:AL,"1 ВПТУР",ШТАТ!AJ:AJ,"о")</f>
        <v>1</v>
      </c>
      <c r="I19" s="18">
        <f>COUNTIFS(ШТАТ!AM:AM,"1 МСБ",ШТАТ!AL:AL,"1 ВПТУР",ШТАТ!AJ:AJ,"п")</f>
        <v>0</v>
      </c>
      <c r="J19" s="19">
        <f t="shared" si="1"/>
        <v>1</v>
      </c>
      <c r="K19" s="20">
        <f>COUNTIFS(ШТАТ!AM:AM,"1 МСБ",ШТАТ!AL:AL,"1 ВПТУР",ШТАТ!AK:AK,3,ШТАТ!AJ:AJ,"к/с")</f>
        <v>1</v>
      </c>
      <c r="L19" s="21"/>
      <c r="M19" s="19">
        <f t="shared" si="9"/>
        <v>4</v>
      </c>
      <c r="N19" s="22">
        <f>COUNTIFS(ШТАТ!AM:AM,"1 МСБ",ШТАТ!AL:AL,"1 ВПТУР",ШТАТ!AK:AK,4,ШТАТ!AJ:AJ,"к/с")</f>
        <v>4</v>
      </c>
      <c r="O19" s="22">
        <f>COUNTIFS(ШТАТ!AM:AM,"1 МСБ",ШТАТ!AL:AL,"1 ВПТУР",ШТАТ!AK:AK,4,ШТАТ!AJ:AJ,"с/с")</f>
        <v>0</v>
      </c>
      <c r="P19" s="19">
        <f t="shared" si="10"/>
        <v>5</v>
      </c>
      <c r="Q19" s="22">
        <f t="shared" si="2"/>
        <v>5</v>
      </c>
      <c r="R19" s="21">
        <f t="shared" si="3"/>
        <v>0</v>
      </c>
      <c r="S19" s="19">
        <f t="shared" si="4"/>
        <v>6</v>
      </c>
      <c r="T19" s="23">
        <f t="shared" si="5"/>
        <v>0.46153846153846156</v>
      </c>
      <c r="U19" s="24">
        <f>COUNTIFS(ШТАТ!U:U,"",ШТАТ!AM:AM,"1 МСБ",ШТАТ!AL:AL,"1 ВПТУР",ШТАТ!AJ:AJ,"о")</f>
        <v>0</v>
      </c>
      <c r="V19" s="24">
        <f>COUNTIFS(ШТАТ!U:U,"",ШТАТ!AM:AM,"1 МСБ",ШТАТ!AL:AL,"1 ВПТУР",ШТАТ!AJ:AJ,"п")</f>
        <v>0</v>
      </c>
      <c r="W19" s="103">
        <f>SUM(X19:Y19)</f>
        <v>0</v>
      </c>
      <c r="X19" s="24">
        <f>COUNTIFS(ШТАТ!U:U,"",ШТАТ!AM:AM,"1 МСБ",ШТАТ!AL:AL,"1 ВПТУР",ШТАТ!AK:AK,3,ШТАТ!AJ:AJ,"к/с")</f>
        <v>0</v>
      </c>
      <c r="Y19" s="24">
        <f>COUNTIFS(ШТАТ!U:U,"",ШТАТ!AM:AM,"1 МСБ",ШТАТ!AL:AL,B19,ШТАТ!AK:AK,3,ШТАТ!AJ:AJ,"с/с")</f>
        <v>0</v>
      </c>
      <c r="Z19" s="25">
        <f t="shared" si="12"/>
        <v>0</v>
      </c>
      <c r="AA19" s="26">
        <f>COUNTIFS(ШТАТ!U:U,"",ШТАТ!AM:AM,"1 МСБ",ШТАТ!AL:AL,"1 ВПТУР",ШТАТ!AK:AK,4,ШТАТ!AJ:AJ,"к/с")</f>
        <v>0</v>
      </c>
      <c r="AB19" s="24">
        <f>COUNTIFS(ШТАТ!U:U,"",ШТАТ!AM:AM,"1 МСБ",ШТАТ!AL:AL,"1 ВПТУР",ШТАТ!AK:AK,4,ШТАТ!AJ:AJ,"с/с")</f>
        <v>0</v>
      </c>
      <c r="AC19" s="25">
        <f t="shared" si="13"/>
        <v>0</v>
      </c>
      <c r="AD19" s="21">
        <f t="shared" si="16"/>
        <v>0</v>
      </c>
      <c r="AE19" s="21">
        <f t="shared" si="6"/>
        <v>0</v>
      </c>
      <c r="AF19" s="19">
        <f t="shared" si="14"/>
        <v>0</v>
      </c>
      <c r="AG19" s="24"/>
      <c r="AH19" s="24">
        <f>COUNTIFS(ШТАТ!$AL:$AL,$B19,ШТАТ!$U:$U,"МП")</f>
        <v>0</v>
      </c>
      <c r="AI19" s="24">
        <f>COUNTIFS(ШТАТ!AM:AM,"1 МСБ",ШТАТ!AL:AL,"1 ВПТУР",ШТАТ!U:U,"осв-ие")</f>
        <v>0</v>
      </c>
      <c r="AJ19" s="24">
        <f>COUNTIFS(ШТАТ!AM:AM,"1 МСБ",ШТАТ!AL:AL,"1 ВПТУР",ШТАТ!U:U,"госп")</f>
        <v>1</v>
      </c>
      <c r="AK19" s="27">
        <f t="shared" si="15"/>
        <v>4</v>
      </c>
      <c r="AL19" s="24">
        <f>COUNTIFS(ШТАТ!AM:AM,"1 МСБ",ШТАТ!AL:AL,"1 ВПТУР",ШТАТ!W:W,"Барсуковка")</f>
        <v>0</v>
      </c>
      <c r="AM19" s="24">
        <f>COUNTIFS(ШТАТ!$AL:$AL,$B19,ШТАТ!$W:$W,"Павенково")</f>
        <v>0</v>
      </c>
      <c r="AN19" s="18"/>
      <c r="AO19" s="24">
        <f>COUNTIFS(ШТАТ!AM:AM,"1 МСБ",ШТАТ!AL:AL,"1 ВПТУР",ШТАТ!W:W,"полигон Чехово")</f>
        <v>0</v>
      </c>
      <c r="AP19" s="24">
        <f>COUNTIFS(ШТАТ!AM:AM,"1 МСБ",ШТАТ!AL:AL,"1 ВПТУР",ШТАТ!X:X,"Такелажные работы")</f>
        <v>0</v>
      </c>
      <c r="AQ19" s="18">
        <f>COUNTIFS(ШТАТ!AM:AM,"1 МСБ",ШТАТ!AL:AL,"1 ВПТУР",ШТАТ!X:X,"Усиление объектов")</f>
        <v>0</v>
      </c>
      <c r="AR19" s="18">
        <f>COUNTIFS(ШТАТ!AM:AM,"1 МСБ",ШТАТ!AL:AL,"1 ВПТУР",ШТАТ!U:U,"полигон")-SUM(AL19:AO19)</f>
        <v>0</v>
      </c>
      <c r="AS19" s="24"/>
      <c r="AT19" s="24">
        <f>COUNTIFS(ШТАТ!AM:AM,"1 МСБ",ШТАТ!AL:AL,"1 ВПТУР",ШТАТ!X:X,"САР")</f>
        <v>0</v>
      </c>
      <c r="AU19" s="24">
        <f>COUNTIFS(ШТАТ!AM:AM,"1 МСБ",ШТАТ!AL:AL,B19,ШТАТ!X:X,"Выполнение специальных задач")</f>
        <v>0</v>
      </c>
      <c r="AV19" s="24">
        <f>COUNTIFS(ШТАТ!AM:AM,"1 МСБ",ШТАТ!AL:AL,"1 ВПТУР",ШТАТ!X:X,"Переподготовка")</f>
        <v>0</v>
      </c>
      <c r="AW19" s="24">
        <f>COUNTIFS(ШТАТ!AM:AM,"1 МСБ",ШТАТ!AL:AL,"1 ВПТУР",ШТАТ!X:X,"Усиление объектов")</f>
        <v>0</v>
      </c>
      <c r="AX19" s="24"/>
      <c r="AY19" s="24"/>
      <c r="AZ19" s="24">
        <f>COUNTIFS(ШТАТ!AM:AM,"1 МСБ",ШТАТ!AL:AL,"1 ВПТУР",ШТАТ!W:W,"г. Белгород")</f>
        <v>4</v>
      </c>
      <c r="BA19" s="24">
        <f>COUNTIFS(ШТАТ!AM:AM,"1 МСБ",ШТАТ!AL:AL,"1 ВПТУР",ШТАТ!W:W,"в/ч 38838")</f>
        <v>0</v>
      </c>
      <c r="BB19" s="24">
        <f>COUNTIFS(ШТАТ!AM:AM,"1 МСБ",ШТАТ!AL:AL,"1 ВПТУР",ШТАТ!W:W,"в/ч 90151")</f>
        <v>0</v>
      </c>
      <c r="BC19" s="24"/>
      <c r="BD19" s="26">
        <f>COUNTIFS(ШТАТ!$AL:$AL,$B19,ШТАТ!$U:$U,"ком-ка")-SUM(AS19:BC19)-AP19-AQ19</f>
        <v>0</v>
      </c>
      <c r="BE19" s="24">
        <f>COUNTIFS(ШТАТ!AM:AM,"1 МСБ",ШТАТ!AL:AL,"1 ВПТУР",ШТАТ!U:U,"отпуск")</f>
        <v>0</v>
      </c>
      <c r="BF19" s="22"/>
      <c r="BG19" s="24">
        <f>COUNTIFS(ШТАТ!AM:AM,"1 МСБ",ШТАТ!AL:AL,B19,ШТАТ!U:U,"СОЧ")</f>
        <v>1</v>
      </c>
      <c r="BH19" s="28">
        <f t="shared" si="7"/>
        <v>6</v>
      </c>
      <c r="BI19" s="29" t="e">
        <f>#REF!-#REF!</f>
        <v>#REF!</v>
      </c>
      <c r="BJ19" s="19" t="e">
        <f t="shared" si="8"/>
        <v>#REF!</v>
      </c>
    </row>
    <row r="20" spans="1:62" ht="79.5" customHeight="1" thickBot="1" x14ac:dyDescent="0.3">
      <c r="A20" s="30"/>
      <c r="B20" s="32" t="s">
        <v>405</v>
      </c>
      <c r="C20" s="18">
        <f>COUNTIFS(ШТАТ!AM:AM,"1 МСБ",ШТАТ!AL:AL,"1 ВС",ШТАТ!AK:AK,1)</f>
        <v>1</v>
      </c>
      <c r="D20" s="18">
        <f>COUNTIFS(ШТАТ!AM:AM,"1 МСБ",ШТАТ!AL:AL,"1 ВС",ШТАТ!AK:AK,2)</f>
        <v>0</v>
      </c>
      <c r="E20" s="18">
        <f>COUNTIFS(ШТАТ!AM:AM,"1 МСБ",ШТАТ!AL:AL,"1 ВС",ШТАТ!AK:AK,3)</f>
        <v>1</v>
      </c>
      <c r="F20" s="18">
        <f>COUNTIFS(ШТАТ!AM:AM,"1 МСБ",ШТАТ!AL:AL,"1 ВС",ШТАТ!AK:AK,4)</f>
        <v>11</v>
      </c>
      <c r="G20" s="19">
        <f t="shared" si="0"/>
        <v>13</v>
      </c>
      <c r="H20" s="18">
        <f>COUNTIFS(ШТАТ!AM:AM,"1 МСБ",ШТАТ!AL:AL,"1 ВС",ШТАТ!AJ:AJ,"о")</f>
        <v>1</v>
      </c>
      <c r="I20" s="18">
        <f>COUNTIFS(ШТАТ!AM:AM,"1 МСБ",ШТАТ!AL:AL,"1 ВС",ШТАТ!AJ:AJ,"п")</f>
        <v>0</v>
      </c>
      <c r="J20" s="19">
        <f t="shared" si="1"/>
        <v>1</v>
      </c>
      <c r="K20" s="20">
        <f>COUNTIFS(ШТАТ!AM:AM,"1 МСБ",ШТАТ!AL:AL,"1 ВС",ШТАТ!AK:AK,3,ШТАТ!AJ:AJ,"к/с")</f>
        <v>1</v>
      </c>
      <c r="L20" s="21">
        <v>0</v>
      </c>
      <c r="M20" s="19">
        <f>N20+O20</f>
        <v>11</v>
      </c>
      <c r="N20" s="22">
        <f>COUNTIFS(ШТАТ!AM:AM,"1 МСБ",ШТАТ!AL:AL,"1 ВС",ШТАТ!AK:AK,4,ШТАТ!AJ:AJ,"к/с")</f>
        <v>11</v>
      </c>
      <c r="O20" s="22">
        <f>COUNTIFS(ШТАТ!AM:AM,"1 МСБ",ШТАТ!AL:AL,"1 ВС",ШТАТ!AK:AK,4,ШТАТ!AJ:AJ,"с/с")</f>
        <v>0</v>
      </c>
      <c r="P20" s="19">
        <f>SUM(Q20:R20)</f>
        <v>12</v>
      </c>
      <c r="Q20" s="22">
        <f t="shared" si="2"/>
        <v>12</v>
      </c>
      <c r="R20" s="21">
        <f t="shared" si="3"/>
        <v>0</v>
      </c>
      <c r="S20" s="19">
        <f t="shared" si="4"/>
        <v>13</v>
      </c>
      <c r="T20" s="23">
        <f t="shared" si="5"/>
        <v>1</v>
      </c>
      <c r="U20" s="24">
        <f>COUNTIFS(ШТАТ!U:U,"",ШТАТ!AM:AM,"1 МСБ",ШТАТ!AL:AL,"1 ВС",ШТАТ!AJ:AJ,"о")</f>
        <v>0</v>
      </c>
      <c r="V20" s="24">
        <f>COUNTIFS(ШТАТ!U:U,"",ШТАТ!AM:AM,"1 МСБ",ШТАТ!AL:AL,"1 ВС",ШТАТ!AJ:AJ,"п")</f>
        <v>0</v>
      </c>
      <c r="W20" s="103">
        <f t="shared" si="11"/>
        <v>0</v>
      </c>
      <c r="X20" s="24">
        <f>COUNTIFS(ШТАТ!U:U,"",ШТАТ!AM:AM,"1 МСБ",ШТАТ!AL:AL,"1 ВС",ШТАТ!AK:AK,3,ШТАТ!AJ:AJ,"к/с")</f>
        <v>0</v>
      </c>
      <c r="Y20" s="24">
        <f>COUNTIFS(ШТАТ!U:U,"",ШТАТ!AM:AM,"1 МСБ",ШТАТ!AL:AL,B20,ШТАТ!AK:AK,3,ШТАТ!AJ:AJ,"с/с")</f>
        <v>0</v>
      </c>
      <c r="Z20" s="25">
        <f t="shared" si="12"/>
        <v>0</v>
      </c>
      <c r="AA20" s="26">
        <f>COUNTIFS(ШТАТ!U:U,"",ШТАТ!AM:AM,"1 МСБ",ШТАТ!AL:AL,"1 ВС",ШТАТ!AK:AK,4,ШТАТ!AJ:AJ,"к/с")</f>
        <v>0</v>
      </c>
      <c r="AB20" s="24">
        <f>COUNTIFS(ШТАТ!U:U,"",ШТАТ!AM:AM,"1 МСБ",ШТАТ!AL:AL,"1 ВС",ШТАТ!AK:AK,4,ШТАТ!AJ:AJ,"с/с")</f>
        <v>0</v>
      </c>
      <c r="AC20" s="25">
        <f t="shared" si="13"/>
        <v>0</v>
      </c>
      <c r="AD20" s="21">
        <f t="shared" si="16"/>
        <v>0</v>
      </c>
      <c r="AE20" s="21">
        <f t="shared" si="6"/>
        <v>0</v>
      </c>
      <c r="AF20" s="19">
        <f t="shared" si="14"/>
        <v>0</v>
      </c>
      <c r="AG20" s="24"/>
      <c r="AH20" s="24">
        <f>COUNTIFS(ШТАТ!$AL:$AL,$B20,ШТАТ!$U:$U,"МП")</f>
        <v>0</v>
      </c>
      <c r="AI20" s="24">
        <f>COUNTIFS(ШТАТ!AM:AM,"1 МСБ",ШТАТ!AL:AL,"1 ВС",ШТАТ!U:U,"осв-ие")</f>
        <v>0</v>
      </c>
      <c r="AJ20" s="24">
        <f>COUNTIFS(ШТАТ!AM:AM,"1 МСБ",ШТАТ!AL:AL,"1 ВС",ШТАТ!U:U,"госп")</f>
        <v>0</v>
      </c>
      <c r="AK20" s="27">
        <f t="shared" si="15"/>
        <v>11</v>
      </c>
      <c r="AL20" s="24">
        <f>COUNTIFS(ШТАТ!AM:AM,"1 МСБ",ШТАТ!AL:AL,"1 ВС",ШТАТ!W:W,"Барсуковка")</f>
        <v>0</v>
      </c>
      <c r="AM20" s="24">
        <f>COUNTIFS(ШТАТ!$AL:$AL,$B20,ШТАТ!$W:$W,"Павенково")</f>
        <v>0</v>
      </c>
      <c r="AN20" s="18"/>
      <c r="AO20" s="24">
        <f>COUNTIFS(ШТАТ!AM:AM,"1 МСБ",ШТАТ!AL:AL,"1 ВС",ШТАТ!W:W,"полигон Чехово")</f>
        <v>0</v>
      </c>
      <c r="AP20" s="24">
        <f>COUNTIFS(ШТАТ!AM:AM,"1 МСБ",ШТАТ!AL:AL,"1 ВС",ШТАТ!X:X,"Такелажные работы")</f>
        <v>0</v>
      </c>
      <c r="AQ20" s="18">
        <f>COUNTIFS(ШТАТ!AM:AM,"1 МСБ",ШТАТ!AL:AL,"1 ВС",ШТАТ!X:X,"Усиление объектов")</f>
        <v>0</v>
      </c>
      <c r="AR20" s="18">
        <f>COUNTIFS(ШТАТ!AM:AM,"1 МСБ",ШТАТ!AL:AL,"1 ВС",ШТАТ!U:U,"полигон")-SUM(AL20:AO20)</f>
        <v>0</v>
      </c>
      <c r="AS20" s="24"/>
      <c r="AT20" s="24">
        <f>COUNTIFS(ШТАТ!AM:AM,"1 МСБ",ШТАТ!AL:AL,"1 ВС",ШТАТ!X:X,"САР")</f>
        <v>0</v>
      </c>
      <c r="AU20" s="24">
        <f>COUNTIFS(ШТАТ!AM:AM,"1 МСБ",ШТАТ!AL:AL,B20,ШТАТ!X:X,"Выполнение специальных задач")</f>
        <v>1</v>
      </c>
      <c r="AV20" s="24">
        <f>COUNTIFS(ШТАТ!AM:AM,"1 МСБ",ШТАТ!AL:AL,"1 ВС",ШТАТ!X:X,"Переподготовка")</f>
        <v>0</v>
      </c>
      <c r="AW20" s="24">
        <f>COUNTIFS(ШТАТ!AM:AM,"1 МСБ",ШТАТ!AL:AL,"1 ВС",ШТАТ!X:X,"Усиление объектов")</f>
        <v>0</v>
      </c>
      <c r="AX20" s="24">
        <v>0</v>
      </c>
      <c r="AY20" s="24"/>
      <c r="AZ20" s="24">
        <f>COUNTIFS(ШТАТ!AM:AM,"1 МСБ",ШТАТ!AL:AL,"1 ВС",ШТАТ!W:W,"г. Белгород")</f>
        <v>10</v>
      </c>
      <c r="BA20" s="24">
        <f>COUNTIFS(ШТАТ!AM:AM,"1 МСБ",ШТАТ!AL:AL,"1 ВС",ШТАТ!W:W,"в/ч 38838")</f>
        <v>0</v>
      </c>
      <c r="BB20" s="24">
        <f>COUNTIFS(ШТАТ!AM:AM,"1 МСБ",ШТАТ!AL:AL,"1 ВС",ШТАТ!W:W,"в/ч 90151")</f>
        <v>0</v>
      </c>
      <c r="BC20" s="24"/>
      <c r="BD20" s="26">
        <f>COUNTIFS(ШТАТ!$AL:$AL,$B20,ШТАТ!$U:$U,"ком-ка")-SUM(AS20:BC20)-AP20-AQ20</f>
        <v>0</v>
      </c>
      <c r="BE20" s="24">
        <f>COUNTIFS(ШТАТ!AM:AM,"1 МСБ",ШТАТ!AL:AL,"1 ВС",ШТАТ!U:U,"отпуск")</f>
        <v>1</v>
      </c>
      <c r="BF20" s="22"/>
      <c r="BG20" s="24">
        <f>COUNTIFS(ШТАТ!AM:AM,"1 МСБ",ШТАТ!AL:AL,B20,ШТАТ!U:U,"СОЧ")</f>
        <v>1</v>
      </c>
      <c r="BH20" s="28">
        <f t="shared" si="7"/>
        <v>13</v>
      </c>
      <c r="BI20" s="29" t="e">
        <f>#REF!-#REF!</f>
        <v>#REF!</v>
      </c>
      <c r="BJ20" s="19" t="e">
        <f t="shared" si="8"/>
        <v>#REF!</v>
      </c>
    </row>
    <row r="21" spans="1:62" ht="82.5" customHeight="1" thickBot="1" x14ac:dyDescent="0.3">
      <c r="A21" s="30"/>
      <c r="B21" s="33" t="s">
        <v>423</v>
      </c>
      <c r="C21" s="34">
        <f>COUNTIFS(ШТАТ!AM:AM,"1 МСБ",ШТАТ!AL:AL,"1 МВ",ШТАТ!AK:AK,1)</f>
        <v>1</v>
      </c>
      <c r="D21" s="18">
        <f>COUNTIFS(ШТАТ!AM:AM,"1 МСБ",ШТАТ!AL:AL,"1 МВ",ШТАТ!AK:AK,2)</f>
        <v>1</v>
      </c>
      <c r="E21" s="34">
        <f>COUNTIFS(ШТАТ!AM:AM,"1 МСБ",ШТАТ!AL:AL,"1 МВ",ШТАТ!AK:AK,3)</f>
        <v>4</v>
      </c>
      <c r="F21" s="18">
        <f>COUNTIFS(ШТАТ!AM:AM,"1 МСБ",ШТАТ!AL:AL,"1 МВ",ШТАТ!AK:AK,4)</f>
        <v>9</v>
      </c>
      <c r="G21" s="19">
        <f t="shared" si="0"/>
        <v>15</v>
      </c>
      <c r="H21" s="18">
        <f>COUNTIFS(ШТАТ!AM:AM,"1 МСБ",ШТАТ!AL:AL,"1 МВ",ШТАТ!AJ:AJ,"о")</f>
        <v>1</v>
      </c>
      <c r="I21" s="34">
        <f>COUNTIFS(ШТАТ!AM:AM,"1 МСБ",ШТАТ!AL:AL,"1 МВ",ШТАТ!AJ:AJ,"п")</f>
        <v>0</v>
      </c>
      <c r="J21" s="19">
        <f t="shared" si="1"/>
        <v>4</v>
      </c>
      <c r="K21" s="20">
        <f>COUNTIFS(ШТАТ!AM:AM,"1 МСБ",ШТАТ!AL:AL,"1 МВ",ШТАТ!AK:AK,3,ШТАТ!AJ:AJ,"к/с")</f>
        <v>4</v>
      </c>
      <c r="L21" s="35"/>
      <c r="M21" s="19">
        <f>N21+O21</f>
        <v>8</v>
      </c>
      <c r="N21" s="36">
        <f>COUNTIFS(ШТАТ!AM:AM,"1 МСБ",ШТАТ!AL:AL,"1 МВ",ШТАТ!AK:AK,4,ШТАТ!AJ:AJ,"к/с")</f>
        <v>8</v>
      </c>
      <c r="O21" s="22">
        <f>COUNTIFS(ШТАТ!AM:AM,"1 МСБ",ШТАТ!AL:AL,"1 МВ",ШТАТ!AK:AK,4,ШТАТ!AJ:AJ,"с/с")</f>
        <v>0</v>
      </c>
      <c r="P21" s="19">
        <f>SUM(Q21:R21)</f>
        <v>12</v>
      </c>
      <c r="Q21" s="22">
        <f t="shared" si="2"/>
        <v>12</v>
      </c>
      <c r="R21" s="21">
        <f t="shared" si="3"/>
        <v>0</v>
      </c>
      <c r="S21" s="19">
        <f t="shared" si="4"/>
        <v>13</v>
      </c>
      <c r="T21" s="23">
        <f t="shared" si="5"/>
        <v>0.8666666666666667</v>
      </c>
      <c r="U21" s="24">
        <f>COUNTIFS(ШТАТ!U:U,"",ШТАТ!AM:AM,"1 МСБ",ШТАТ!AL:AL,"1 МВ",ШТАТ!AJ:AJ,"о")</f>
        <v>0</v>
      </c>
      <c r="V21" s="24">
        <f>COUNTIFS(ШТАТ!U:U,"",ШТАТ!AM:AM,"1 МСБ",ШТАТ!AL:AL,"1 МВ",ШТАТ!AJ:AJ,"п")</f>
        <v>0</v>
      </c>
      <c r="W21" s="103">
        <f>SUM(X21:Y21)</f>
        <v>0</v>
      </c>
      <c r="X21" s="24">
        <f>COUNTIFS(ШТАТ!U:U,"",ШТАТ!AM:AM,"1 МСБ",ШТАТ!AL:AL,"1 МВ",ШТАТ!AK:AK,3,ШТАТ!AJ:AJ,"к/с")</f>
        <v>0</v>
      </c>
      <c r="Y21" s="24">
        <f>COUNTIFS(ШТАТ!U:U,"",ШТАТ!AM:AM,"1 МСБ",ШТАТ!AL:AL,B21,ШТАТ!AK:AK,3,ШТАТ!AJ:AJ,"с/с")</f>
        <v>0</v>
      </c>
      <c r="Z21" s="25">
        <f t="shared" si="12"/>
        <v>0</v>
      </c>
      <c r="AA21" s="39">
        <f>COUNTIFS(ШТАТ!U:U,"",ШТАТ!AM:AM,"1 МСБ",ШТАТ!AL:AL,"1 МВ",ШТАТ!AK:AK,4,ШТАТ!AJ:AJ,"к/с")</f>
        <v>0</v>
      </c>
      <c r="AB21" s="24">
        <f>COUNTIFS(ШТАТ!U:U,"",ШТАТ!AM:AM,"1 МСБ",ШТАТ!AL:AL,"1 МВ",ШТАТ!AK:AK,4,ШТАТ!AJ:AJ,"с/с")</f>
        <v>0</v>
      </c>
      <c r="AC21" s="25">
        <f t="shared" si="13"/>
        <v>0</v>
      </c>
      <c r="AD21" s="21">
        <f t="shared" si="16"/>
        <v>0</v>
      </c>
      <c r="AE21" s="21">
        <f t="shared" si="6"/>
        <v>0</v>
      </c>
      <c r="AF21" s="19">
        <f t="shared" si="14"/>
        <v>0</v>
      </c>
      <c r="AG21" s="24"/>
      <c r="AH21" s="24">
        <f>COUNTIFS(ШТАТ!$AL:$AL,$B21,ШТАТ!$U:$U,"МП")</f>
        <v>0</v>
      </c>
      <c r="AI21" s="24">
        <f>COUNTIFS(ШТАТ!AM:AM,"1 МСБ",ШТАТ!AL:AL,"1 МВ",ШТАТ!U:U,"осв-ие")</f>
        <v>0</v>
      </c>
      <c r="AJ21" s="24">
        <f>COUNTIFS(ШТАТ!AM:AM,"1 МСБ",ШТАТ!AL:AL,"1 МВ",ШТАТ!U:U,"госп")</f>
        <v>0</v>
      </c>
      <c r="AK21" s="27">
        <f t="shared" si="15"/>
        <v>11</v>
      </c>
      <c r="AL21" s="24">
        <f>COUNTIFS(ШТАТ!AM:AM,"1 МСБ",ШТАТ!AL:AL,"1 МВ",ШТАТ!W:W,"Барсуковка")</f>
        <v>0</v>
      </c>
      <c r="AM21" s="24">
        <f>COUNTIFS(ШТАТ!$AL:$AL,$B21,ШТАТ!$W:$W,"Павенково")</f>
        <v>0</v>
      </c>
      <c r="AN21" s="18"/>
      <c r="AO21" s="24">
        <f>COUNTIFS(ШТАТ!AM:AM,"1 МСБ",ШТАТ!AL:AL,"1 МВ",ШТАТ!W:W,"полигон Чехово")</f>
        <v>0</v>
      </c>
      <c r="AP21" s="24">
        <f>COUNTIFS(ШТАТ!AM:AM,"1 МСБ",ШТАТ!AL:AL,"1 МВ",ШТАТ!X:X,"Такелажные работы")</f>
        <v>0</v>
      </c>
      <c r="AQ21" s="18">
        <f>COUNTIFS(ШТАТ!AM:AM,"1 МСБ",ШТАТ!AL:AL,"1 МВ",ШТАТ!X:X,"Усиление объектов")</f>
        <v>0</v>
      </c>
      <c r="AR21" s="34">
        <f>COUNTIFS(ШТАТ!AM:AM,"1 МСБ",ШТАТ!AL:AL,"1 МВ",ШТАТ!U:U,"полигон")-SUM(AL21:AO21)</f>
        <v>0</v>
      </c>
      <c r="AS21" s="38"/>
      <c r="AT21" s="24">
        <f>COUNTIFS(ШТАТ!AM:AM,"1 МСБ",ШТАТ!AL:AL,"1 МВ",ШТАТ!X:X,"САР")</f>
        <v>0</v>
      </c>
      <c r="AU21" s="24">
        <f>COUNTIFS(ШТАТ!AM:AM,"1 МСБ",ШТАТ!AL:AL,B21,ШТАТ!X:X,"Выполнение специальных задач")</f>
        <v>0</v>
      </c>
      <c r="AV21" s="24">
        <f>COUNTIFS(ШТАТ!AM:AM,"1 МСБ",ШТАТ!AL:AL,"1 МВ",ШТАТ!X:X,"Переподготовка")</f>
        <v>0</v>
      </c>
      <c r="AW21" s="24">
        <f>COUNTIFS(ШТАТ!AM:AM,"1 МСБ",ШТАТ!AL:AL,"1 МВ",ШТАТ!X:X,"Усиление объектов")</f>
        <v>0</v>
      </c>
      <c r="AX21" s="38"/>
      <c r="AY21" s="38"/>
      <c r="AZ21" s="24">
        <f>COUNTIFS(ШТАТ!AM:AM,"1 МСБ",ШТАТ!AL:AL,"1 МВ",ШТАТ!W:W,"г. Белгород")</f>
        <v>11</v>
      </c>
      <c r="BA21" s="24">
        <f>COUNTIFS(ШТАТ!AM:AM,"1 МСБ",ШТАТ!AL:AL,"1 МВ",ШТАТ!W:W,"в/ч 38838")</f>
        <v>0</v>
      </c>
      <c r="BB21" s="24">
        <f>COUNTIFS(ШТАТ!AM:AM,"1 МСБ",ШТАТ!AL:AL,"1 МВ",ШТАТ!W:W,"в/ч 90151")</f>
        <v>0</v>
      </c>
      <c r="BC21" s="24"/>
      <c r="BD21" s="26">
        <f>COUNTIFS(ШТАТ!$AL:$AL,$B21,ШТАТ!$U:$U,"ком-ка")-SUM(AS21:BC21)-AP21-AQ21</f>
        <v>0</v>
      </c>
      <c r="BE21" s="24">
        <f>COUNTIFS(ШТАТ!AM:AM,"1 МСБ",ШТАТ!AL:AL,"1 МВ",ШТАТ!U:U,"отпуск")</f>
        <v>0</v>
      </c>
      <c r="BF21" s="36"/>
      <c r="BG21" s="24">
        <f>COUNTIFS(ШТАТ!AM:AM,"1 МСБ",ШТАТ!AL:AL,B21,ШТАТ!U:U,"СОЧ")</f>
        <v>2</v>
      </c>
      <c r="BH21" s="28">
        <f t="shared" si="7"/>
        <v>13</v>
      </c>
      <c r="BI21" s="29" t="e">
        <f>#REF!-#REF!</f>
        <v>#REF!</v>
      </c>
      <c r="BJ21" s="19" t="e">
        <f t="shared" ref="BJ21:BJ61" si="17">SUM(BH21:BI21)</f>
        <v>#REF!</v>
      </c>
    </row>
    <row r="22" spans="1:62" ht="71.25" customHeight="1" thickBot="1" x14ac:dyDescent="0.3">
      <c r="A22" s="30"/>
      <c r="B22" s="33" t="s">
        <v>433</v>
      </c>
      <c r="C22" s="34">
        <f>COUNTIFS(ШТАТ!AM:AM,"1 МСБ",ШТАТ!AL:AL," 1 ВО б",ШТАТ!AK:AK,1)</f>
        <v>0</v>
      </c>
      <c r="D22" s="18">
        <f>COUNTIFS(ШТАТ!AM:AM,"1 МСБ",ШТАТ!AL:AL," 1 ВО б",ШТАТ!AK:AK,2)</f>
        <v>1</v>
      </c>
      <c r="E22" s="34">
        <f>COUNTIFS(ШТАТ!AM:AM,"1 МСБ",ШТАТ!AL:AL," 1 ВО б",ШТАТ!AK:AK,3)</f>
        <v>5</v>
      </c>
      <c r="F22" s="18">
        <f>COUNTIFS(ШТАТ!AM:AM,"1 МСБ",ШТАТ!AL:AL," 1 ВО б",ШТАТ!AK:AK,4)</f>
        <v>21</v>
      </c>
      <c r="G22" s="19">
        <f t="shared" si="0"/>
        <v>27</v>
      </c>
      <c r="H22" s="18">
        <f>COUNTIFS(ШТАТ!AM:AM,"1 МСБ",ШТАТ!AL:AL," 1 ВО б",ШТАТ!AJ:AJ,"о")</f>
        <v>0</v>
      </c>
      <c r="I22" s="34">
        <f>COUNTIFS(ШТАТ!AM:AM,"1 МСБ",ШТАТ!AL:AL," 1 ВО б",ШТАТ!AJ:AJ,"п")</f>
        <v>1</v>
      </c>
      <c r="J22" s="19">
        <f>SUM(K22:L22)</f>
        <v>5</v>
      </c>
      <c r="K22" s="20">
        <f>COUNTIFS(ШТАТ!AM:AM,"1 МСБ",ШТАТ!AL:AL," 1 ВО б",ШТАТ!AK:AK,3,ШТАТ!AJ:AJ,"к/с")</f>
        <v>5</v>
      </c>
      <c r="L22" s="35">
        <v>0</v>
      </c>
      <c r="M22" s="19">
        <f>N22+O22</f>
        <v>20</v>
      </c>
      <c r="N22" s="36">
        <f>COUNTIFS(ШТАТ!AM:AM,"1 МСБ",ШТАТ!AL:AL," 1 ВО б",ШТАТ!AK:AK,4,ШТАТ!AJ:AJ,"к/с")</f>
        <v>20</v>
      </c>
      <c r="O22" s="22">
        <f>COUNTIFS(ШТАТ!AM:AM,"1 МСБ",ШТАТ!AL:AL," 1 ВО б",ШТАТ!AK:AK,4,ШТАТ!AJ:AJ,"с/с")</f>
        <v>0</v>
      </c>
      <c r="P22" s="19">
        <f>SUM(Q22:R22)</f>
        <v>25</v>
      </c>
      <c r="Q22" s="22">
        <f t="shared" si="2"/>
        <v>25</v>
      </c>
      <c r="R22" s="21">
        <f t="shared" si="3"/>
        <v>0</v>
      </c>
      <c r="S22" s="19">
        <f t="shared" si="4"/>
        <v>26</v>
      </c>
      <c r="T22" s="37">
        <f t="shared" si="5"/>
        <v>0.96296296296296291</v>
      </c>
      <c r="U22" s="24">
        <f>COUNTIFS(ШТАТ!U:U,"",ШТАТ!AM:AM,"1 МСБ",ШТАТ!AL:AL," 1 ВО б",ШТАТ!AJ:AJ,"о")</f>
        <v>0</v>
      </c>
      <c r="V22" s="24">
        <f>COUNTIFS(ШТАТ!U:U,"",ШТАТ!AM:AM,"1 МСБ",ШТАТ!AL:AL," 1 ВО б",ШТАТ!AJ:AJ,"п")</f>
        <v>1</v>
      </c>
      <c r="W22" s="103">
        <f t="shared" si="11"/>
        <v>0</v>
      </c>
      <c r="X22" s="24">
        <f>COUNTIFS(ШТАТ!U:U,"",ШТАТ!AM:AM,"1 МСБ",ШТАТ!AL:AL," 1 ВО б",ШТАТ!AK:AK,3,ШТАТ!AJ:AJ,"к/с")</f>
        <v>0</v>
      </c>
      <c r="Y22" s="24">
        <f>COUNTIFS(ШТАТ!U:U,"",ШТАТ!AM:AM,"1 МСБ",ШТАТ!AL:AL,B22,ШТАТ!AK:AK,3,ШТАТ!AJ:AJ,"с/с")</f>
        <v>0</v>
      </c>
      <c r="Z22" s="25">
        <f t="shared" si="12"/>
        <v>2</v>
      </c>
      <c r="AA22" s="39">
        <f>COUNTIFS(ШТАТ!U:U,"",ШТАТ!AM:AM,"1 МСБ",ШТАТ!AL:AL," 1 ВО б",ШТАТ!AK:AK,4,ШТАТ!AJ:AJ,"к/с")</f>
        <v>2</v>
      </c>
      <c r="AB22" s="24">
        <f>COUNTIFS(ШТАТ!U:U,"",ШТАТ!AM:AM,"1 МСБ",ШТАТ!AL:AL," 1 ВО б",ШТАТ!AK:AK,4,ШТАТ!AJ:AJ,"с/с")</f>
        <v>0</v>
      </c>
      <c r="AC22" s="25">
        <f>SUM(AD22:AE22)</f>
        <v>2</v>
      </c>
      <c r="AD22" s="21">
        <f>X22+AA22</f>
        <v>2</v>
      </c>
      <c r="AE22" s="35">
        <f>SUM(Y22,AB22)</f>
        <v>0</v>
      </c>
      <c r="AF22" s="19">
        <f t="shared" si="14"/>
        <v>3</v>
      </c>
      <c r="AG22" s="24"/>
      <c r="AH22" s="24">
        <f>COUNTIFS(ШТАТ!$AL:$AL,$B22,ШТАТ!$U:$U,"МП")</f>
        <v>0</v>
      </c>
      <c r="AI22" s="24">
        <f>COUNTIFS(ШТАТ!AM:AM,"1 МСБ",ШТАТ!AL:AL," 1 ВО б",ШТАТ!U:U,"осв-ие")</f>
        <v>0</v>
      </c>
      <c r="AJ22" s="24">
        <f>COUNTIFS(ШТАТ!AM:AM,"1 МСБ",ШТАТ!AL:AL," 1 ВО б",ШТАТ!U:U,"госп")</f>
        <v>0</v>
      </c>
      <c r="AK22" s="27">
        <f t="shared" si="15"/>
        <v>21</v>
      </c>
      <c r="AL22" s="24">
        <f>COUNTIFS(ШТАТ!AM:AM,"1 МСБ",ШТАТ!AL:AL," 1 ВО б",ШТАТ!W:W,"Барсуковка")</f>
        <v>0</v>
      </c>
      <c r="AM22" s="24">
        <f>COUNTIFS(ШТАТ!$AL:$AL,$B22,ШТАТ!$W:$W,"Павенково")</f>
        <v>0</v>
      </c>
      <c r="AN22" s="18"/>
      <c r="AO22" s="24">
        <f>COUNTIFS(ШТАТ!AM:AM,"1 МСБ",ШТАТ!AL:AL,"1 ВО б",ШТАТ!W:W,"полигон Чехово")</f>
        <v>0</v>
      </c>
      <c r="AP22" s="24">
        <f>COUNTIFS(ШТАТ!AM:AM,"1 МСБ",ШТАТ!AL:AL,"1 ВО б",ШТАТ!X:X,"Такелажные работы")</f>
        <v>0</v>
      </c>
      <c r="AQ22" s="18">
        <f>COUNTIFS(ШТАТ!AM:AM,"1 МСБ",ШТАТ!AL:AL,"1 ВО б",ШТАТ!X:X,"Усиление объектов")</f>
        <v>0</v>
      </c>
      <c r="AR22" s="34">
        <f>COUNTIFS(ШТАТ!AM:AM,"1 МСБ",ШТАТ!AL:AL," 1 ВО б",ШТАТ!U:U,"полигон")-SUM(AL22:AO22)</f>
        <v>0</v>
      </c>
      <c r="AS22" s="38"/>
      <c r="AT22" s="24">
        <f>COUNTIFS(ШТАТ!AM:AM,"1 МСБ",ШТАТ!AL:AL,"1 ВО б",ШТАТ!X:X,"САР")</f>
        <v>0</v>
      </c>
      <c r="AU22" s="24">
        <f>COUNTIFS(ШТАТ!AM:AM,"1 МСБ",ШТАТ!AL:AL,B22,ШТАТ!X:X,"Выполнение специальных задач")</f>
        <v>2</v>
      </c>
      <c r="AV22" s="24">
        <f>COUNTIFS(ШТАТ!AM:AM,"1 МСБ",ШТАТ!AL:AL,"1 ВО б",ШТАТ!X:X,"Переподготовка")</f>
        <v>0</v>
      </c>
      <c r="AW22" s="24">
        <f>COUNTIFS(ШТАТ!AM:AM,"1 МСБ",ШТАТ!AL:AL,"1 ВО б",ШТАТ!X:X,"Усиление объектов")</f>
        <v>0</v>
      </c>
      <c r="AX22" s="38">
        <v>0</v>
      </c>
      <c r="AY22" s="38"/>
      <c r="AZ22" s="24">
        <f>COUNTIFS(ШТАТ!AM:AM,"1 МСБ",ШТАТ!AL:AL," 1 ВО б",ШТАТ!W:W,"г. Белгород")</f>
        <v>18</v>
      </c>
      <c r="BA22" s="24">
        <f>COUNTIFS(ШТАТ!AM:AM,"1 МСБ",ШТАТ!AL:AL," 1 ВО б",ШТАТ!W:W,"в/ч 38838")</f>
        <v>0</v>
      </c>
      <c r="BB22" s="24">
        <f>COUNTIFS(ШТАТ!AM:AM,"1 МСБ",ШТАТ!AL:AL,"1 ВО б",ШТАТ!W:W,"в/ч 90151")</f>
        <v>0</v>
      </c>
      <c r="BC22" s="24"/>
      <c r="BD22" s="26">
        <f>COUNTIFS(ШТАТ!$AL:$AL,$B22,ШТАТ!$U:$U,"ком-ка")-SUM(AS22:BC22)-AP22-AQ22</f>
        <v>1</v>
      </c>
      <c r="BE22" s="24">
        <f>COUNTIFS(ШТАТ!AM:AM,"1 МСБ",ШТАТ!AL:AL," 1 ВО б",ШТАТ!U:U,"отпуск")</f>
        <v>2</v>
      </c>
      <c r="BF22" s="36"/>
      <c r="BG22" s="24">
        <f>COUNTIFS(ШТАТ!AM:AM,"1 МСБ",ШТАТ!AL:AL,B22,ШТАТ!U:U,"СОЧ")</f>
        <v>0</v>
      </c>
      <c r="BH22" s="28">
        <f t="shared" si="7"/>
        <v>23</v>
      </c>
      <c r="BI22" s="29" t="e">
        <f>#REF!-#REF!</f>
        <v>#REF!</v>
      </c>
      <c r="BJ22" s="19" t="e">
        <f t="shared" si="17"/>
        <v>#REF!</v>
      </c>
    </row>
    <row r="23" spans="1:62" ht="141.75" customHeight="1" thickBot="1" x14ac:dyDescent="0.3">
      <c r="A23" s="30"/>
      <c r="B23" s="41" t="s">
        <v>910</v>
      </c>
      <c r="C23" s="42">
        <f t="shared" ref="C23:S23" si="18">SUM(C13:C22)</f>
        <v>27</v>
      </c>
      <c r="D23" s="42">
        <f t="shared" si="18"/>
        <v>12</v>
      </c>
      <c r="E23" s="42">
        <f t="shared" si="18"/>
        <v>55</v>
      </c>
      <c r="F23" s="42">
        <f t="shared" si="18"/>
        <v>328</v>
      </c>
      <c r="G23" s="43">
        <f t="shared" si="18"/>
        <v>422</v>
      </c>
      <c r="H23" s="42">
        <f t="shared" si="18"/>
        <v>26</v>
      </c>
      <c r="I23" s="42">
        <f t="shared" si="18"/>
        <v>7</v>
      </c>
      <c r="J23" s="43">
        <f>SUM(J13:J22)</f>
        <v>46</v>
      </c>
      <c r="K23" s="42">
        <f t="shared" si="18"/>
        <v>46</v>
      </c>
      <c r="L23" s="42">
        <f t="shared" si="18"/>
        <v>0</v>
      </c>
      <c r="M23" s="42">
        <f t="shared" si="18"/>
        <v>283</v>
      </c>
      <c r="N23" s="42">
        <f t="shared" si="18"/>
        <v>283</v>
      </c>
      <c r="O23" s="42">
        <f t="shared" si="18"/>
        <v>0</v>
      </c>
      <c r="P23" s="42">
        <f t="shared" si="18"/>
        <v>329</v>
      </c>
      <c r="Q23" s="42">
        <f t="shared" si="18"/>
        <v>329</v>
      </c>
      <c r="R23" s="43">
        <f t="shared" si="18"/>
        <v>0</v>
      </c>
      <c r="S23" s="43">
        <f t="shared" si="18"/>
        <v>362</v>
      </c>
      <c r="T23" s="44">
        <f t="shared" si="5"/>
        <v>0.85781990521327012</v>
      </c>
      <c r="U23" s="45">
        <f>SUM(U13:U22)</f>
        <v>1</v>
      </c>
      <c r="V23" s="45">
        <f t="shared" ref="V23:AF23" si="19">SUM(V13:V22)</f>
        <v>1</v>
      </c>
      <c r="W23" s="45">
        <f t="shared" si="19"/>
        <v>2</v>
      </c>
      <c r="X23" s="45">
        <f t="shared" si="19"/>
        <v>2</v>
      </c>
      <c r="Y23" s="45">
        <f t="shared" si="19"/>
        <v>0</v>
      </c>
      <c r="Z23" s="45">
        <f t="shared" si="19"/>
        <v>27</v>
      </c>
      <c r="AA23" s="45">
        <f t="shared" si="19"/>
        <v>27</v>
      </c>
      <c r="AB23" s="45">
        <f t="shared" si="19"/>
        <v>0</v>
      </c>
      <c r="AC23" s="45">
        <f t="shared" si="19"/>
        <v>29</v>
      </c>
      <c r="AD23" s="45">
        <f t="shared" si="19"/>
        <v>29</v>
      </c>
      <c r="AE23" s="45">
        <f t="shared" si="19"/>
        <v>0</v>
      </c>
      <c r="AF23" s="45">
        <f t="shared" si="19"/>
        <v>31</v>
      </c>
      <c r="AG23" s="45">
        <f>SUM(AG13:AG22)</f>
        <v>0</v>
      </c>
      <c r="AH23" s="45">
        <f t="shared" ref="AH23:AN23" si="20">SUM(AH13:AH22)</f>
        <v>0</v>
      </c>
      <c r="AI23" s="45">
        <f t="shared" si="20"/>
        <v>1</v>
      </c>
      <c r="AJ23" s="45">
        <f t="shared" si="20"/>
        <v>2</v>
      </c>
      <c r="AK23" s="45">
        <f>SUM(AK13:AK22)</f>
        <v>312</v>
      </c>
      <c r="AL23" s="45">
        <f t="shared" si="20"/>
        <v>1</v>
      </c>
      <c r="AM23" s="45">
        <f t="shared" si="20"/>
        <v>0</v>
      </c>
      <c r="AN23" s="45">
        <f t="shared" si="20"/>
        <v>0</v>
      </c>
      <c r="AO23" s="45">
        <f>SUM(AO13:AO22)</f>
        <v>0</v>
      </c>
      <c r="AP23" s="45">
        <f t="shared" ref="AP23:AY23" si="21">SUM(AP13:AP22)</f>
        <v>0</v>
      </c>
      <c r="AQ23" s="45">
        <f t="shared" si="21"/>
        <v>0</v>
      </c>
      <c r="AR23" s="45">
        <f t="shared" si="21"/>
        <v>0</v>
      </c>
      <c r="AS23" s="45">
        <f t="shared" si="21"/>
        <v>0</v>
      </c>
      <c r="AT23" s="45">
        <f t="shared" si="21"/>
        <v>0</v>
      </c>
      <c r="AU23" s="45">
        <f>SUM(AU13:AU22)</f>
        <v>9</v>
      </c>
      <c r="AV23" s="45">
        <f t="shared" si="21"/>
        <v>0</v>
      </c>
      <c r="AW23" s="45">
        <f t="shared" si="21"/>
        <v>0</v>
      </c>
      <c r="AX23" s="45">
        <f t="shared" si="21"/>
        <v>0</v>
      </c>
      <c r="AY23" s="45">
        <f t="shared" si="21"/>
        <v>0</v>
      </c>
      <c r="AZ23" s="45">
        <f>SUM(AZ13:AZ22)</f>
        <v>291</v>
      </c>
      <c r="BA23" s="45">
        <f>SUM(BA13:BA22)</f>
        <v>0</v>
      </c>
      <c r="BB23" s="45">
        <f>SUM(BB13:BB22)</f>
        <v>0</v>
      </c>
      <c r="BC23" s="45">
        <f>SUM(BC13:BC22)</f>
        <v>0</v>
      </c>
      <c r="BD23" s="105">
        <f>SUM(BD13:BD22)</f>
        <v>11</v>
      </c>
      <c r="BE23" s="45">
        <f t="shared" ref="BE23:BJ23" si="22">SUM(BE13:BE22)</f>
        <v>6</v>
      </c>
      <c r="BF23" s="45">
        <f t="shared" si="22"/>
        <v>0</v>
      </c>
      <c r="BG23" s="45">
        <f t="shared" si="22"/>
        <v>11</v>
      </c>
      <c r="BH23" s="105">
        <f t="shared" si="22"/>
        <v>332</v>
      </c>
      <c r="BI23" s="45" t="e">
        <f t="shared" si="22"/>
        <v>#REF!</v>
      </c>
      <c r="BJ23" s="105" t="e">
        <f t="shared" si="22"/>
        <v>#REF!</v>
      </c>
    </row>
    <row r="24" spans="1:62" ht="177" customHeight="1" thickBot="1" x14ac:dyDescent="0.3">
      <c r="A24" s="30"/>
      <c r="B24" s="31" t="s">
        <v>459</v>
      </c>
      <c r="C24" s="18">
        <f>COUNTIFS(ШТАТ!AM:AM,"2 МСБ",ШТАТ!AL:AL,"Упр. 2 МСБ",ШТАТ!AK:AK,1)</f>
        <v>4</v>
      </c>
      <c r="D24" s="18">
        <f>COUNTIFS(ШТАТ!AM:AM,"2 МСБ",ШТАТ!AL:AL,"Упр. 2 МСБ",ШТАТ!AK:AK,2)</f>
        <v>0</v>
      </c>
      <c r="E24" s="18">
        <f>COUNTIFS(ШТАТ!AM:AM,"2 МСБ",ШТАТ!AL:AL,"Упр. 2 МСБ",ШТАТ!AK:AK,3)</f>
        <v>1</v>
      </c>
      <c r="F24" s="18">
        <f>COUNTIFS(ШТАТ!AM:AM,"2 МСБ",ШТАТ!AL:AL,"Упр. 2 МСБ",ШТАТ!AK:AK,4)</f>
        <v>0</v>
      </c>
      <c r="G24" s="19">
        <f t="shared" ref="G24:G33" si="23">SUM(C24:F24)</f>
        <v>5</v>
      </c>
      <c r="H24" s="18">
        <f>COUNTIFS(ШТАТ!AM:AM,"2 МСБ",ШТАТ!AL:AL,"Упр. 2 МСБ",ШТАТ!AJ:AJ,"о")</f>
        <v>3</v>
      </c>
      <c r="I24" s="18">
        <f>COUNTIFS(ШТАТ!AM:AM,"2 МСБ",ШТАТ!AL:AL,"Упр. 2 МСБ",ШТАТ!AJ:AJ,"п")</f>
        <v>0</v>
      </c>
      <c r="J24" s="19">
        <f t="shared" ref="J24:J33" si="24">SUM(K24:L24)</f>
        <v>1</v>
      </c>
      <c r="K24" s="20">
        <f>COUNTIFS(ШТАТ!AM:AM,"2 МСБ",ШТАТ!AL:AL,"Упр. 2 МСБ",ШТАТ!AK:AK,3,ШТАТ!AJ:AJ,"к/с")</f>
        <v>0</v>
      </c>
      <c r="L24" s="21">
        <f>COUNTIFS(ШТАТ!AM:AM,"2 МСБ",ШТАТ!AL:AL,B24,ШТАТ!AK:AK,3,ШТАТ!AJ:AJ,"с/с")</f>
        <v>1</v>
      </c>
      <c r="M24" s="19">
        <f t="shared" ref="M24:M30" si="25">N24+O24</f>
        <v>0</v>
      </c>
      <c r="N24" s="22">
        <f>COUNTIFS(ШТАТ!AM:AM,"2 МСБ",ШТАТ!AL:AL,"Упр. 2 МСБ",ШТАТ!AK:AK,4,ШТАТ!AJ:AJ,"к/с")</f>
        <v>0</v>
      </c>
      <c r="O24" s="22">
        <f>COUNTIFS(ШТАТ!AM:AM,"2 МСБ",ШТАТ!AL:AL,"Упр. 2 МСБ",ШТАТ!AK:AK,4,ШТАТ!AJ:AJ,"с/с")</f>
        <v>0</v>
      </c>
      <c r="P24" s="19">
        <f t="shared" ref="P24:P30" si="26">SUM(Q24:R24)</f>
        <v>1</v>
      </c>
      <c r="Q24" s="22">
        <f t="shared" ref="Q24:Q33" si="27">K24+N24</f>
        <v>0</v>
      </c>
      <c r="R24" s="21">
        <f t="shared" ref="R24:R33" si="28">L24+O24</f>
        <v>1</v>
      </c>
      <c r="S24" s="19">
        <f t="shared" ref="S24:S33" si="29">SUM(H24:J24,M24)</f>
        <v>4</v>
      </c>
      <c r="T24" s="23">
        <f t="shared" si="5"/>
        <v>0.8</v>
      </c>
      <c r="U24" s="102">
        <f>COUNTIFS(ШТАТ!U:U,"",ШТАТ!AM:AM,"2 МСБ",ШТАТ!AL:AL,"Упр. 2 МСБ",ШТАТ!AJ:AJ,"о")</f>
        <v>1</v>
      </c>
      <c r="V24" s="102">
        <f>COUNTIFS(ШТАТ!U:U,"",ШТАТ!AM:AM,"2 МСБ",ШТАТ!AL:AL,"Упр. 2 МСБ",ШТАТ!AJ:AJ,"п")</f>
        <v>0</v>
      </c>
      <c r="W24" s="103">
        <f t="shared" ref="W24:W33" si="30">SUM(X24:Y24)</f>
        <v>0</v>
      </c>
      <c r="X24" s="102">
        <f>COUNTIFS(ШТАТ!U:U,"",ШТАТ!AM:AM,"2 МСБ",ШТАТ!AL:AL,"Упр. 2 МСБ",ШТАТ!AK:AK,3,ШТАТ!AJ:AJ,"к/с")</f>
        <v>0</v>
      </c>
      <c r="Y24" s="102">
        <f>COUNTIFS(ШТАТ!U:U,"",ШТАТ!AM:AM,"2 МСБ",ШТАТ!AL:AL,B24,ШТАТ!AK:AK,3,ШТАТ!AJ:AJ,"с/с")</f>
        <v>0</v>
      </c>
      <c r="Z24" s="103">
        <f t="shared" ref="Z24:Z32" si="31">SUM(AA24:AB24)</f>
        <v>0</v>
      </c>
      <c r="AA24" s="104">
        <f>COUNTIFS(ШТАТ!U:U,"",ШТАТ!AM:AM,"2 МСБ",ШТАТ!AL:AL,"Упр. 2 МСБ",ШТАТ!AK:AK,4,ШТАТ!AJ:AJ,"к/с")</f>
        <v>0</v>
      </c>
      <c r="AB24" s="102">
        <f>COUNTIFS(ШТАТ!U:U,"",ШТАТ!AM:AM,"2 МСБ",ШТАТ!AL:AL,"Упр. 2 МСБ",ШТАТ!AK:AK,4,ШТАТ!AJ:AJ,"с/с")</f>
        <v>0</v>
      </c>
      <c r="AC24" s="25">
        <f t="shared" ref="AC24:AC32" si="32">SUM(AD24:AE24)</f>
        <v>0</v>
      </c>
      <c r="AD24" s="21">
        <f>X24+AA24</f>
        <v>0</v>
      </c>
      <c r="AE24" s="22">
        <f>SUM(Y24,AB24)</f>
        <v>0</v>
      </c>
      <c r="AF24" s="19">
        <f>SUM(U24,V24,AC24)</f>
        <v>1</v>
      </c>
      <c r="AG24" s="24"/>
      <c r="AH24" s="24">
        <f>COUNTIFS(ШТАТ!$AL:$AL,$B24,ШТАТ!$U:$U,"МП")</f>
        <v>0</v>
      </c>
      <c r="AI24" s="24">
        <f>COUNTIFS(ШТАТ!AM:AM,"2 МСБ",ШТАТ!AL:AL,"Упр. 2 МСБ",ШТАТ!U:U,"осв-ие")</f>
        <v>0</v>
      </c>
      <c r="AJ24" s="24">
        <f>COUNTIFS(ШТАТ!AM:AM,"2 МСБ",ШТАТ!AL:AL,"Упр. 2 МСБ",ШТАТ!U:U,"госп")</f>
        <v>0</v>
      </c>
      <c r="AK24" s="27">
        <f t="shared" ref="AK24:AK30" si="33">SUM(AL24:BD24)</f>
        <v>3</v>
      </c>
      <c r="AL24" s="24">
        <f>COUNTIFS(ШТАТ!AM:AM,"2 МСБ",ШТАТ!AL:AL,"Упр. 2 МСБ",ШТАТ!W:W,"Барсуковка")</f>
        <v>0</v>
      </c>
      <c r="AM24" s="24">
        <f>COUNTIFS(ШТАТ!$AL:$AL,$B24,ШТАТ!$W:$W,"Павенково")</f>
        <v>0</v>
      </c>
      <c r="AN24" s="18"/>
      <c r="AO24" s="24"/>
      <c r="AP24" s="24"/>
      <c r="AQ24" s="18"/>
      <c r="AR24" s="18">
        <f>COUNTIFS(ШТАТ!AM:AM,"2 МСБ",ШТАТ!AL:AL,"Упр. 2 МСБ",ШТАТ!U:U,"полигон")-SUM(AL24:AO24)</f>
        <v>0</v>
      </c>
      <c r="AS24" s="24"/>
      <c r="AT24" s="24">
        <f>COUNTIFS(ШТАТ!AM:AM,"2 МСБ",ШТАТ!AL:AL,"Упр. 2 МСБ",ШТАТ!X:X,"САР")</f>
        <v>0</v>
      </c>
      <c r="AU24" s="24">
        <f>COUNTIFS(ШТАТ!AM:AM,"2 МСБ",ШТАТ!AL:AL,"Упр. 2 МСБ",ШТАТ!X:X,"Выполнение специальных задач")</f>
        <v>0</v>
      </c>
      <c r="AV24" s="24">
        <f>COUNTIFS(ШТАТ!AM:AM,"2 МСБ",ШТАТ!AL:AL,"Упр. 2 МСБ",ШТАТ!X:X,"Переподготовка")</f>
        <v>0</v>
      </c>
      <c r="AW24" s="24">
        <f>COUNTIFS(ШТАТ!AM:AM,"2 МСБ",ШТАТ!AL:AL,"Упр. 2 МСБ",ШТАТ!X:X,"Усиление объектов")</f>
        <v>0</v>
      </c>
      <c r="AX24" s="24"/>
      <c r="AY24" s="24"/>
      <c r="AZ24" s="24">
        <f>COUNTIFS(ШТАТ!AM:AM,"2 МСБ",ШТАТ!AL:AL,"Упр. 2 МСБ",ШТАТ!W:W,"г. Белгород")</f>
        <v>2</v>
      </c>
      <c r="BA24" s="24">
        <f>COUNTIFS(ШТАТ!AM:AM,"2 МСБ",ШТАТ!AL:AL,"Упр. 2 МСБ",ШТАТ!W:W,"в/ч 38838")</f>
        <v>1</v>
      </c>
      <c r="BB24" s="24">
        <f>COUNTIFS(ШТАТ!AM:AM,"2 МСБ",ШТАТ!AL:AL,"Упр. 2 МСБ",ШТАТ!W:W,"в/ч 90151")</f>
        <v>0</v>
      </c>
      <c r="BC24" s="24"/>
      <c r="BD24" s="26">
        <f>COUNTIFS(ШТАТ!$AL:$AL,$B24,ШТАТ!$U:$U,"ком-ка")-SUM(AS24:BC24)-AP24-AQ24</f>
        <v>0</v>
      </c>
      <c r="BE24" s="24">
        <f>COUNTIFS(ШТАТ!AM:AM,"2 МСБ",ШТАТ!AL:AL,"Упр. 2 МСБ",ШТАТ!U:U,"отпуск")</f>
        <v>0</v>
      </c>
      <c r="BF24" s="22"/>
      <c r="BG24" s="24">
        <f>COUNTIFS(ШТАТ!AM:AM,"2 МСБ",ШТАТ!AL:AL,B24,ШТАТ!U:U,"СОЧ")</f>
        <v>0</v>
      </c>
      <c r="BH24" s="28">
        <f t="shared" ref="BH24:BH30" si="34">SUM(AG24:AJ24)+SUM(BE24:BG24)+AK24</f>
        <v>3</v>
      </c>
      <c r="BI24" s="29" t="e">
        <f>#REF!-#REF!</f>
        <v>#REF!</v>
      </c>
      <c r="BJ24" s="19" t="e">
        <f t="shared" si="17"/>
        <v>#REF!</v>
      </c>
    </row>
    <row r="25" spans="1:62" ht="106.5" customHeight="1" thickBot="1" x14ac:dyDescent="0.3">
      <c r="A25" s="30"/>
      <c r="B25" s="32" t="s">
        <v>463</v>
      </c>
      <c r="C25" s="18">
        <f>COUNTIFS(ШТАТ!AM:AM,"2 МСБ",ШТАТ!AL:AL,"4 МСР",ШТАТ!AK:AK,1)</f>
        <v>5</v>
      </c>
      <c r="D25" s="18">
        <f>COUNTIFS(ШТАТ!AM:AM,"2 МСБ",ШТАТ!AL:AL,"4 МСР",ШТАТ!AK:AK,2)</f>
        <v>3</v>
      </c>
      <c r="E25" s="18">
        <f>COUNTIFS(ШТАТ!AM:AM,"2 МСБ",ШТАТ!AL:AL,"4 МСР",ШТАТ!AK:AK,3)</f>
        <v>10</v>
      </c>
      <c r="F25" s="18">
        <f>COUNTIFS(ШТАТ!AM:AM,"2 МСБ",ШТАТ!AL:AL,"4 МСР",ШТАТ!AK:AK,4)</f>
        <v>76</v>
      </c>
      <c r="G25" s="19">
        <f t="shared" si="23"/>
        <v>94</v>
      </c>
      <c r="H25" s="18">
        <f>COUNTIFS(ШТАТ!AM:AM,"2 МСБ",ШТАТ!AL:AL,"4 МСР",ШТАТ!AJ:AJ,"о")</f>
        <v>5</v>
      </c>
      <c r="I25" s="18">
        <f>COUNTIFS(ШТАТ!AM:AM,"2 МСБ",ШТАТ!AL:AL,"4 МСР",ШТАТ!AJ:AJ,"п")</f>
        <v>2</v>
      </c>
      <c r="J25" s="19">
        <f t="shared" si="24"/>
        <v>10</v>
      </c>
      <c r="K25" s="20">
        <f>COUNTIFS(ШТАТ!AM:AM,"2 МСБ",ШТАТ!AL:AL,"4 МСР",ШТАТ!AK:AK,3,ШТАТ!AJ:AJ,"к/с")</f>
        <v>1</v>
      </c>
      <c r="L25" s="21">
        <f>COUNTIFS(ШТАТ!AM:AM,"2 МСБ",ШТАТ!AL:AL,B25,ШТАТ!AK:AK,3,ШТАТ!AJ:AJ,"с/с")</f>
        <v>9</v>
      </c>
      <c r="M25" s="19">
        <f t="shared" si="25"/>
        <v>75</v>
      </c>
      <c r="N25" s="22">
        <f>COUNTIFS(ШТАТ!AM:AM,"2 МСБ",ШТАТ!AL:AL,"4 МСР",ШТАТ!AK:AK,4,ШТАТ!AJ:AJ,"к/с")</f>
        <v>1</v>
      </c>
      <c r="O25" s="22">
        <f>COUNTIFS(ШТАТ!AM:AM,"2 МСБ",ШТАТ!AL:AL,"4 МСР",ШТАТ!AK:AK,4,ШТАТ!AJ:AJ,"с/с")</f>
        <v>74</v>
      </c>
      <c r="P25" s="19">
        <f t="shared" si="26"/>
        <v>85</v>
      </c>
      <c r="Q25" s="22">
        <f t="shared" si="27"/>
        <v>2</v>
      </c>
      <c r="R25" s="21">
        <f t="shared" si="28"/>
        <v>83</v>
      </c>
      <c r="S25" s="19">
        <f t="shared" si="29"/>
        <v>92</v>
      </c>
      <c r="T25" s="23">
        <f t="shared" si="5"/>
        <v>0.97872340425531912</v>
      </c>
      <c r="U25" s="24">
        <f>COUNTIFS(ШТАТ!U:U,"",ШТАТ!AM:AM,"2 МСБ",ШТАТ!AL:AL,"4 МСР",ШТАТ!AJ:AJ,"о")</f>
        <v>3</v>
      </c>
      <c r="V25" s="24">
        <f>COUNTIFS(ШТАТ!U:U,"",ШТАТ!AM:AM,"2 МСБ",ШТАТ!AL:AL,"4 МСР",ШТАТ!AJ:AJ,"п")</f>
        <v>2</v>
      </c>
      <c r="W25" s="103">
        <f t="shared" si="30"/>
        <v>1</v>
      </c>
      <c r="X25" s="24">
        <f>COUNTIFS(ШТАТ!U:U,"",ШТАТ!AM:AM,"2 МСБ",ШТАТ!AL:AL,"4 МСР",ШТАТ!AK:AK,3,ШТАТ!AJ:AJ,"к/с")</f>
        <v>1</v>
      </c>
      <c r="Y25" s="102">
        <f>COUNTIFS(ШТАТ!U:U,"",ШТАТ!AM:AM,"2 МСБ",ШТАТ!AL:AL,B25,ШТАТ!AK:AK,3,ШТАТ!AJ:AJ,"с/с")</f>
        <v>0</v>
      </c>
      <c r="Z25" s="25">
        <f t="shared" si="31"/>
        <v>1</v>
      </c>
      <c r="AA25" s="26">
        <f>COUNTIFS(ШТАТ!U:U,"",ШТАТ!AM:AM,"2 МСБ",ШТАТ!AL:AL,"4 МСР",ШТАТ!AK:AK,4,ШТАТ!AJ:AJ,"к/с")</f>
        <v>0</v>
      </c>
      <c r="AB25" s="24">
        <f>COUNTIFS(ШТАТ!U:U,"",ШТАТ!AM:AM,"2 МСБ",ШТАТ!AL:AL,"4 МСР",ШТАТ!AK:AK,4,ШТАТ!AJ:AJ,"с/с")</f>
        <v>1</v>
      </c>
      <c r="AC25" s="25">
        <f t="shared" si="32"/>
        <v>2</v>
      </c>
      <c r="AD25" s="21">
        <f t="shared" ref="AD25:AD32" si="35">X25+AA25</f>
        <v>1</v>
      </c>
      <c r="AE25" s="21">
        <f>SUM(Y25,AB25)</f>
        <v>1</v>
      </c>
      <c r="AF25" s="19">
        <f t="shared" ref="AF25:AF32" si="36">SUM(U25,V25,AC25)</f>
        <v>7</v>
      </c>
      <c r="AG25" s="24"/>
      <c r="AH25" s="24">
        <f>COUNTIFS(ШТАТ!$AL:$AL,$B25,ШТАТ!$U:$U,"МП")</f>
        <v>0</v>
      </c>
      <c r="AI25" s="24">
        <f>COUNTIFS(ШТАТ!AM:AM,"2 МСБ",ШТАТ!AL:AL,"4 МСР",ШТАТ!U:U,"осв-ие")</f>
        <v>0</v>
      </c>
      <c r="AJ25" s="24">
        <f>COUNTIFS(ШТАТ!AM:AM,"2 МСБ",ШТАТ!AL:AL,"4 МСР",ШТАТ!U:U,"госп")</f>
        <v>3</v>
      </c>
      <c r="AK25" s="27">
        <f t="shared" si="33"/>
        <v>82</v>
      </c>
      <c r="AL25" s="24">
        <f>COUNTIFS(ШТАТ!AM:AM,"2 МСБ",ШТАТ!AL:AL,"4 МСР",ШТАТ!W:W,"Барсуковка")</f>
        <v>0</v>
      </c>
      <c r="AM25" s="24">
        <f>COUNTIFS(ШТАТ!$AL:$AL,$B25,ШТАТ!$W:$W,"Павенково")</f>
        <v>0</v>
      </c>
      <c r="AN25" s="18"/>
      <c r="AO25" s="24"/>
      <c r="AP25" s="24"/>
      <c r="AQ25" s="18"/>
      <c r="AR25" s="18">
        <f>COUNTIFS(ШТАТ!AM:AM,"2 МСБ",ШТАТ!AL:AL,"4 МСР",ШТАТ!U:U,"полигон")-SUM(AL25:AO25)</f>
        <v>0</v>
      </c>
      <c r="AS25" s="24"/>
      <c r="AT25" s="24">
        <f>COUNTIFS(ШТАТ!AM:AM,"2 МСБ",ШТАТ!AL:AL,"4 МСР",ШТАТ!X:X,"САР")</f>
        <v>0</v>
      </c>
      <c r="AU25" s="24">
        <f>COUNTIFS(ШТАТ!AM:AM,"2 МСБ",ШТАТ!AL:AL,"4 МСР",ШТАТ!X:X,"Выполнение специальных задач")</f>
        <v>1</v>
      </c>
      <c r="AV25" s="24">
        <f>COUNTIFS(ШТАТ!AM:AM,"2 МСБ",ШТАТ!AL:AL,"4 МСР",ШТАТ!X:X,"Переподготовка")</f>
        <v>0</v>
      </c>
      <c r="AW25" s="24">
        <f>COUNTIFS(ШТАТ!AM:AM,"2 МСБ",ШТАТ!AL:AL,"4 МСР",ШТАТ!X:X,"Усиление объектов")</f>
        <v>0</v>
      </c>
      <c r="AX25" s="24"/>
      <c r="AY25" s="24"/>
      <c r="AZ25" s="24">
        <f>COUNTIFS(ШТАТ!AM:AM,"2 МСБ",ШТАТ!AL:AL,"4 МСР",ШТАТ!W:W,"г. Белгород")</f>
        <v>1</v>
      </c>
      <c r="BA25" s="24">
        <f>COUNTIFS(ШТАТ!AM:AM,"2 МСБ",ШТАТ!AL:AL,"4 МСР",ШТАТ!W:W,"в/ч 38838")</f>
        <v>70</v>
      </c>
      <c r="BB25" s="24">
        <f>COUNTIFS(ШТАТ!AM:AM,"2 МСБ",ШТАТ!AL:AL,"4 МСР",ШТАТ!W:W,"в/ч 90151")</f>
        <v>1</v>
      </c>
      <c r="BC25" s="24"/>
      <c r="BD25" s="26">
        <f>COUNTIFS(ШТАТ!$AL:$AL,$B25,ШТАТ!$U:$U,"ком-ка")-SUM(AS25:BC25)-AP25-AQ25</f>
        <v>9</v>
      </c>
      <c r="BE25" s="24">
        <f>COUNTIFS(ШТАТ!AM:AM,"2 МСБ",ШТАТ!AL:AL,"4 МСР",ШТАТ!U:U,"отпуск")</f>
        <v>0</v>
      </c>
      <c r="BF25" s="22"/>
      <c r="BG25" s="24">
        <f>COUNTIFS(ШТАТ!AM:AM,"2 МСБ",ШТАТ!AL:AL,B25,ШТАТ!U:U,"СОЧ")</f>
        <v>0</v>
      </c>
      <c r="BH25" s="28">
        <f t="shared" si="34"/>
        <v>85</v>
      </c>
      <c r="BI25" s="29" t="e">
        <f>#REF!-#REF!</f>
        <v>#REF!</v>
      </c>
      <c r="BJ25" s="19" t="e">
        <f t="shared" si="17"/>
        <v>#REF!</v>
      </c>
    </row>
    <row r="26" spans="1:62" ht="106.5" customHeight="1" thickBot="1" x14ac:dyDescent="0.3">
      <c r="A26" s="30"/>
      <c r="B26" s="32" t="s">
        <v>474</v>
      </c>
      <c r="C26" s="18">
        <f>COUNTIFS(ШТАТ!AM:AM,"2 МСБ",ШТАТ!AL:AL,"5 МСР",ШТАТ!AK:AK,1)</f>
        <v>5</v>
      </c>
      <c r="D26" s="18">
        <f>COUNTIFS(ШТАТ!AM:AM,"2 МСБ",ШТАТ!AL:AL,"5 МСР",ШТАТ!AK:AK,2)</f>
        <v>3</v>
      </c>
      <c r="E26" s="18">
        <f>COUNTIFS(ШТАТ!AM:AM,"2 МСБ",ШТАТ!AL:AL,"5 МСР",ШТАТ!AK:AK,3)</f>
        <v>10</v>
      </c>
      <c r="F26" s="18">
        <f>COUNTIFS(ШТАТ!AM:AM,"2 МСБ",ШТАТ!AL:AL,"5 МСР",ШТАТ!AK:AK,4)</f>
        <v>76</v>
      </c>
      <c r="G26" s="19">
        <f t="shared" si="23"/>
        <v>94</v>
      </c>
      <c r="H26" s="18">
        <f>COUNTIFS(ШТАТ!AM:AM,"2 МСБ",ШТАТ!AL:AL,"5 МСР",ШТАТ!AJ:AJ,"о")</f>
        <v>5</v>
      </c>
      <c r="I26" s="18">
        <f>COUNTIFS(ШТАТ!AM:AM,"2 МСБ",ШТАТ!AL:AL,"5 МСР",ШТАТ!AJ:AJ,"п")</f>
        <v>2</v>
      </c>
      <c r="J26" s="19">
        <f t="shared" si="24"/>
        <v>10</v>
      </c>
      <c r="K26" s="20">
        <f>COUNTIFS(ШТАТ!AM:AM,"2 МСБ",ШТАТ!AL:AL,"5 МСР",ШТАТ!AK:AK,3,ШТАТ!AJ:AJ,"к/с")</f>
        <v>0</v>
      </c>
      <c r="L26" s="21">
        <f>COUNTIFS(ШТАТ!AM:AM,"2 МСБ",ШТАТ!AL:AL,B26,ШТАТ!AK:AK,3,ШТАТ!AJ:AJ,"с/с")</f>
        <v>10</v>
      </c>
      <c r="M26" s="19">
        <f>N26+O26</f>
        <v>76</v>
      </c>
      <c r="N26" s="22">
        <f>COUNTIFS(ШТАТ!AM:AM,"2 МСБ",ШТАТ!AL:AL,"5 МСР",ШТАТ!AK:AK,4,ШТАТ!AJ:AJ,"к/с")</f>
        <v>3</v>
      </c>
      <c r="O26" s="22">
        <f>COUNTIFS(ШТАТ!AM:AM,"2 МСБ",ШТАТ!AL:AL,"5 МСР",ШТАТ!AK:AK,4,ШТАТ!AJ:AJ,"с/с")</f>
        <v>73</v>
      </c>
      <c r="P26" s="19">
        <f t="shared" si="26"/>
        <v>86</v>
      </c>
      <c r="Q26" s="22">
        <f t="shared" si="27"/>
        <v>3</v>
      </c>
      <c r="R26" s="21">
        <f t="shared" si="28"/>
        <v>83</v>
      </c>
      <c r="S26" s="19">
        <f t="shared" si="29"/>
        <v>93</v>
      </c>
      <c r="T26" s="23">
        <f t="shared" si="5"/>
        <v>0.98936170212765961</v>
      </c>
      <c r="U26" s="24">
        <f>COUNTIFS(ШТАТ!U:U,"",ШТАТ!AM:AM,"2 МСБ",ШТАТ!AL:AL,"5 МСР",ШТАТ!AJ:AJ,"о")</f>
        <v>4</v>
      </c>
      <c r="V26" s="24">
        <f>COUNTIFS(ШТАТ!U:U,"",ШТАТ!AM:AM,"2 МСБ",ШТАТ!AL:AL,"5 МСР",ШТАТ!AJ:AJ,"п")</f>
        <v>1</v>
      </c>
      <c r="W26" s="103">
        <f t="shared" si="30"/>
        <v>0</v>
      </c>
      <c r="X26" s="24">
        <f>COUNTIFS(ШТАТ!U:U,"",ШТАТ!AM:AM,"2 МСБ",ШТАТ!AL:AL,"5 МСР",ШТАТ!AK:AK,3,ШТАТ!AJ:AJ,"к/с")</f>
        <v>0</v>
      </c>
      <c r="Y26" s="102">
        <f>COUNTIFS(ШТАТ!U:U,"",ШТАТ!AM:AM,"2 МСБ",ШТАТ!AL:AL,B26,ШТАТ!AK:AK,3,ШТАТ!AJ:AJ,"с/с")</f>
        <v>0</v>
      </c>
      <c r="Z26" s="25">
        <f t="shared" si="31"/>
        <v>5</v>
      </c>
      <c r="AA26" s="26">
        <f>COUNTIFS(ШТАТ!U:U,"",ШТАТ!AM:AM,"2 МСБ",ШТАТ!AL:AL,"5 МСР",ШТАТ!AK:AK,4,ШТАТ!AJ:AJ,"к/с")</f>
        <v>2</v>
      </c>
      <c r="AB26" s="24">
        <f>COUNTIFS(ШТАТ!U:U,"",ШТАТ!AM:AM,"2 МСБ",ШТАТ!AL:AL,"5 МСР",ШТАТ!AK:AK,4,ШТАТ!AJ:AJ,"с/с")</f>
        <v>3</v>
      </c>
      <c r="AC26" s="25">
        <f t="shared" si="32"/>
        <v>5</v>
      </c>
      <c r="AD26" s="21">
        <f t="shared" si="35"/>
        <v>2</v>
      </c>
      <c r="AE26" s="21">
        <f t="shared" ref="AE26:AE32" si="37">SUM(Y26,AB26)</f>
        <v>3</v>
      </c>
      <c r="AF26" s="19">
        <f t="shared" si="36"/>
        <v>10</v>
      </c>
      <c r="AG26" s="24"/>
      <c r="AH26" s="24">
        <f>COUNTIFS(ШТАТ!$AL:$AL,$B26,ШТАТ!$U:$U,"МП")</f>
        <v>0</v>
      </c>
      <c r="AI26" s="24">
        <f>COUNTIFS(ШТАТ!AM:AM,"2 МСБ",ШТАТ!AL:AL,"5 МСР",ШТАТ!U:U,"осв-ие")</f>
        <v>0</v>
      </c>
      <c r="AJ26" s="24">
        <f>COUNTIFS(ШТАТ!AM:AM,"2 МСБ",ШТАТ!AL:AL,"5 МСР",ШТАТ!U:U,"госп")</f>
        <v>0</v>
      </c>
      <c r="AK26" s="27">
        <f t="shared" si="33"/>
        <v>83</v>
      </c>
      <c r="AL26" s="24">
        <f>COUNTIFS(ШТАТ!AM:AM,"2 МСБ",ШТАТ!AL:AL,"5 МСР",ШТАТ!W:W,"Барсуковка")</f>
        <v>0</v>
      </c>
      <c r="AM26" s="24">
        <f>COUNTIFS(ШТАТ!$AL:$AL,$B26,ШТАТ!$W:$W,"Павенково")</f>
        <v>0</v>
      </c>
      <c r="AN26" s="18"/>
      <c r="AO26" s="24"/>
      <c r="AP26" s="24"/>
      <c r="AQ26" s="18"/>
      <c r="AR26" s="18">
        <f>COUNTIFS(ШТАТ!AM:AM,"2 МСБ",ШТАТ!AL:AL,"5 МСР",ШТАТ!U:U,"полигон")-SUM(AL26:AO26)</f>
        <v>0</v>
      </c>
      <c r="AS26" s="24"/>
      <c r="AT26" s="24">
        <f>COUNTIFS(ШТАТ!AM:AM,"2 МСБ",ШТАТ!AL:AL,"5 МСР",ШТАТ!X:X,"САР")</f>
        <v>0</v>
      </c>
      <c r="AU26" s="24">
        <f>COUNTIFS(ШТАТ!AM:AM,"2 МСБ",ШТАТ!AL:AL,"5 МСР",ШТАТ!X:X,"Выполнение специальных задач")</f>
        <v>1</v>
      </c>
      <c r="AV26" s="24">
        <f>COUNTIFS(ШТАТ!AM:AM,"2 МСБ",ШТАТ!AL:AL,"5 МСР",ШТАТ!X:X,"Переподготовка")</f>
        <v>0</v>
      </c>
      <c r="AW26" s="24">
        <f>COUNTIFS(ШТАТ!AM:AM,"2 МСБ",ШТАТ!AL:AL,"5 МСР",ШТАТ!X:X,"Усиление объектов")</f>
        <v>27</v>
      </c>
      <c r="AX26" s="24"/>
      <c r="AY26" s="24"/>
      <c r="AZ26" s="24">
        <f>COUNTIFS(ШТАТ!AM:AM,"2 МСБ",ШТАТ!AL:AL,"5 МСР",ШТАТ!W:W,"г. Белгород")</f>
        <v>2</v>
      </c>
      <c r="BA26" s="24">
        <f>COUNTIFS(ШТАТ!AM:AM,"2 МСБ",ШТАТ!AL:AL,"5 МСР",ШТАТ!W:W,"в/ч 38838")</f>
        <v>16</v>
      </c>
      <c r="BB26" s="24">
        <f>COUNTIFS(ШТАТ!AM:AM,"2 МСБ",ШТАТ!AL:AL,"5 МСР",ШТАТ!W:W,"в/ч 90151")</f>
        <v>0</v>
      </c>
      <c r="BC26" s="24"/>
      <c r="BD26" s="26">
        <f>COUNTIFS(ШТАТ!$AL:$AL,$B26,ШТАТ!$U:$U,"ком-ка")-SUM(AS26:BC26)-AP26-AQ26</f>
        <v>37</v>
      </c>
      <c r="BE26" s="24">
        <f>COUNTIFS(ШТАТ!AM:AM,"2 МСБ",ШТАТ!AL:AL,"5 МСР",ШТАТ!U:U,"отпуск")</f>
        <v>0</v>
      </c>
      <c r="BF26" s="22"/>
      <c r="BG26" s="24">
        <f>COUNTIFS(ШТАТ!AM:AM,"2 МСБ",ШТАТ!AL:AL,B26,ШТАТ!U:U,"СОЧ")</f>
        <v>0</v>
      </c>
      <c r="BH26" s="28">
        <f t="shared" si="34"/>
        <v>83</v>
      </c>
      <c r="BI26" s="29" t="e">
        <f>#REF!-#REF!</f>
        <v>#REF!</v>
      </c>
      <c r="BJ26" s="19" t="e">
        <f t="shared" si="17"/>
        <v>#REF!</v>
      </c>
    </row>
    <row r="27" spans="1:62" ht="106.5" customHeight="1" thickBot="1" x14ac:dyDescent="0.3">
      <c r="A27" s="30"/>
      <c r="B27" s="32" t="s">
        <v>477</v>
      </c>
      <c r="C27" s="18">
        <f>COUNTIFS(ШТАТ!AM:AM,"2 МСБ",ШТАТ!AL:AL,"6 МСР",ШТАТ!AK:AK,1)</f>
        <v>5</v>
      </c>
      <c r="D27" s="18">
        <f>COUNTIFS(ШТАТ!AM:AM,"2 МСБ",ШТАТ!AL:AL,"6 МСР",ШТАТ!AK:AK,2)</f>
        <v>3</v>
      </c>
      <c r="E27" s="18">
        <f>COUNTIFS(ШТАТ!AM:AM,"2 МСБ",ШТАТ!AL:AL,"6 МСР",ШТАТ!AK:AK,3)</f>
        <v>10</v>
      </c>
      <c r="F27" s="18">
        <f>COUNTIFS(ШТАТ!AM:AM,"2 МСБ",ШТАТ!AL:AL,"6 МСР",ШТАТ!AK:AK,4)</f>
        <v>76</v>
      </c>
      <c r="G27" s="19">
        <f t="shared" si="23"/>
        <v>94</v>
      </c>
      <c r="H27" s="18">
        <f>COUNTIFS(ШТАТ!AM:AM,"2 МСБ",ШТАТ!AL:AL,"6 МСР",ШТАТ!AJ:AJ,"о")</f>
        <v>4</v>
      </c>
      <c r="I27" s="18">
        <f>COUNTIFS(ШТАТ!AM:AM,"2 МСБ",ШТАТ!AL:AL,"6 МСР",ШТАТ!AJ:AJ,"п")</f>
        <v>2</v>
      </c>
      <c r="J27" s="19">
        <f t="shared" si="24"/>
        <v>9</v>
      </c>
      <c r="K27" s="20">
        <f>COUNTIFS(ШТАТ!AM:AM,"2 МСБ",ШТАТ!AL:AL,"6 МСР",ШТАТ!AK:AK,3,ШТАТ!AJ:AJ,"к/с")</f>
        <v>0</v>
      </c>
      <c r="L27" s="21">
        <f>COUNTIFS(ШТАТ!AM:AM,"2 МСБ",ШТАТ!AL:AL,B27,ШТАТ!AK:AK,3,ШТАТ!AJ:AJ,"с/с")</f>
        <v>9</v>
      </c>
      <c r="M27" s="19">
        <f t="shared" si="25"/>
        <v>76</v>
      </c>
      <c r="N27" s="22">
        <f>COUNTIFS(ШТАТ!AM:AM,"2 МСБ",ШТАТ!AL:AL,"6 МСР",ШТАТ!AK:AK,4,ШТАТ!AJ:AJ,"к/с")</f>
        <v>1</v>
      </c>
      <c r="O27" s="22">
        <f>COUNTIFS(ШТАТ!AM:AM,"2 МСБ",ШТАТ!AL:AL,"6 МСР",ШТАТ!AK:AK,4,ШТАТ!AJ:AJ,"с/с")</f>
        <v>75</v>
      </c>
      <c r="P27" s="19">
        <f t="shared" si="26"/>
        <v>85</v>
      </c>
      <c r="Q27" s="22">
        <f t="shared" si="27"/>
        <v>1</v>
      </c>
      <c r="R27" s="21">
        <f t="shared" si="28"/>
        <v>84</v>
      </c>
      <c r="S27" s="19">
        <f t="shared" si="29"/>
        <v>91</v>
      </c>
      <c r="T27" s="23">
        <f t="shared" si="5"/>
        <v>0.96808510638297873</v>
      </c>
      <c r="U27" s="24">
        <f>COUNTIFS(ШТАТ!U:U,"",ШТАТ!AM:AM,"2 МСБ",ШТАТ!AL:AL,"6 МСР",ШТАТ!AJ:AJ,"о")</f>
        <v>4</v>
      </c>
      <c r="V27" s="24">
        <f>COUNTIFS(ШТАТ!U:U,"",ШТАТ!AM:AM,"2 МСБ",ШТАТ!AL:AL,"6 МСР",ШТАТ!AJ:AJ,"п")</f>
        <v>2</v>
      </c>
      <c r="W27" s="103">
        <f t="shared" si="30"/>
        <v>4</v>
      </c>
      <c r="X27" s="24">
        <f>COUNTIFS(ШТАТ!U:U,"",ШТАТ!AM:AM,"2 МСБ",ШТАТ!AL:AL,"6 МСР",ШТАТ!AK:AK,3,ШТАТ!AJ:AJ,"к/с")</f>
        <v>0</v>
      </c>
      <c r="Y27" s="102">
        <f>COUNTIFS(ШТАТ!U:U,"",ШТАТ!AM:AM,"2 МСБ",ШТАТ!AL:AL,B27,ШТАТ!AK:AK,3,ШТАТ!AJ:AJ,"с/с")</f>
        <v>4</v>
      </c>
      <c r="Z27" s="25">
        <f t="shared" si="31"/>
        <v>0</v>
      </c>
      <c r="AA27" s="26">
        <f>COUNTIFS(ШТАТ!U:U,"",ШТАТ!AM:AM,"2 МСБ",ШТАТ!AL:AL,"6 МСР",ШТАТ!AK:AK,4,ШТАТ!AJ:AJ,"к/с")</f>
        <v>0</v>
      </c>
      <c r="AB27" s="24">
        <f>COUNTIFS(ШТАТ!U:U,"",ШТАТ!AM:AM,"2 МСБ",ШТАТ!AL:AL,"6 МСР",ШТАТ!AK:AK,4,ШТАТ!AJ:AJ,"с/с")</f>
        <v>0</v>
      </c>
      <c r="AC27" s="25">
        <f t="shared" si="32"/>
        <v>4</v>
      </c>
      <c r="AD27" s="21">
        <f t="shared" si="35"/>
        <v>0</v>
      </c>
      <c r="AE27" s="21">
        <f t="shared" si="37"/>
        <v>4</v>
      </c>
      <c r="AF27" s="19">
        <f t="shared" si="36"/>
        <v>10</v>
      </c>
      <c r="AG27" s="24"/>
      <c r="AH27" s="24">
        <f>COUNTIFS(ШТАТ!$AL:$AL,$B27,ШТАТ!$U:$U,"МП")</f>
        <v>0</v>
      </c>
      <c r="AI27" s="24">
        <f>COUNTIFS(ШТАТ!AM:AM,"2 МСБ",ШТАТ!AL:AL,"6 МСР",ШТАТ!U:U,"осв-ие")</f>
        <v>0</v>
      </c>
      <c r="AJ27" s="24">
        <f>COUNTIFS(ШТАТ!AM:AM,"2 МСБ",ШТАТ!AL:AL,"6 МСР",ШТАТ!U:U,"госп")</f>
        <v>0</v>
      </c>
      <c r="AK27" s="27">
        <f t="shared" si="33"/>
        <v>80</v>
      </c>
      <c r="AL27" s="24">
        <f>COUNTIFS(ШТАТ!AM:AM,"2 МСБ",ШТАТ!AL:AL,"6 МСР",ШТАТ!W:W,"Барсуковка")</f>
        <v>0</v>
      </c>
      <c r="AM27" s="24">
        <f>COUNTIFS(ШТАТ!$AL:$AL,$B27,ШТАТ!$W:$W,"Павенково")</f>
        <v>0</v>
      </c>
      <c r="AN27" s="18"/>
      <c r="AO27" s="24"/>
      <c r="AP27" s="24"/>
      <c r="AQ27" s="18"/>
      <c r="AR27" s="18">
        <f>COUNTIFS(ШТАТ!AM:AM,"2 МСБ",ШТАТ!AL:AL,"6 МСР",ШТАТ!U:U,"полигон")-SUM(AL27:AO27)</f>
        <v>1</v>
      </c>
      <c r="AS27" s="24"/>
      <c r="AT27" s="24">
        <f>COUNTIFS(ШТАТ!AM:AM,"2 МСБ",ШТАТ!AL:AL,"6 МСР",ШТАТ!X:X,"САР")</f>
        <v>0</v>
      </c>
      <c r="AU27" s="24">
        <f>COUNTIFS(ШТАТ!AM:AM,"2 МСБ",ШТАТ!AL:AL,"6 МСР",ШТАТ!X:X,"Выполнение специальных задач")</f>
        <v>0</v>
      </c>
      <c r="AV27" s="24">
        <f>COUNTIFS(ШТАТ!AM:AM,"2 МСБ",ШТАТ!AL:AL,"6 МСР",ШТАТ!X:X,"Переподготовка")</f>
        <v>0</v>
      </c>
      <c r="AW27" s="24">
        <f>COUNTIFS(ШТАТ!AM:AM,"2 МСБ",ШТАТ!AL:AL,"6 МСР",ШТАТ!X:X,"Усиление объектов")</f>
        <v>0</v>
      </c>
      <c r="AX27" s="24"/>
      <c r="AY27" s="24"/>
      <c r="AZ27" s="24">
        <f>COUNTIFS(ШТАТ!AM:AM,"2 МСБ",ШТАТ!AL:AL,"6 МСР",ШТАТ!W:W,"г. Белгород")</f>
        <v>0</v>
      </c>
      <c r="BA27" s="24">
        <f>COUNTIFS(ШТАТ!AM:AM,"2 МСБ",ШТАТ!AL:AL,"6 МСР",ШТАТ!W:W,"в/ч 38838")</f>
        <v>77</v>
      </c>
      <c r="BB27" s="24">
        <f>COUNTIFS(ШТАТ!AM:AM,"2 МСБ",ШТАТ!AL:AL,"6 МСР",ШТАТ!W:W,"в/ч 90151")</f>
        <v>0</v>
      </c>
      <c r="BC27" s="24"/>
      <c r="BD27" s="26">
        <f>COUNTIFS(ШТАТ!$AL:$AL,$B27,ШТАТ!$U:$U,"ком-ка")-SUM(AS27:BC27)-AP27-AQ27</f>
        <v>2</v>
      </c>
      <c r="BE27" s="24">
        <f>COUNTIFS(ШТАТ!AM:AM,"2 МСБ",ШТАТ!AL:AL,"6 МСР",ШТАТ!U:U,"отпуск")</f>
        <v>1</v>
      </c>
      <c r="BF27" s="22"/>
      <c r="BG27" s="24">
        <f>COUNTIFS(ШТАТ!AM:AM,"2 МСБ",ШТАТ!AL:AL,B27,ШТАТ!U:U,"СОЧ")</f>
        <v>0</v>
      </c>
      <c r="BH27" s="28">
        <f t="shared" si="34"/>
        <v>81</v>
      </c>
      <c r="BI27" s="29" t="e">
        <f>#REF!-#REF!</f>
        <v>#REF!</v>
      </c>
      <c r="BJ27" s="19" t="e">
        <f t="shared" si="17"/>
        <v>#REF!</v>
      </c>
    </row>
    <row r="28" spans="1:62" ht="71.25" customHeight="1" thickBot="1" x14ac:dyDescent="0.3">
      <c r="A28" s="30"/>
      <c r="B28" s="32" t="s">
        <v>479</v>
      </c>
      <c r="C28" s="18">
        <f>COUNTIFS(ШТАТ!AM:AM,"2 МСБ",ШТАТ!AL:AL,"2 МБ",ШТАТ!AK:AK,1)</f>
        <v>4</v>
      </c>
      <c r="D28" s="18">
        <f>COUNTIFS(ШТАТ!AM:AM,"2 МСБ",ШТАТ!AL:AL,"2 МБ",ШТАТ!AK:AK,2)</f>
        <v>1</v>
      </c>
      <c r="E28" s="18">
        <f>COUNTIFS(ШТАТ!AM:AM,"2 МСБ",ШТАТ!AL:AL,"2 МБ",ШТАТ!AK:AK,3)</f>
        <v>8</v>
      </c>
      <c r="F28" s="18">
        <f>COUNTIFS(ШТАТ!AM:AM,"2 МСБ",ШТАТ!AL:AL,"2 МБ",ШТАТ!AK:AK,4)</f>
        <v>32</v>
      </c>
      <c r="G28" s="19">
        <f t="shared" si="23"/>
        <v>45</v>
      </c>
      <c r="H28" s="18">
        <f>COUNTIFS(ШТАТ!AM:AM,"2 МСБ",ШТАТ!AL:AL,"2 МБ",ШТАТ!AJ:AJ,"о")</f>
        <v>4</v>
      </c>
      <c r="I28" s="18">
        <f>COUNTIFS(ШТАТ!AM:AM,"2 МСБ",ШТАТ!AL:AL,"2 МБ",ШТАТ!AJ:AJ,"п")</f>
        <v>1</v>
      </c>
      <c r="J28" s="19">
        <f t="shared" si="24"/>
        <v>5</v>
      </c>
      <c r="K28" s="20">
        <f>COUNTIFS(ШТАТ!AM:AM,"2 МСБ",ШТАТ!AL:AL,"2 МБ",ШТАТ!AK:AK,3,ШТАТ!AJ:AJ,"к/с")</f>
        <v>0</v>
      </c>
      <c r="L28" s="21">
        <f>COUNTIFS(ШТАТ!AM:AM,"2 МСБ",ШТАТ!AL:AL,B28,ШТАТ!AK:AK,3,ШТАТ!AJ:AJ,"с/с")</f>
        <v>5</v>
      </c>
      <c r="M28" s="19">
        <f t="shared" si="25"/>
        <v>29</v>
      </c>
      <c r="N28" s="22">
        <f>COUNTIFS(ШТАТ!AM:AM,"2 МСБ",ШТАТ!AL:AL,"2 МБ",ШТАТ!AK:AK,4,ШТАТ!AJ:AJ,"к/с")</f>
        <v>1</v>
      </c>
      <c r="O28" s="22">
        <f>COUNTIFS(ШТАТ!AM:AM,"2 МСБ",ШТАТ!AL:AL,"2 МБ",ШТАТ!AK:AK,4,ШТАТ!AJ:AJ,"с/с")</f>
        <v>28</v>
      </c>
      <c r="P28" s="19">
        <f t="shared" si="26"/>
        <v>34</v>
      </c>
      <c r="Q28" s="22">
        <f t="shared" si="27"/>
        <v>1</v>
      </c>
      <c r="R28" s="21">
        <f t="shared" si="28"/>
        <v>33</v>
      </c>
      <c r="S28" s="19">
        <f t="shared" si="29"/>
        <v>39</v>
      </c>
      <c r="T28" s="23">
        <f t="shared" si="5"/>
        <v>0.8666666666666667</v>
      </c>
      <c r="U28" s="24">
        <f>COUNTIFS(ШТАТ!U:U,"",ШТАТ!AM:AM,"2 МСБ",ШТАТ!AL:AL,"2 МБ",ШТАТ!AJ:AJ,"о")</f>
        <v>1</v>
      </c>
      <c r="V28" s="24">
        <f>COUNTIFS(ШТАТ!U:U,"",ШТАТ!AM:AM,"2 МСБ",ШТАТ!AL:AL,"2 МБ",ШТАТ!AJ:AJ,"п")</f>
        <v>0</v>
      </c>
      <c r="W28" s="103">
        <f t="shared" si="30"/>
        <v>0</v>
      </c>
      <c r="X28" s="24">
        <f>COUNTIFS(ШТАТ!U:U,"",ШТАТ!AM:AM,"2 МСБ",ШТАТ!AL:AL,"2 МБ",ШТАТ!AK:AK,3,ШТАТ!AJ:AJ,"к/с")</f>
        <v>0</v>
      </c>
      <c r="Y28" s="102">
        <f>COUNTIFS(ШТАТ!U:U,"",ШТАТ!AM:AM,"2 МСБ",ШТАТ!AL:AL,B28,ШТАТ!AK:AK,3,ШТАТ!AJ:AJ,"с/с")</f>
        <v>0</v>
      </c>
      <c r="Z28" s="25">
        <f t="shared" si="31"/>
        <v>0</v>
      </c>
      <c r="AA28" s="26">
        <f>COUNTIFS(ШТАТ!U:U,"",ШТАТ!AM:AM,"2 МСБ",ШТАТ!AL:AL,"2 МБ",ШТАТ!AK:AK,4,ШТАТ!AJ:AJ,"к/с")</f>
        <v>0</v>
      </c>
      <c r="AB28" s="24">
        <f>COUNTIFS(ШТАТ!U:U,"",ШТАТ!AM:AM,"2 МСБ",ШТАТ!AL:AL,"2 МБ",ШТАТ!AK:AK,4,ШТАТ!AJ:AJ,"с/с")</f>
        <v>0</v>
      </c>
      <c r="AC28" s="25">
        <f t="shared" si="32"/>
        <v>0</v>
      </c>
      <c r="AD28" s="21">
        <f t="shared" si="35"/>
        <v>0</v>
      </c>
      <c r="AE28" s="21">
        <f t="shared" si="37"/>
        <v>0</v>
      </c>
      <c r="AF28" s="19">
        <f t="shared" si="36"/>
        <v>1</v>
      </c>
      <c r="AG28" s="24"/>
      <c r="AH28" s="24">
        <f>COUNTIFS(ШТАТ!$AL:$AL,$B28,ШТАТ!$U:$U,"МП")</f>
        <v>0</v>
      </c>
      <c r="AI28" s="24">
        <f>COUNTIFS(ШТАТ!AM:AM,"2 МСБ",ШТАТ!AL:AL,"2 МБ",ШТАТ!U:U,"осв-ие")</f>
        <v>0</v>
      </c>
      <c r="AJ28" s="24">
        <f>COUNTIFS(ШТАТ!AM:AM,"2 МСБ",ШТАТ!AL:AL,"2 МБ",ШТАТ!U:U,"госп")</f>
        <v>0</v>
      </c>
      <c r="AK28" s="27">
        <f t="shared" si="33"/>
        <v>38</v>
      </c>
      <c r="AL28" s="24">
        <f>COUNTIFS(ШТАТ!AM:AM,"2 МСБ",ШТАТ!AL:AL,"2 МБ",ШТАТ!W:W,"Барсуковка")</f>
        <v>0</v>
      </c>
      <c r="AM28" s="24">
        <f>COUNTIFS(ШТАТ!$AL:$AL,$B28,ШТАТ!$W:$W,"Павенково")</f>
        <v>1</v>
      </c>
      <c r="AN28" s="18"/>
      <c r="AO28" s="24"/>
      <c r="AP28" s="24"/>
      <c r="AQ28" s="18"/>
      <c r="AR28" s="18">
        <f>COUNTIFS(ШТАТ!AM:AM,"2 МСБ",ШТАТ!AL:AL,"2 МБ",ШТАТ!U:U,"полигон")-SUM(AL28:AO28)</f>
        <v>0</v>
      </c>
      <c r="AS28" s="24"/>
      <c r="AT28" s="24">
        <f>COUNTIFS(ШТАТ!AM:AM,"2 МСБ",ШТАТ!AL:AL,"2 МБ",ШТАТ!X:X,"САР")</f>
        <v>0</v>
      </c>
      <c r="AU28" s="24">
        <f>COUNTIFS(ШТАТ!AM:AM,"2 МСБ",ШТАТ!AL:AL,"2 МБ",ШТАТ!X:X,"Выполнение специальных задач")</f>
        <v>1</v>
      </c>
      <c r="AV28" s="24">
        <f>COUNTIFS(ШТАТ!AM:AM,"2 МСБ",ШТАТ!AL:AL,"2 МБ",ШТАТ!X:X,"Переподготовка")</f>
        <v>0</v>
      </c>
      <c r="AW28" s="24">
        <f>COUNTIFS(ШТАТ!AM:AM,"2 МСБ",ШТАТ!AL:AL,"2 МБ",ШТАТ!X:X,"Усиление объектов")</f>
        <v>0</v>
      </c>
      <c r="AX28" s="24"/>
      <c r="AY28" s="24"/>
      <c r="AZ28" s="24">
        <f>COUNTIFS(ШТАТ!AM:AM,"2 МСБ",ШТАТ!AL:AL,"2 МБ",ШТАТ!W:W,"г. Белгород")</f>
        <v>0</v>
      </c>
      <c r="BA28" s="24">
        <f>COUNTIFS(ШТАТ!AM:AM,"2 МСБ",ШТАТ!AL:AL,"2 МБ",ШТАТ!W:W,"в/ч 38838")</f>
        <v>35</v>
      </c>
      <c r="BB28" s="24">
        <f>COUNTIFS(ШТАТ!AM:AM,"2 МСБ",ШТАТ!AL:AL,"2 МБ",ШТАТ!W:W,"в/ч 90151")</f>
        <v>0</v>
      </c>
      <c r="BC28" s="24"/>
      <c r="BD28" s="26">
        <f>COUNTIFS(ШТАТ!$AL:$AL,$B28,ШТАТ!$U:$U,"ком-ка")-SUM(AS28:BC28)-AP28-AQ28</f>
        <v>1</v>
      </c>
      <c r="BE28" s="24">
        <f>COUNTIFS(ШТАТ!AM:AM,"2 МСБ",ШТАТ!AL:AL,"2 МБ",ШТАТ!U:U,"отпуск")</f>
        <v>0</v>
      </c>
      <c r="BF28" s="22"/>
      <c r="BG28" s="24">
        <f>COUNTIFS(ШТАТ!AM:AM,"2 МСБ",ШТАТ!AL:AL,B28,ШТАТ!U:U,"СОЧ")</f>
        <v>0</v>
      </c>
      <c r="BH28" s="28">
        <f t="shared" si="34"/>
        <v>38</v>
      </c>
      <c r="BI28" s="29" t="e">
        <f>#REF!-#REF!</f>
        <v>#REF!</v>
      </c>
      <c r="BJ28" s="19" t="e">
        <f t="shared" si="17"/>
        <v>#REF!</v>
      </c>
    </row>
    <row r="29" spans="1:62" ht="71.25" customHeight="1" thickBot="1" x14ac:dyDescent="0.3">
      <c r="A29" s="30"/>
      <c r="B29" s="32" t="s">
        <v>481</v>
      </c>
      <c r="C29" s="18">
        <f>COUNTIFS(ШТАТ!AM:AM,"2 МСБ",ШТАТ!AL:AL,"2 ГРВ",ШТАТ!AK:AK,1)</f>
        <v>1</v>
      </c>
      <c r="D29" s="18">
        <f>COUNTIFS(ШТАТ!AM:AM,"2 МСБ",ШТАТ!AL:AL,"2 ГРВ",ШТАТ!AK:AK,2)</f>
        <v>0</v>
      </c>
      <c r="E29" s="18">
        <f>COUNTIFS(ШТАТ!AM:AM,"2 МСБ",ШТАТ!AL:AL,"2 ГРВ",ШТАТ!AK:AK,3)</f>
        <v>3</v>
      </c>
      <c r="F29" s="18">
        <f>COUNTIFS(ШТАТ!AM:AM,"2 МСБ",ШТАТ!AL:AL,"2 ГРВ",ШТАТ!AK:AK,4)</f>
        <v>18</v>
      </c>
      <c r="G29" s="19">
        <f t="shared" si="23"/>
        <v>22</v>
      </c>
      <c r="H29" s="18">
        <f>COUNTIFS(ШТАТ!AM:AM,"2 МСБ",ШТАТ!AL:AL,"2 ГРВ",ШТАТ!AJ:AJ,"о")</f>
        <v>1</v>
      </c>
      <c r="I29" s="18">
        <f>COUNTIFS(ШТАТ!AM:AM,"2 МСБ",ШТАТ!AL:AL,"2 ГРВ",ШТАТ!AJ:AJ,"п")</f>
        <v>0</v>
      </c>
      <c r="J29" s="19">
        <f t="shared" si="24"/>
        <v>2</v>
      </c>
      <c r="K29" s="20">
        <f>COUNTIFS(ШТАТ!AM:AM,"2 МСБ",ШТАТ!AL:AL,"2 ГРВ",ШТАТ!AK:AK,3,ШТАТ!AJ:AJ,"к/с")</f>
        <v>1</v>
      </c>
      <c r="L29" s="21">
        <f>COUNTIFS(ШТАТ!AM:AM,"2 МСБ",ШТАТ!AL:AL,B29,ШТАТ!AK:AK,3,ШТАТ!AJ:AJ,"с/с")</f>
        <v>1</v>
      </c>
      <c r="M29" s="19">
        <f t="shared" si="25"/>
        <v>18</v>
      </c>
      <c r="N29" s="22">
        <f>COUNTIFS(ШТАТ!AM:AM,"2 МСБ",ШТАТ!AL:AL,"2 ГРВ",ШТАТ!AK:AK,4,ШТАТ!AJ:AJ,"к/с")</f>
        <v>2</v>
      </c>
      <c r="O29" s="22">
        <f>COUNTIFS(ШТАТ!AM:AM,"2 МСБ",ШТАТ!AL:AL,"2 ГРВ",ШТАТ!AK:AK,4,ШТАТ!AJ:AJ,"с/с")</f>
        <v>16</v>
      </c>
      <c r="P29" s="19">
        <f t="shared" si="26"/>
        <v>20</v>
      </c>
      <c r="Q29" s="22">
        <f t="shared" si="27"/>
        <v>3</v>
      </c>
      <c r="R29" s="21">
        <f t="shared" si="28"/>
        <v>17</v>
      </c>
      <c r="S29" s="19">
        <f t="shared" si="29"/>
        <v>21</v>
      </c>
      <c r="T29" s="23">
        <f t="shared" si="5"/>
        <v>0.95454545454545459</v>
      </c>
      <c r="U29" s="24">
        <f>COUNTIFS(ШТАТ!U:U,"",ШТАТ!AM:AM,"2 МСБ",ШТАТ!AL:AL,"2 ГРВ",ШТАТ!AJ:AJ,"о")</f>
        <v>0</v>
      </c>
      <c r="V29" s="24">
        <f>COUNTIFS(ШТАТ!U:U,"",ШТАТ!AM:AM,"2 МСБ",ШТАТ!AL:AL,"2 ГРВ",ШТАТ!AJ:AJ,"п")</f>
        <v>0</v>
      </c>
      <c r="W29" s="103">
        <f t="shared" si="30"/>
        <v>1</v>
      </c>
      <c r="X29" s="24">
        <f>COUNTIFS(ШТАТ!U:U,"",ШТАТ!AM:AM,"2 МСБ",ШТАТ!AL:AL,"2 ГРВ",ШТАТ!AK:AK,3,ШТАТ!AJ:AJ,"к/с")</f>
        <v>1</v>
      </c>
      <c r="Y29" s="102">
        <f>COUNTIFS(ШТАТ!U:U,"",ШТАТ!AM:AM,"2 МСБ",ШТАТ!AL:AL,B29,ШТАТ!AK:AK,3,ШТАТ!AJ:AJ,"с/с")</f>
        <v>0</v>
      </c>
      <c r="Z29" s="25">
        <f t="shared" si="31"/>
        <v>0</v>
      </c>
      <c r="AA29" s="26">
        <f>COUNTIFS(ШТАТ!U:U,"",ШТАТ!AM:AM,"2 МСБ",ШТАТ!AL:AL,"2 ГРВ",ШТАТ!AK:AK,4,ШТАТ!AJ:AJ,"к/с")</f>
        <v>0</v>
      </c>
      <c r="AB29" s="24">
        <f>COUNTIFS(ШТАТ!U:U,"",ШТАТ!AM:AM,"2 МСБ",ШТАТ!AL:AL,"2 ГРВ",ШТАТ!AK:AK,4,ШТАТ!AJ:AJ,"с/с")</f>
        <v>0</v>
      </c>
      <c r="AC29" s="25">
        <f t="shared" si="32"/>
        <v>1</v>
      </c>
      <c r="AD29" s="21">
        <f t="shared" si="35"/>
        <v>1</v>
      </c>
      <c r="AE29" s="21">
        <f>SUM(Y29,AB29)</f>
        <v>0</v>
      </c>
      <c r="AF29" s="19">
        <f t="shared" si="36"/>
        <v>1</v>
      </c>
      <c r="AG29" s="24"/>
      <c r="AH29" s="24">
        <f>COUNTIFS(ШТАТ!$AL:$AL,$B29,ШТАТ!$U:$U,"МП")</f>
        <v>0</v>
      </c>
      <c r="AI29" s="24">
        <f>COUNTIFS(ШТАТ!AM:AM,"2 МСБ",ШТАТ!AL:AL,"2 ГРВ",ШТАТ!U:U,"осв-ие")</f>
        <v>0</v>
      </c>
      <c r="AJ29" s="24">
        <f>COUNTIFS(ШТАТ!AM:AM,"2 МСБ",ШТАТ!AL:AL,"2 ГРВ",ШТАТ!U:U,"госп")</f>
        <v>0</v>
      </c>
      <c r="AK29" s="27">
        <f t="shared" si="33"/>
        <v>18</v>
      </c>
      <c r="AL29" s="24">
        <f>COUNTIFS(ШТАТ!AM:AM,"2 МСБ",ШТАТ!AL:AL,"2 ГРВ",ШТАТ!W:W,"Барсуковка")</f>
        <v>0</v>
      </c>
      <c r="AM29" s="24">
        <f>COUNTIFS(ШТАТ!$AL:$AL,$B29,ШТАТ!$W:$W,"Павенково")</f>
        <v>0</v>
      </c>
      <c r="AN29" s="18"/>
      <c r="AO29" s="24"/>
      <c r="AP29" s="24"/>
      <c r="AQ29" s="18"/>
      <c r="AR29" s="18">
        <f>COUNTIFS(ШТАТ!AM:AM,"2 МСБ",ШТАТ!AL:AL,"2 ГРВ",ШТАТ!U:U,"полигон")-SUM(AL29:AO29)</f>
        <v>0</v>
      </c>
      <c r="AS29" s="24"/>
      <c r="AT29" s="24">
        <f>COUNTIFS(ШТАТ!AM:AM,"2 МСБ",ШТАТ!AL:AL,"2 ГРВ",ШТАТ!X:X,"САР")</f>
        <v>0</v>
      </c>
      <c r="AU29" s="24">
        <f>COUNTIFS(ШТАТ!AM:AM,"2 МСБ",ШТАТ!AL:AL,"2 ГРВ",ШТАТ!X:X,"Выполнение специальных задач")</f>
        <v>0</v>
      </c>
      <c r="AV29" s="24">
        <f>COUNTIFS(ШТАТ!AM:AM,"2 МСБ",ШТАТ!AL:AL,"2 ГРВ",ШТАТ!X:X,"Переподготовка")</f>
        <v>0</v>
      </c>
      <c r="AW29" s="24">
        <f>COUNTIFS(ШТАТ!AM:AM,"2 МСБ",ШТАТ!AL:AL,"2 ГРВ",ШТАТ!X:X,"Усиление объектов")</f>
        <v>0</v>
      </c>
      <c r="AX29" s="24"/>
      <c r="AY29" s="24"/>
      <c r="AZ29" s="24">
        <f>COUNTIFS(ШТАТ!AM:AM,"2 МСБ",ШТАТ!AL:AL,"2 ГРВ",ШТАТ!W:W,"г. Белгород")</f>
        <v>1</v>
      </c>
      <c r="BA29" s="24">
        <f>COUNTIFS(ШТАТ!AM:AM,"2 МСБ",ШТАТ!AL:AL,"2 ГРВ",ШТАТ!W:W,"в/ч 38838")</f>
        <v>17</v>
      </c>
      <c r="BB29" s="24">
        <f>COUNTIFS(ШТАТ!AM:AM,"2 МСБ",ШТАТ!AL:AL,"2 ГРВ",ШТАТ!W:W,"в/ч 90151")</f>
        <v>0</v>
      </c>
      <c r="BC29" s="24"/>
      <c r="BD29" s="26">
        <f>COUNTIFS(ШТАТ!$AL:$AL,$B29,ШТАТ!$U:$U,"ком-ка")-SUM(AS29:BC29)-AP29-AQ29</f>
        <v>0</v>
      </c>
      <c r="BE29" s="24">
        <f>COUNTIFS(ШТАТ!AM:AM,"2 МСБ",ШТАТ!AL:AL,"2 ГРВ",ШТАТ!U:U,"отпуск")</f>
        <v>2</v>
      </c>
      <c r="BF29" s="22"/>
      <c r="BG29" s="24">
        <f>COUNTIFS(ШТАТ!AM:AM,"2 МСБ",ШТАТ!AL:AL,B29,ШТАТ!U:U,"СОЧ")</f>
        <v>0</v>
      </c>
      <c r="BH29" s="28">
        <f t="shared" si="34"/>
        <v>20</v>
      </c>
      <c r="BI29" s="29" t="e">
        <f>#REF!-#REF!</f>
        <v>#REF!</v>
      </c>
      <c r="BJ29" s="19" t="e">
        <f t="shared" si="17"/>
        <v>#REF!</v>
      </c>
    </row>
    <row r="30" spans="1:62" ht="106.5" customHeight="1" thickBot="1" x14ac:dyDescent="0.3">
      <c r="A30" s="30"/>
      <c r="B30" s="32" t="s">
        <v>924</v>
      </c>
      <c r="C30" s="18">
        <f>COUNTIFS(ШТАТ!AM:AM,"2 МСБ",ШТАТ!AL:AL,"2 ВПТУР",ШТАТ!AK:AK,1)</f>
        <v>1</v>
      </c>
      <c r="D30" s="18">
        <f>COUNTIFS(ШТАТ!AM:AM,"2 МСБ",ШТАТ!AL:AL,"2 ВПТУР",ШТАТ!AK:AK,2)</f>
        <v>0</v>
      </c>
      <c r="E30" s="18">
        <f>COUNTIFS(ШТАТ!AM:AM,"2 МСБ",ШТАТ!AL:AL,"2 ВПТУР",ШТАТ!AK:AK,3)</f>
        <v>3</v>
      </c>
      <c r="F30" s="18">
        <f>COUNTIFS(ШТАТ!AM:AM,"2 МСБ",ШТАТ!AL:AL,"2 ВПТУР",ШТАТ!AK:AK,4)</f>
        <v>9</v>
      </c>
      <c r="G30" s="19">
        <f t="shared" si="23"/>
        <v>13</v>
      </c>
      <c r="H30" s="52">
        <f>COUNTIFS(ШТАТ!AM:AM,"2 МСБ",ШТАТ!AL:AL,"2 ВПТУР",ШТАТ!AJ:AJ,"о")</f>
        <v>1</v>
      </c>
      <c r="I30" s="52">
        <f>COUNTIFS(ШТАТ!AM:AM,"2 МСБ",ШТАТ!AL:AL,"2 ВПТУР",ШТАТ!AJ:AJ,"п")</f>
        <v>0</v>
      </c>
      <c r="J30" s="93">
        <f t="shared" si="24"/>
        <v>3</v>
      </c>
      <c r="K30" s="94">
        <f>COUNTIFS(ШТАТ!AM:AM,"2 МСБ",ШТАТ!AL:AL,"2 ВПТУР",ШТАТ!AK:AK,3,ШТАТ!AJ:AJ,"к/с")</f>
        <v>0</v>
      </c>
      <c r="L30" s="21">
        <f>COUNTIFS(ШТАТ!AM:AM,"2 МСБ",ШТАТ!AL:AL,B30,ШТАТ!AK:AK,3,ШТАТ!AJ:AJ,"с/с")</f>
        <v>3</v>
      </c>
      <c r="M30" s="93">
        <f t="shared" si="25"/>
        <v>9</v>
      </c>
      <c r="N30" s="96">
        <f>COUNTIFS(ШТАТ!AM:AM,"2 МСБ",ШТАТ!AL:AL,"2 ВПТУР",ШТАТ!AK:AK,4,ШТАТ!AJ:AJ,"к/с")</f>
        <v>0</v>
      </c>
      <c r="O30" s="96">
        <f>COUNTIFS(ШТАТ!AM:AM,"2 МСБ",ШТАТ!AL:AL,"2 ВПТУР",ШТАТ!AK:AK,4,ШТАТ!AJ:AJ,"с/с")</f>
        <v>9</v>
      </c>
      <c r="P30" s="19">
        <f t="shared" si="26"/>
        <v>12</v>
      </c>
      <c r="Q30" s="22">
        <f t="shared" si="27"/>
        <v>0</v>
      </c>
      <c r="R30" s="21">
        <f t="shared" si="28"/>
        <v>12</v>
      </c>
      <c r="S30" s="19">
        <f t="shared" si="29"/>
        <v>13</v>
      </c>
      <c r="T30" s="23">
        <f t="shared" si="5"/>
        <v>1</v>
      </c>
      <c r="U30" s="24">
        <f>COUNTIFS(ШТАТ!U:U,"",ШТАТ!AM:AM,"2 МСБ",ШТАТ!AL:AL,"2 ВПТУР",ШТАТ!AJ:AJ,"о")</f>
        <v>1</v>
      </c>
      <c r="V30" s="24">
        <f>COUNTIFS(ШТАТ!U:U,"",ШТАТ!AM:AM,"2 МСБ",ШТАТ!AL:AL,"2 ВПТУР",ШТАТ!AJ:AJ,"п")</f>
        <v>0</v>
      </c>
      <c r="W30" s="103">
        <f t="shared" si="30"/>
        <v>0</v>
      </c>
      <c r="X30" s="24">
        <f>COUNTIFS(ШТАТ!U:U,"",ШТАТ!AM:AM,"2 МСБ",ШТАТ!AL:AL,"2 ВПТУР",ШТАТ!AK:AK,3,ШТАТ!AJ:AJ,"к/с")</f>
        <v>0</v>
      </c>
      <c r="Y30" s="102">
        <f>COUNTIFS(ШТАТ!U:U,"",ШТАТ!AM:AM,"2 МСБ",ШТАТ!AL:AL,B30,ШТАТ!AK:AK,3,ШТАТ!AJ:AJ,"с/с")</f>
        <v>0</v>
      </c>
      <c r="Z30" s="25">
        <f t="shared" si="31"/>
        <v>0</v>
      </c>
      <c r="AA30" s="26">
        <f>COUNTIFS(ШТАТ!U:U,"",ШТАТ!AM:AM,"2 МСБ",ШТАТ!AL:AL,"2 ВПТУР",ШТАТ!AK:AK,4,ШТАТ!AJ:AJ,"к/с")</f>
        <v>0</v>
      </c>
      <c r="AB30" s="24">
        <f>COUNTIFS(ШТАТ!U:U,"",ШТАТ!AM:AM,"2 МСБ",ШТАТ!AL:AL,"2 ВПТУР",ШТАТ!AK:AK,4,ШТАТ!AJ:AJ,"с/с")</f>
        <v>0</v>
      </c>
      <c r="AC30" s="25">
        <f t="shared" si="32"/>
        <v>0</v>
      </c>
      <c r="AD30" s="21">
        <f t="shared" si="35"/>
        <v>0</v>
      </c>
      <c r="AE30" s="21">
        <f t="shared" si="37"/>
        <v>0</v>
      </c>
      <c r="AF30" s="19">
        <f t="shared" si="36"/>
        <v>1</v>
      </c>
      <c r="AG30" s="24"/>
      <c r="AH30" s="24">
        <f>COUNTIFS(ШТАТ!$AL:$AL,$B30,ШТАТ!$U:$U,"МП")</f>
        <v>0</v>
      </c>
      <c r="AI30" s="24">
        <f>COUNTIFS(ШТАТ!AM:AM,"2 МСБ",ШТАТ!AL:AL,"2 ВПТУР",ШТАТ!U:U,"осв-ие")</f>
        <v>0</v>
      </c>
      <c r="AJ30" s="24">
        <f>COUNTIFS(ШТАТ!AM:AM,"2 МСБ",ШТАТ!AL:AL,"2 ВПТУР",ШТАТ!U:U,"госп")</f>
        <v>0</v>
      </c>
      <c r="AK30" s="27">
        <f t="shared" si="33"/>
        <v>12</v>
      </c>
      <c r="AL30" s="24">
        <f>COUNTIFS(ШТАТ!AM:AM,"2 МСБ",ШТАТ!AL:AL,"2 ВПТУР",ШТАТ!W:W,"Барсуковка")</f>
        <v>0</v>
      </c>
      <c r="AM30" s="24">
        <f>COUNTIFS(ШТАТ!$AL:$AL,$B30,ШТАТ!$W:$W,"Павенково")</f>
        <v>0</v>
      </c>
      <c r="AN30" s="18"/>
      <c r="AO30" s="24"/>
      <c r="AP30" s="24"/>
      <c r="AQ30" s="18"/>
      <c r="AR30" s="18">
        <f>COUNTIFS(ШТАТ!AM:AM,"2 МСБ",ШТАТ!AL:AL,"2 ВПТУР",ШТАТ!U:U,"полигон")-SUM(AL30:AO30)</f>
        <v>12</v>
      </c>
      <c r="AS30" s="24"/>
      <c r="AT30" s="24">
        <f>COUNTIFS(ШТАТ!AM:AM,"2 МСБ",ШТАТ!AL:AL,"2 ВПТУР",ШТАТ!X:X,"САР")</f>
        <v>0</v>
      </c>
      <c r="AU30" s="24">
        <f>COUNTIFS(ШТАТ!AM:AM,"2 МСБ",ШТАТ!AL:AL,"2 ВПТУР",ШТАТ!X:X,"Выполнение специальных задач")</f>
        <v>0</v>
      </c>
      <c r="AV30" s="24">
        <f>COUNTIFS(ШТАТ!AM:AM,"2 МСБ",ШТАТ!AL:AL,"2 ВПТУР",ШТАТ!X:X,"Переподготовка")</f>
        <v>0</v>
      </c>
      <c r="AW30" s="24">
        <f>COUNTIFS(ШТАТ!AM:AM,"2 МСБ",ШТАТ!AL:AL,"2 ВПТУР",ШТАТ!X:X,"Усиление объектов")</f>
        <v>0</v>
      </c>
      <c r="AX30" s="24"/>
      <c r="AY30" s="24"/>
      <c r="AZ30" s="24">
        <f>COUNTIFS(ШТАТ!AM:AM,"2 МСБ",ШТАТ!AL:AL,"2 ВПТУР",ШТАТ!W:W,"г. Белгород")</f>
        <v>0</v>
      </c>
      <c r="BA30" s="24">
        <f>COUNTIFS(ШТАТ!AM:AM,"2 МСБ",ШТАТ!AL:AL,"2 ВПТУР",ШТАТ!W:W,"в/ч 38838")</f>
        <v>0</v>
      </c>
      <c r="BB30" s="24">
        <f>COUNTIFS(ШТАТ!AM:AM,"2 МСБ",ШТАТ!AL:AL,"2 ВПТУР",ШТАТ!W:W,"в/ч 90151")</f>
        <v>0</v>
      </c>
      <c r="BC30" s="24"/>
      <c r="BD30" s="26">
        <f>COUNTIFS(ШТАТ!$AL:$AL,$B30,ШТАТ!$U:$U,"ком-ка")-SUM(AS30:BC30)-AP30-AQ30</f>
        <v>0</v>
      </c>
      <c r="BE30" s="24">
        <f>COUNTIFS(ШТАТ!AM:AM,"2 МСБ",ШТАТ!AL:AL,"2 ВПТУР",ШТАТ!U:U,"отпуск")</f>
        <v>0</v>
      </c>
      <c r="BF30" s="22"/>
      <c r="BG30" s="24">
        <f>COUNTIFS(ШТАТ!AM:AM,"2 МСБ",ШТАТ!AL:AL,B30,ШТАТ!U:U,"СОЧ")</f>
        <v>0</v>
      </c>
      <c r="BH30" s="28">
        <f t="shared" si="34"/>
        <v>12</v>
      </c>
      <c r="BI30" s="29" t="e">
        <f>#REF!-#REF!</f>
        <v>#REF!</v>
      </c>
      <c r="BJ30" s="19" t="e">
        <f t="shared" si="17"/>
        <v>#REF!</v>
      </c>
    </row>
    <row r="31" spans="1:62" ht="79.5" customHeight="1" thickBot="1" x14ac:dyDescent="0.3">
      <c r="A31" s="30"/>
      <c r="B31" s="32" t="s">
        <v>485</v>
      </c>
      <c r="C31" s="18">
        <f>COUNTIFS(ШТАТ!AM:AM,"2 МСБ",ШТАТ!AL:AL,"2 ВС",ШТАТ!AK:AK,1)</f>
        <v>1</v>
      </c>
      <c r="D31" s="18">
        <f>COUNTIFS(ШТАТ!AM:AM,"2 МСБ",ШТАТ!AL:AL,"2 ВС",ШТАТ!AK:AK,2)</f>
        <v>0</v>
      </c>
      <c r="E31" s="18">
        <f>COUNTIFS(ШТАТ!AM:AM,"2 МСБ",ШТАТ!AL:AL,"2 ВС",ШТАТ!AK:AK,3)</f>
        <v>1</v>
      </c>
      <c r="F31" s="18">
        <f>COUNTIFS(ШТАТ!AM:AM,"2 МСБ",ШТАТ!AL:AL,"2 ВС",ШТАТ!AK:AK,4)</f>
        <v>11</v>
      </c>
      <c r="G31" s="19">
        <f t="shared" si="23"/>
        <v>13</v>
      </c>
      <c r="H31" s="18">
        <f>COUNTIFS(ШТАТ!AM:AM,"2 МСБ",ШТАТ!AL:AL,"2 ВС",ШТАТ!AJ:AJ,"о")</f>
        <v>1</v>
      </c>
      <c r="I31" s="18">
        <f>COUNTIFS(ШТАТ!AM:AM,"2 МСБ",ШТАТ!AL:AL,"2 ВС",ШТАТ!AJ:AJ,"п")</f>
        <v>0</v>
      </c>
      <c r="J31" s="19">
        <f t="shared" si="24"/>
        <v>0</v>
      </c>
      <c r="K31" s="20">
        <f>COUNTIFS(ШТАТ!AM:AM,"2 МСБ",ШТАТ!AL:AL,"2 ВС",ШТАТ!AK:AK,3,ШТАТ!AJ:AJ,"к/с")</f>
        <v>0</v>
      </c>
      <c r="L31" s="21">
        <f>COUNTIFS(ШТАТ!AM:AM,"2 МСБ",ШТАТ!AL:AL,B31,ШТАТ!AK:AK,3,ШТАТ!AJ:AJ,"с/с")</f>
        <v>0</v>
      </c>
      <c r="M31" s="19">
        <f>N31+O31</f>
        <v>11</v>
      </c>
      <c r="N31" s="22">
        <f>COUNTIFS(ШТАТ!AM:AM,"2 МСБ",ШТАТ!AL:AL,"2 ВС",ШТАТ!AK:AK,4,ШТАТ!AJ:AJ,"к/с")</f>
        <v>1</v>
      </c>
      <c r="O31" s="22">
        <f>COUNTIFS(ШТАТ!AM:AM,"2 МСБ",ШТАТ!AL:AL,"2 ВС",ШТАТ!AK:AK,4,ШТАТ!AJ:AJ,"с/с")</f>
        <v>10</v>
      </c>
      <c r="P31" s="19">
        <f>SUM(Q31:R31)</f>
        <v>11</v>
      </c>
      <c r="Q31" s="22">
        <f t="shared" si="27"/>
        <v>1</v>
      </c>
      <c r="R31" s="21">
        <f t="shared" si="28"/>
        <v>10</v>
      </c>
      <c r="S31" s="19">
        <f t="shared" si="29"/>
        <v>12</v>
      </c>
      <c r="T31" s="23">
        <f t="shared" si="5"/>
        <v>0.92307692307692313</v>
      </c>
      <c r="U31" s="24">
        <f>COUNTIFS(ШТАТ!U:U,"",ШТАТ!AM:AM,"2 МСБ",ШТАТ!AL:AL,"2 ВС",ШТАТ!AJ:AJ,"о")</f>
        <v>1</v>
      </c>
      <c r="V31" s="24">
        <f>COUNTIFS(ШТАТ!U:U,"",ШТАТ!AM:AM,"2 МСБ",ШТАТ!AL:AL,"2 ВС",ШТАТ!AJ:AJ,"п")</f>
        <v>0</v>
      </c>
      <c r="W31" s="103">
        <f t="shared" si="30"/>
        <v>0</v>
      </c>
      <c r="X31" s="24">
        <f>COUNTIFS(ШТАТ!U:U,"",ШТАТ!AM:AM,"2 МСБ",ШТАТ!AL:AL,"2 ВС",ШТАТ!AK:AK,3,ШТАТ!AJ:AJ,"к/с")</f>
        <v>0</v>
      </c>
      <c r="Y31" s="102">
        <f>COUNTIFS(ШТАТ!U:U,"",ШТАТ!AM:AM,"2 МСБ",ШТАТ!AL:AL,B31,ШТАТ!AK:AK,3,ШТАТ!AJ:AJ,"с/с")</f>
        <v>0</v>
      </c>
      <c r="Z31" s="25">
        <f t="shared" si="31"/>
        <v>1</v>
      </c>
      <c r="AA31" s="26">
        <f>COUNTIFS(ШТАТ!U:U,"",ШТАТ!AM:AM,"2 МСБ",ШТАТ!AL:AL,"2 ВС",ШТАТ!AK:AK,4,ШТАТ!AJ:AJ,"к/с")</f>
        <v>1</v>
      </c>
      <c r="AB31" s="24">
        <f>COUNTIFS(ШТАТ!U:U,"",ШТАТ!AM:AM,"2 МСБ",ШТАТ!AL:AL,"2 ВС",ШТАТ!AK:AK,4,ШТАТ!AJ:AJ,"с/с")</f>
        <v>0</v>
      </c>
      <c r="AC31" s="25">
        <f t="shared" si="32"/>
        <v>1</v>
      </c>
      <c r="AD31" s="21">
        <f t="shared" si="35"/>
        <v>1</v>
      </c>
      <c r="AE31" s="21">
        <f t="shared" si="37"/>
        <v>0</v>
      </c>
      <c r="AF31" s="19">
        <f t="shared" si="36"/>
        <v>2</v>
      </c>
      <c r="AG31" s="24"/>
      <c r="AH31" s="24">
        <f>COUNTIFS(ШТАТ!$AL:$AL,$B31,ШТАТ!$U:$U,"МП")</f>
        <v>0</v>
      </c>
      <c r="AI31" s="24">
        <f>COUNTIFS(ШТАТ!AM:AM,"2 МСБ",ШТАТ!AL:AL,"2 ВС",ШТАТ!U:U,"осв-ие")</f>
        <v>0</v>
      </c>
      <c r="AJ31" s="24">
        <f>COUNTIFS(ШТАТ!AM:AM,"2 МСБ",ШТАТ!AL:AL,"2 ВС",ШТАТ!U:U,"госп")</f>
        <v>0</v>
      </c>
      <c r="AK31" s="27">
        <f>SUM(AL31:BD31)</f>
        <v>10</v>
      </c>
      <c r="AL31" s="24">
        <f>COUNTIFS(ШТАТ!AM:AM,"2 МСБ",ШТАТ!AL:AL,"2 ВС",ШТАТ!W:W,"Барсуковка")</f>
        <v>0</v>
      </c>
      <c r="AM31" s="24">
        <f>COUNTIFS(ШТАТ!$AL:$AL,$B31,ШТАТ!$W:$W,"Павенково")</f>
        <v>0</v>
      </c>
      <c r="AN31" s="18"/>
      <c r="AO31" s="24"/>
      <c r="AP31" s="24"/>
      <c r="AQ31" s="18"/>
      <c r="AR31" s="18">
        <f>COUNTIFS(ШТАТ!AM:AM,"2 МСБ",ШТАТ!AL:AL,"2 ВС",ШТАТ!U:U,"полигон")-SUM(AL31:AO31)</f>
        <v>8</v>
      </c>
      <c r="AS31" s="24"/>
      <c r="AT31" s="24">
        <f>COUNTIFS(ШТАТ!AM:AM,"2 МСБ",ШТАТ!AL:AL,"2 ВС",ШТАТ!X:X,"САР")</f>
        <v>0</v>
      </c>
      <c r="AU31" s="24">
        <f>COUNTIFS(ШТАТ!AM:AM,"2 МСБ",ШТАТ!AL:AL,"2 ВС",ШТАТ!X:X,"Выполнение специальных задач")</f>
        <v>0</v>
      </c>
      <c r="AV31" s="24">
        <f>COUNTIFS(ШТАТ!AM:AM,"2 МСБ",ШТАТ!AL:AL,"2 ВС",ШТАТ!X:X,"Переподготовка")</f>
        <v>0</v>
      </c>
      <c r="AW31" s="24">
        <f>COUNTIFS(ШТАТ!AM:AM,"2 МСБ",ШТАТ!AL:AL,"2 ВС",ШТАТ!X:X,"Усиление объектов")</f>
        <v>0</v>
      </c>
      <c r="AX31" s="24"/>
      <c r="AY31" s="24"/>
      <c r="AZ31" s="24">
        <f>COUNTIFS(ШТАТ!AM:AM,"2 МСБ",ШТАТ!AL:AL,"2 ВС",ШТАТ!W:W,"г. Белгород")</f>
        <v>0</v>
      </c>
      <c r="BA31" s="24">
        <f>COUNTIFS(ШТАТ!AM:AM,"2 МСБ",ШТАТ!AL:AL,"2 ВС",ШТАТ!W:W,"в/ч 38838")</f>
        <v>2</v>
      </c>
      <c r="BB31" s="24">
        <f>COUNTIFS(ШТАТ!AM:AM,"2 МСБ",ШТАТ!AL:AL,"2 ВС",ШТАТ!W:W,"в/ч 90151")</f>
        <v>0</v>
      </c>
      <c r="BC31" s="24"/>
      <c r="BD31" s="26">
        <f>COUNTIFS(ШТАТ!$AL:$AL,$B31,ШТАТ!$U:$U,"ком-ка")-SUM(AS31:BC31)-AP31-AQ31</f>
        <v>0</v>
      </c>
      <c r="BE31" s="24">
        <f>COUNTIFS(ШТАТ!AM:AM,"2 МСБ",ШТАТ!AL:AL,"2 ВС",ШТАТ!U:U,"отпуск")</f>
        <v>0</v>
      </c>
      <c r="BF31" s="22"/>
      <c r="BG31" s="24">
        <f>COUNTIFS(ШТАТ!AM:AM,"2 МСБ",ШТАТ!AL:AL,B31,ШТАТ!U:U,"СОЧ")</f>
        <v>0</v>
      </c>
      <c r="BH31" s="28">
        <f t="shared" ref="BH31:BH51" si="38">SUM(AG31:AJ31)+SUM(BE31:BG31)+AK31</f>
        <v>10</v>
      </c>
      <c r="BI31" s="29" t="e">
        <f>#REF!-#REF!</f>
        <v>#REF!</v>
      </c>
      <c r="BJ31" s="19" t="e">
        <f t="shared" si="17"/>
        <v>#REF!</v>
      </c>
    </row>
    <row r="32" spans="1:62" ht="71.25" customHeight="1" thickBot="1" x14ac:dyDescent="0.3">
      <c r="A32" s="30"/>
      <c r="B32" s="33" t="s">
        <v>487</v>
      </c>
      <c r="C32" s="34">
        <f>COUNTIFS(ШТАТ!AM:AM,"2 МСБ",ШТАТ!AL:AL,"2 МВ",ШТАТ!AK:AK,1)</f>
        <v>1</v>
      </c>
      <c r="D32" s="18">
        <f>COUNTIFS(ШТАТ!AM:AM,"2 МСБ",ШТАТ!AL:AL,"2 МВ",ШТАТ!AK:AK,2)</f>
        <v>1</v>
      </c>
      <c r="E32" s="34">
        <f>COUNTIFS(ШТАТ!AM:AM,"2 МСБ",ШТАТ!AL:AL,"2 МВ",ШТАТ!AK:AK,3)</f>
        <v>4</v>
      </c>
      <c r="F32" s="18">
        <f>COUNTIFS(ШТАТ!AM:AM,"2 МСБ",ШТАТ!AL:AL,"2 МВ",ШТАТ!AK:AK,4)</f>
        <v>9</v>
      </c>
      <c r="G32" s="19">
        <f t="shared" si="23"/>
        <v>15</v>
      </c>
      <c r="H32" s="18">
        <f>COUNTIFS(ШТАТ!AM:AM,"2 МСБ",ШТАТ!AL:AL,"2 МВ",ШТАТ!AJ:AJ,"о")</f>
        <v>0</v>
      </c>
      <c r="I32" s="34">
        <f>COUNTIFS(ШТАТ!AM:AM,"2 МСБ",ШТАТ!AL:AL,"2 МВ",ШТАТ!AJ:AJ,"п")</f>
        <v>0</v>
      </c>
      <c r="J32" s="19">
        <f t="shared" si="24"/>
        <v>2</v>
      </c>
      <c r="K32" s="20">
        <f>COUNTIFS(ШТАТ!AM:AM,"2 МСБ",ШТАТ!AL:AL,"2 МВ",ШТАТ!AK:AK,3,ШТАТ!AJ:AJ,"к/с")</f>
        <v>0</v>
      </c>
      <c r="L32" s="21">
        <f>COUNTIFS(ШТАТ!AM:AM,"2 МСБ",ШТАТ!AL:AL,B32,ШТАТ!AK:AK,3,ШТАТ!AJ:AJ,"с/с")</f>
        <v>2</v>
      </c>
      <c r="M32" s="19">
        <f>N32+O32</f>
        <v>9</v>
      </c>
      <c r="N32" s="36">
        <f>COUNTIFS(ШТАТ!AM:AM,"2 МСБ",ШТАТ!AL:AL,"2 МВ",ШТАТ!AK:AK,4,ШТАТ!AJ:AJ,"к/с")</f>
        <v>0</v>
      </c>
      <c r="O32" s="22">
        <f>COUNTIFS(ШТАТ!AM:AM,"2 МСБ",ШТАТ!AL:AL,"2 МВ",ШТАТ!AK:AK,4,ШТАТ!AJ:AJ,"с/с")</f>
        <v>9</v>
      </c>
      <c r="P32" s="19">
        <f>SUM(Q32:R32)</f>
        <v>11</v>
      </c>
      <c r="Q32" s="22">
        <f t="shared" si="27"/>
        <v>0</v>
      </c>
      <c r="R32" s="21">
        <f t="shared" si="28"/>
        <v>11</v>
      </c>
      <c r="S32" s="19">
        <f t="shared" si="29"/>
        <v>11</v>
      </c>
      <c r="T32" s="23">
        <f t="shared" si="5"/>
        <v>0.73333333333333328</v>
      </c>
      <c r="U32" s="24">
        <f>COUNTIFS(ШТАТ!U:U,"",ШТАТ!AM:AM,"2 МСБ",ШТАТ!AL:AL,"2 МВ",ШТАТ!AJ:AJ,"о")</f>
        <v>0</v>
      </c>
      <c r="V32" s="24">
        <f>COUNTIFS(ШТАТ!U:U,"",ШТАТ!AM:AM,"2 МСБ",ШТАТ!AL:AL,"2 МВ",ШТАТ!AJ:AJ,"п")</f>
        <v>0</v>
      </c>
      <c r="W32" s="103">
        <f t="shared" si="30"/>
        <v>0</v>
      </c>
      <c r="X32" s="24">
        <f>COUNTIFS(ШТАТ!U:U,"",ШТАТ!AM:AM,"2 МСБ",ШТАТ!AL:AL,"2 МВ",ШТАТ!AK:AK,3,ШТАТ!AJ:AJ,"к/с")</f>
        <v>0</v>
      </c>
      <c r="Y32" s="102">
        <f>COUNTIFS(ШТАТ!U:U,"",ШТАТ!AM:AM,"2 МСБ",ШТАТ!AL:AL,B32,ШТАТ!AK:AK,3,ШТАТ!AJ:AJ,"с/с")</f>
        <v>0</v>
      </c>
      <c r="Z32" s="25">
        <f t="shared" si="31"/>
        <v>0</v>
      </c>
      <c r="AA32" s="39">
        <f>COUNTIFS(ШТАТ!U:U,"",ШТАТ!AM:AM,"2 МСБ",ШТАТ!AL:AL,"2 МВ",ШТАТ!AK:AK,4,ШТАТ!AJ:AJ,"к/с")</f>
        <v>0</v>
      </c>
      <c r="AB32" s="24">
        <f>COUNTIFS(ШТАТ!U:U,"",ШТАТ!AM:AM,"2 МСБ",ШТАТ!AL:AL,"2 МВ",ШТАТ!AK:AK,4,ШТАТ!AJ:AJ,"с/с")</f>
        <v>0</v>
      </c>
      <c r="AC32" s="25">
        <f t="shared" si="32"/>
        <v>0</v>
      </c>
      <c r="AD32" s="21">
        <f t="shared" si="35"/>
        <v>0</v>
      </c>
      <c r="AE32" s="21">
        <f t="shared" si="37"/>
        <v>0</v>
      </c>
      <c r="AF32" s="19">
        <f t="shared" si="36"/>
        <v>0</v>
      </c>
      <c r="AG32" s="24"/>
      <c r="AH32" s="24">
        <f>COUNTIFS(ШТАТ!$AL:$AL,$B32,ШТАТ!$U:$U,"МП")</f>
        <v>0</v>
      </c>
      <c r="AI32" s="24">
        <f>COUNTIFS(ШТАТ!AM:AM,"2 МСБ",ШТАТ!AL:AL,"2 МВ",ШТАТ!U:U,"осв-ие")</f>
        <v>0</v>
      </c>
      <c r="AJ32" s="38">
        <f>COUNTIFS(ШТАТ!AM:AM,"2 МСБ",ШТАТ!AL:AL,"2 МВ",ШТАТ!U:U,"госп")</f>
        <v>0</v>
      </c>
      <c r="AK32" s="27">
        <f>SUM(AL32:BD32)</f>
        <v>11</v>
      </c>
      <c r="AL32" s="24">
        <f>COUNTIFS(ШТАТ!AM:AM,"2 МСБ",ШТАТ!AL:AL,"2 МВ",ШТАТ!W:W,"Барсуковка")</f>
        <v>0</v>
      </c>
      <c r="AM32" s="24">
        <f>COUNTIFS(ШТАТ!$AL:$AL,$B32,ШТАТ!$W:$W,"Павенково")</f>
        <v>0</v>
      </c>
      <c r="AN32" s="18"/>
      <c r="AO32" s="24"/>
      <c r="AP32" s="24"/>
      <c r="AQ32" s="18"/>
      <c r="AR32" s="34">
        <f>COUNTIFS(ШТАТ!AM:AM,"2 МСБ",ШТАТ!AL:AL,"2 МВ",ШТАТ!U:U,"полигон")-SUM(AL32:AO32)</f>
        <v>1</v>
      </c>
      <c r="AS32" s="38"/>
      <c r="AT32" s="24">
        <f>COUNTIFS(ШТАТ!AM:AM,"2 МСБ",ШТАТ!AL:AL,"2 МВ",ШТАТ!X:X,"САР")</f>
        <v>0</v>
      </c>
      <c r="AU32" s="24">
        <f>COUNTIFS(ШТАТ!AM:AM,"2 МСБ",ШТАТ!AL:AL,"2 МВ",ШТАТ!X:X,"Выполнение специальных задач")</f>
        <v>0</v>
      </c>
      <c r="AV32" s="24">
        <f>COUNTIFS(ШТАТ!AM:AM,"2 МСБ",ШТАТ!AL:AL,"2 МВ",ШТАТ!X:X,"Переподготовка")</f>
        <v>0</v>
      </c>
      <c r="AW32" s="24">
        <f>COUNTIFS(ШТАТ!AM:AM,"2 МСБ",ШТАТ!AL:AL,"2 МВ",ШТАТ!X:X,"Усиление объектов")</f>
        <v>0</v>
      </c>
      <c r="AX32" s="38"/>
      <c r="AY32" s="38"/>
      <c r="AZ32" s="24">
        <f>COUNTIFS(ШТАТ!AM:AM,"2 МСБ",ШТАТ!AL:AL,"2 МВ",ШТАТ!W:W,"г. Белгород")</f>
        <v>0</v>
      </c>
      <c r="BA32" s="24">
        <f>COUNTIFS(ШТАТ!AM:AM,"2 МСБ",ШТАТ!AL:AL,"2 МВ",ШТАТ!W:W,"в/ч 38838")</f>
        <v>9</v>
      </c>
      <c r="BB32" s="24">
        <f>COUNTIFS(ШТАТ!AM:AM,"2 МСБ",ШТАТ!AL:AL,"2 МВ",ШТАТ!W:W,"в/ч 90151")</f>
        <v>0</v>
      </c>
      <c r="BC32" s="24"/>
      <c r="BD32" s="26">
        <f>COUNTIFS(ШТАТ!$AL:$AL,$B32,ШТАТ!$U:$U,"ком-ка")-SUM(AS32:BC32)-AP32-AQ32</f>
        <v>1</v>
      </c>
      <c r="BE32" s="24">
        <f>COUNTIFS(ШТАТ!AM:AM,"2 МСБ",ШТАТ!AL:AL,"2 МВ",ШТАТ!U:U,"отпуск")</f>
        <v>0</v>
      </c>
      <c r="BF32" s="36"/>
      <c r="BG32" s="24">
        <f>COUNTIFS(ШТАТ!AM:AM,"2 МСБ",ШТАТ!AL:AL,B32,ШТАТ!U:U,"СОЧ")</f>
        <v>0</v>
      </c>
      <c r="BH32" s="28">
        <f t="shared" si="38"/>
        <v>11</v>
      </c>
      <c r="BI32" s="29" t="e">
        <f>#REF!-#REF!</f>
        <v>#REF!</v>
      </c>
      <c r="BJ32" s="19" t="e">
        <f t="shared" si="17"/>
        <v>#REF!</v>
      </c>
    </row>
    <row r="33" spans="1:62" ht="71.25" customHeight="1" thickBot="1" x14ac:dyDescent="0.3">
      <c r="A33" s="30"/>
      <c r="B33" s="33" t="s">
        <v>489</v>
      </c>
      <c r="C33" s="34">
        <f>COUNTIFS(ШТАТ!AM:AM,"2 МСБ",ШТАТ!AL:AL,"2 ВО б",ШТАТ!AK:AK,1)</f>
        <v>0</v>
      </c>
      <c r="D33" s="18">
        <f>COUNTIFS(ШТАТ!AM:AM,"2 МСБ",ШТАТ!AL:AL,"2 ВО б",ШТАТ!AK:AK,2)</f>
        <v>1</v>
      </c>
      <c r="E33" s="34">
        <f>COUNTIFS(ШТАТ!AM:AM,"2 МСБ",ШТАТ!AL:AL,"2 ВО б",ШТАТ!AK:AK,3)</f>
        <v>5</v>
      </c>
      <c r="F33" s="18">
        <f>COUNTIFS(ШТАТ!AM:AM,"2 МСБ",ШТАТ!AL:AL,"2 ВО б",ШТАТ!AK:AK,4)</f>
        <v>21</v>
      </c>
      <c r="G33" s="19">
        <f t="shared" si="23"/>
        <v>27</v>
      </c>
      <c r="H33" s="18">
        <f>COUNTIFS(ШТАТ!AM:AM,"2 МСБ",ШТАТ!AL:AL,"2 ВО б",ШТАТ!AJ:AJ,"о")</f>
        <v>0</v>
      </c>
      <c r="I33" s="34">
        <f>COUNTIFS(ШТАТ!AM:AM,"2 МСБ",ШТАТ!AL:AL,"2 ВО б",ШТАТ!AJ:AJ,"п")</f>
        <v>1</v>
      </c>
      <c r="J33" s="19">
        <f t="shared" si="24"/>
        <v>4</v>
      </c>
      <c r="K33" s="20">
        <f>COUNTIFS(ШТАТ!AM:AM,"2 МСБ",ШТАТ!AL:AL,"2 ВО б",ШТАТ!AK:AK,3,ШТАТ!AJ:AJ,"к/с")</f>
        <v>1</v>
      </c>
      <c r="L33" s="21">
        <f>COUNTIFS(ШТАТ!AM:AM,"2 МСБ",ШТАТ!AL:AL,B33,ШТАТ!AK:AK,3,ШТАТ!AJ:AJ,"с/с")</f>
        <v>3</v>
      </c>
      <c r="M33" s="19">
        <f>N33+O33</f>
        <v>21</v>
      </c>
      <c r="N33" s="36">
        <f>COUNTIFS(ШТАТ!AM:AM,"2 МСБ",ШТАТ!AL:AL,"2 ВО б",ШТАТ!AK:AK,4,ШТАТ!AJ:AJ,"к/с")</f>
        <v>2</v>
      </c>
      <c r="O33" s="22">
        <f>COUNTIFS(ШТАТ!AM:AM,"2 МСБ",ШТАТ!AL:AL,"2 ВО б",ШТАТ!AK:AK,4,ШТАТ!AJ:AJ,"с/с")</f>
        <v>19</v>
      </c>
      <c r="P33" s="19">
        <f>SUM(Q33:R33)</f>
        <v>25</v>
      </c>
      <c r="Q33" s="22">
        <f t="shared" si="27"/>
        <v>3</v>
      </c>
      <c r="R33" s="21">
        <f t="shared" si="28"/>
        <v>22</v>
      </c>
      <c r="S33" s="19">
        <f t="shared" si="29"/>
        <v>26</v>
      </c>
      <c r="T33" s="37">
        <f t="shared" si="5"/>
        <v>0.96296296296296291</v>
      </c>
      <c r="U33" s="24">
        <f>COUNTIFS(ШТАТ!U:U,"",ШТАТ!AM:AM,"2 МСБ",ШТАТ!AL:AL,"2 ВО б",ШТАТ!AJ:AJ,"о")</f>
        <v>0</v>
      </c>
      <c r="V33" s="24">
        <f>COUNTIFS(ШТАТ!U:U,"",ШТАТ!AM:AM,"2 МСБ",ШТАТ!AL:AL,"2 ВО б",ШТАТ!AJ:AJ,"п")</f>
        <v>1</v>
      </c>
      <c r="W33" s="103">
        <f t="shared" si="30"/>
        <v>0</v>
      </c>
      <c r="X33" s="24">
        <f>COUNTIFS(ШТАТ!U:U,"",ШТАТ!AM:AM,"2 МСБ",ШТАТ!AL:AL,"2 ВО б",ШТАТ!AK:AK,3,ШТАТ!AJ:AJ,"к/с")</f>
        <v>0</v>
      </c>
      <c r="Y33" s="102">
        <f>COUNTIFS(ШТАТ!U:U,"",ШТАТ!AM:AM,"2 МСБ",ШТАТ!AL:AL,B33,ШТАТ!AK:AK,3,ШТАТ!AJ:AJ,"с/с")</f>
        <v>0</v>
      </c>
      <c r="Z33" s="25">
        <f>SUM(AA33:AB33)</f>
        <v>1</v>
      </c>
      <c r="AA33" s="39">
        <f>COUNTIFS(ШТАТ!U:U,"",ШТАТ!AM:AM,"2 МСБ",ШТАТ!AL:AL,"2 ВО б",ШТАТ!AK:AK,4,ШТАТ!AJ:AJ,"к/с")</f>
        <v>1</v>
      </c>
      <c r="AB33" s="24">
        <f>COUNTIFS(ШТАТ!U:U,"",ШТАТ!AM:AM,"2 МСБ",ШТАТ!AL:AL,"2 ВО б",ШТАТ!AK:AK,4,ШТАТ!AJ:AJ,"с/с")</f>
        <v>0</v>
      </c>
      <c r="AC33" s="25">
        <f>SUM(AD33:AE33)</f>
        <v>1</v>
      </c>
      <c r="AD33" s="21">
        <f>X33+AA33</f>
        <v>1</v>
      </c>
      <c r="AE33" s="35">
        <f>SUM(Y33,AB33)</f>
        <v>0</v>
      </c>
      <c r="AF33" s="19">
        <f>SUM(U33,V33,AC33)</f>
        <v>2</v>
      </c>
      <c r="AG33" s="24"/>
      <c r="AH33" s="24">
        <f>COUNTIFS(ШТАТ!$AL:$AL,$B33,ШТАТ!$U:$U,"МП")</f>
        <v>0</v>
      </c>
      <c r="AI33" s="24">
        <f>COUNTIFS(ШТАТ!AM:AM,"2 МСБ",ШТАТ!AL:AL,"2 ВО б",ШТАТ!U:U,"осв-ие")</f>
        <v>0</v>
      </c>
      <c r="AJ33" s="38">
        <f>COUNTIFS(ШТАТ!AM:AM,"2 МСБ",ШТАТ!AL:AL,"2 ВО б",ШТАТ!U:U,"госп")</f>
        <v>0</v>
      </c>
      <c r="AK33" s="27">
        <f>SUM(AL33:BD33)</f>
        <v>23</v>
      </c>
      <c r="AL33" s="24">
        <f>COUNTIFS(ШТАТ!AM:AM,"2 МСБ",ШТАТ!AL:AL,"2 ВО б",ШТАТ!W:W,"Барсуковка")</f>
        <v>0</v>
      </c>
      <c r="AM33" s="24">
        <f>COUNTIFS(ШТАТ!$AL:$AL,$B33,ШТАТ!$W:$W,"Павенково")</f>
        <v>0</v>
      </c>
      <c r="AN33" s="18"/>
      <c r="AO33" s="24"/>
      <c r="AP33" s="24"/>
      <c r="AQ33" s="18"/>
      <c r="AR33" s="34">
        <f>COUNTIFS(ШТАТ!AM:AM,"2 МСБ",ШТАТ!AL:AL,"2 ВО б",ШТАТ!U:U,"полигон")-SUM(AL33:AO33)</f>
        <v>20</v>
      </c>
      <c r="AS33" s="38"/>
      <c r="AT33" s="24">
        <f>COUNTIFS(ШТАТ!AM:AM,"2 МСБ",ШТАТ!AL:AL,"2 ВО б",ШТАТ!X:X,"САР")</f>
        <v>0</v>
      </c>
      <c r="AU33" s="24">
        <f>COUNTIFS(ШТАТ!AM:AM,"2 МСБ",ШТАТ!AL:AL,"2 ВО б",ШТАТ!X:X,"Выполнение специальных задач")</f>
        <v>0</v>
      </c>
      <c r="AV33" s="24">
        <f>COUNTIFS(ШТАТ!AM:AM,"2 МСБ",ШТАТ!AL:AL,"2 ВО б",ШТАТ!X:X,"Переподготовка")</f>
        <v>0</v>
      </c>
      <c r="AW33" s="24">
        <f>COUNTIFS(ШТАТ!AM:AM,"2 МСБ",ШТАТ!AL:AL,"2 ВО б",ШТАТ!X:X,"Усиление объектов")</f>
        <v>0</v>
      </c>
      <c r="AX33" s="38"/>
      <c r="AY33" s="38"/>
      <c r="AZ33" s="24">
        <f>COUNTIFS(ШТАТ!AM:AM,"2 МСБ",ШТАТ!AL:AL,"2 ВО б",ШТАТ!W:W,"г. Белгород")</f>
        <v>1</v>
      </c>
      <c r="BA33" s="24">
        <f>COUNTIFS(ШТАТ!AM:AM,"2 МСБ",ШТАТ!AL:AL,"2 ВО б",ШТАТ!W:W,"в/ч 38838")</f>
        <v>2</v>
      </c>
      <c r="BB33" s="24">
        <f>COUNTIFS(ШТАТ!AM:AM,"2 МСБ",ШТАТ!AL:AL,"2 ВО б",ШТАТ!W:W,"в/ч 90151")</f>
        <v>0</v>
      </c>
      <c r="BC33" s="24"/>
      <c r="BD33" s="26">
        <f>COUNTIFS(ШТАТ!$AL:$AL,$B33,ШТАТ!$U:$U,"ком-ка")-SUM(AS33:BC33)-AP33-AQ33</f>
        <v>0</v>
      </c>
      <c r="BE33" s="24">
        <f>COUNTIFS(ШТАТ!AM:AM,"2 МСБ",ШТАТ!AL:AL,"2 ВО б",ШТАТ!U:U,"отпуск")</f>
        <v>0</v>
      </c>
      <c r="BF33" s="36"/>
      <c r="BG33" s="24">
        <f>COUNTIFS(ШТАТ!AM:AM,"2 МСБ",ШТАТ!AL:AL,B33,ШТАТ!U:U,"СОЧ")</f>
        <v>1</v>
      </c>
      <c r="BH33" s="28">
        <f>SUM(AG33:AJ33)+SUM(BE33:BG33)+AK33</f>
        <v>24</v>
      </c>
      <c r="BI33" s="29" t="e">
        <f>#REF!-#REF!</f>
        <v>#REF!</v>
      </c>
      <c r="BJ33" s="19" t="e">
        <f>SUM(BH33:BI33)</f>
        <v>#REF!</v>
      </c>
    </row>
    <row r="34" spans="1:62" ht="141.75" customHeight="1" thickBot="1" x14ac:dyDescent="0.3">
      <c r="A34" s="30"/>
      <c r="B34" s="41" t="s">
        <v>911</v>
      </c>
      <c r="C34" s="42">
        <f t="shared" ref="C34:S34" si="39">SUM(C24:C33)</f>
        <v>27</v>
      </c>
      <c r="D34" s="42">
        <f t="shared" si="39"/>
        <v>12</v>
      </c>
      <c r="E34" s="42">
        <f t="shared" si="39"/>
        <v>55</v>
      </c>
      <c r="F34" s="42">
        <f t="shared" si="39"/>
        <v>328</v>
      </c>
      <c r="G34" s="42">
        <f t="shared" si="39"/>
        <v>422</v>
      </c>
      <c r="H34" s="42">
        <f t="shared" si="39"/>
        <v>24</v>
      </c>
      <c r="I34" s="42">
        <f t="shared" si="39"/>
        <v>8</v>
      </c>
      <c r="J34" s="42">
        <f t="shared" si="39"/>
        <v>46</v>
      </c>
      <c r="K34" s="42">
        <f t="shared" si="39"/>
        <v>3</v>
      </c>
      <c r="L34" s="43">
        <f t="shared" si="39"/>
        <v>43</v>
      </c>
      <c r="M34" s="42">
        <f t="shared" si="39"/>
        <v>324</v>
      </c>
      <c r="N34" s="42">
        <f t="shared" si="39"/>
        <v>11</v>
      </c>
      <c r="O34" s="42">
        <f t="shared" si="39"/>
        <v>313</v>
      </c>
      <c r="P34" s="42">
        <f t="shared" si="39"/>
        <v>370</v>
      </c>
      <c r="Q34" s="42">
        <f t="shared" si="39"/>
        <v>14</v>
      </c>
      <c r="R34" s="43">
        <f t="shared" si="39"/>
        <v>356</v>
      </c>
      <c r="S34" s="43">
        <f t="shared" si="39"/>
        <v>402</v>
      </c>
      <c r="T34" s="44">
        <f t="shared" si="5"/>
        <v>0.95260663507109</v>
      </c>
      <c r="U34" s="45">
        <f>SUM(U24:U33)</f>
        <v>15</v>
      </c>
      <c r="V34" s="45">
        <f t="shared" ref="V34:AE34" si="40">SUM(V24:V33)</f>
        <v>6</v>
      </c>
      <c r="W34" s="45">
        <f t="shared" si="40"/>
        <v>6</v>
      </c>
      <c r="X34" s="45">
        <f t="shared" si="40"/>
        <v>2</v>
      </c>
      <c r="Y34" s="45">
        <f t="shared" si="40"/>
        <v>4</v>
      </c>
      <c r="Z34" s="45">
        <f>SUM(Z24:Z33)</f>
        <v>8</v>
      </c>
      <c r="AA34" s="45">
        <f t="shared" si="40"/>
        <v>4</v>
      </c>
      <c r="AB34" s="45">
        <f t="shared" si="40"/>
        <v>4</v>
      </c>
      <c r="AC34" s="45">
        <f t="shared" si="40"/>
        <v>14</v>
      </c>
      <c r="AD34" s="45">
        <f t="shared" si="40"/>
        <v>6</v>
      </c>
      <c r="AE34" s="45">
        <f t="shared" si="40"/>
        <v>8</v>
      </c>
      <c r="AF34" s="105">
        <f>SUM(AF24:AF33)</f>
        <v>35</v>
      </c>
      <c r="AG34" s="45">
        <f>SUM(AG24:AG33)</f>
        <v>0</v>
      </c>
      <c r="AH34" s="45">
        <f t="shared" ref="AH34:AN34" si="41">SUM(AH24:AH33)</f>
        <v>0</v>
      </c>
      <c r="AI34" s="45">
        <f t="shared" si="41"/>
        <v>0</v>
      </c>
      <c r="AJ34" s="45">
        <f t="shared" si="41"/>
        <v>3</v>
      </c>
      <c r="AK34" s="45">
        <f>SUM(AK24:AK33)</f>
        <v>360</v>
      </c>
      <c r="AL34" s="45">
        <f>SUM(AL24:AL33)</f>
        <v>0</v>
      </c>
      <c r="AM34" s="45">
        <f t="shared" si="41"/>
        <v>1</v>
      </c>
      <c r="AN34" s="45">
        <f t="shared" si="41"/>
        <v>0</v>
      </c>
      <c r="AO34" s="45">
        <f>SUM(AO24:AO33)</f>
        <v>0</v>
      </c>
      <c r="AP34" s="45">
        <f t="shared" ref="AP34:BB34" si="42">SUM(AP24:AP33)</f>
        <v>0</v>
      </c>
      <c r="AQ34" s="45">
        <f t="shared" si="42"/>
        <v>0</v>
      </c>
      <c r="AR34" s="45">
        <f t="shared" si="42"/>
        <v>42</v>
      </c>
      <c r="AS34" s="45">
        <f t="shared" si="42"/>
        <v>0</v>
      </c>
      <c r="AT34" s="45">
        <f t="shared" si="42"/>
        <v>0</v>
      </c>
      <c r="AU34" s="45">
        <f t="shared" si="42"/>
        <v>3</v>
      </c>
      <c r="AV34" s="45">
        <f>SUM(AV24:AV33)</f>
        <v>0</v>
      </c>
      <c r="AW34" s="45">
        <f t="shared" si="42"/>
        <v>27</v>
      </c>
      <c r="AX34" s="45">
        <f t="shared" si="42"/>
        <v>0</v>
      </c>
      <c r="AY34" s="45">
        <f t="shared" si="42"/>
        <v>0</v>
      </c>
      <c r="AZ34" s="45">
        <f t="shared" si="42"/>
        <v>7</v>
      </c>
      <c r="BA34" s="45">
        <f t="shared" si="42"/>
        <v>229</v>
      </c>
      <c r="BB34" s="45">
        <f t="shared" si="42"/>
        <v>1</v>
      </c>
      <c r="BC34" s="45">
        <f>SUM(BC24:BC33)</f>
        <v>0</v>
      </c>
      <c r="BD34" s="105">
        <f>SUM(BD24:BD33)</f>
        <v>50</v>
      </c>
      <c r="BE34" s="45">
        <f t="shared" ref="BE34:BJ34" si="43">SUM(BE24:BE33)</f>
        <v>3</v>
      </c>
      <c r="BF34" s="45">
        <f t="shared" si="43"/>
        <v>0</v>
      </c>
      <c r="BG34" s="45">
        <f t="shared" si="43"/>
        <v>1</v>
      </c>
      <c r="BH34" s="105">
        <f t="shared" si="43"/>
        <v>367</v>
      </c>
      <c r="BI34" s="45" t="e">
        <f t="shared" si="43"/>
        <v>#REF!</v>
      </c>
      <c r="BJ34" s="105" t="e">
        <f t="shared" si="43"/>
        <v>#REF!</v>
      </c>
    </row>
    <row r="35" spans="1:62" ht="177" customHeight="1" thickBot="1" x14ac:dyDescent="0.3">
      <c r="A35" s="46">
        <v>2</v>
      </c>
      <c r="B35" s="31" t="s">
        <v>491</v>
      </c>
      <c r="C35" s="18">
        <f>COUNTIFS(ШТАТ!AM:AM,"3 МСБ",ШТАТ!AL:AL,"Упр. 3 МСБ",ШТАТ!AK:AK,1)</f>
        <v>4</v>
      </c>
      <c r="D35" s="18">
        <f>COUNTIFS(ШТАТ!AM:AM,"3 МСБ",ШТАТ!AL:AL,"Упр. 3 МСБ",ШТАТ!AK:AK,2)</f>
        <v>0</v>
      </c>
      <c r="E35" s="18">
        <f>COUNTIFS(ШТАТ!AM:AM,"3 МСБ",ШТАТ!AL:AL,"Упр. 3 МСБ",ШТАТ!AK:AK,3)</f>
        <v>1</v>
      </c>
      <c r="F35" s="18">
        <f>COUNTIFS(ШТАТ!AM:AM,"3 МСБ",ШТАТ!AL:AL,"Упр. 3 МСБ",ШТАТ!AK:AK,4)</f>
        <v>0</v>
      </c>
      <c r="G35" s="19">
        <f t="shared" ref="G35:G44" si="44">SUM(C35:F35)</f>
        <v>5</v>
      </c>
      <c r="H35" s="52">
        <f>COUNTIFS(ШТАТ!AM:AM,"3 МСБ",ШТАТ!AL:AL,"Упр. 3 МСБ",ШТАТ!AJ:AJ,"о")</f>
        <v>4</v>
      </c>
      <c r="I35" s="52">
        <f>COUNTIFS(ШТАТ!AM:AM,"3 МСБ",ШТАТ!AL:AL,"Упр. 3 МСБ",ШТАТ!AJ:AJ,"п")</f>
        <v>0</v>
      </c>
      <c r="J35" s="93">
        <f t="shared" ref="J35:J44" si="45">SUM(K35:L35)</f>
        <v>0</v>
      </c>
      <c r="K35" s="94">
        <f>COUNTIFS(ШТАТ!AM:AM,"3 МСБ",ШТАТ!AL:AL,"Упр. 3 МСБ",ШТАТ!AK:AK,3,ШТАТ!AJ:AJ,"к/с")</f>
        <v>0</v>
      </c>
      <c r="L35" s="95">
        <f>COUNTIFS(ШТАТ!AM:AM,"3 МСБ",ШТАТ!AL:AL,B35,ШТАТ!AK:AK,3,ШТАТ!AJ:AJ,"с/с")</f>
        <v>0</v>
      </c>
      <c r="M35" s="93">
        <f t="shared" ref="M35:M41" si="46">N35+O35</f>
        <v>0</v>
      </c>
      <c r="N35" s="96">
        <f>COUNTIFS(ШТАТ!AM:AM,"3 МСБ",ШТАТ!AL:AL,"Упр. 3 МСБ",ШТАТ!AK:AK,4,ШТАТ!AJ:AJ,"к/с")</f>
        <v>0</v>
      </c>
      <c r="O35" s="96">
        <f>COUNTIFS(ШТАТ!AM:AM,"3 МСБ",ШТАТ!AL:AL,"Упр. 3 МСБ",ШТАТ!AK:AK,4,ШТАТ!AJ:AJ,"с/с")</f>
        <v>0</v>
      </c>
      <c r="P35" s="19">
        <f t="shared" ref="P35:P40" si="47">SUM(Q35:R35)</f>
        <v>0</v>
      </c>
      <c r="Q35" s="22">
        <f t="shared" ref="Q35:Q44" si="48">K35+N35</f>
        <v>0</v>
      </c>
      <c r="R35" s="21">
        <f t="shared" ref="R35:R44" si="49">L35+O35</f>
        <v>0</v>
      </c>
      <c r="S35" s="19">
        <f t="shared" ref="S35:S44" si="50">SUM(H35:J35,M35)</f>
        <v>4</v>
      </c>
      <c r="T35" s="23">
        <f t="shared" si="5"/>
        <v>0.8</v>
      </c>
      <c r="U35" s="102">
        <f>COUNTIFS(ШТАТ!U:U,"",ШТАТ!AM:AM,"3 МСБ",ШТАТ!AL:AL,"Упр. 3 МСБ",ШТАТ!AJ:AJ,"о")</f>
        <v>4</v>
      </c>
      <c r="V35" s="102">
        <f>COUNTIFS(ШТАТ!U:U,"",ШТАТ!AM:AM,"3 МСБ",ШТАТ!AL:AL,"Упр. 3 МСБ",ШТАТ!AJ:AJ,"п")</f>
        <v>0</v>
      </c>
      <c r="W35" s="103">
        <f t="shared" ref="W35:W43" si="51">SUM(X35:Y35)</f>
        <v>0</v>
      </c>
      <c r="X35" s="102">
        <f>COUNTIFS(ШТАТ!U:U,"",ШТАТ!AM:AM,"3 МСБ",ШТАТ!AL:AL,"Упр. 3 МСБ",ШТАТ!AK:AK,3,ШТАТ!AJ:AJ,"к/с")</f>
        <v>0</v>
      </c>
      <c r="Y35" s="102">
        <f>COUNTIFS(ШТАТ!U:U,"",ШТАТ!AM:AM,"3 МСБ",ШТАТ!AL:AL,B35,ШТАТ!AK:AK,3,ШТАТ!AJ:AJ,"с/с")</f>
        <v>0</v>
      </c>
      <c r="Z35" s="103">
        <f t="shared" ref="Z35:Z43" si="52">SUM(AA35:AB35)</f>
        <v>0</v>
      </c>
      <c r="AA35" s="104">
        <f>COUNTIFS(ШТАТ!U:U,"",ШТАТ!AM:AM,"3 МСБ",ШТАТ!AL:AL,"Упр. 3 МСБ",ШТАТ!AK:AK,4,ШТАТ!AJ:AJ,"к/с")</f>
        <v>0</v>
      </c>
      <c r="AB35" s="102">
        <f>COUNTIFS(ШТАТ!U:U,"",ШТАТ!AM:AM,"3 МСБ",ШТАТ!AL:AL,"Упр. 3 МСБ",ШТАТ!AK:AK,4,ШТАТ!AJ:AJ,"с/с")</f>
        <v>0</v>
      </c>
      <c r="AC35" s="25">
        <f t="shared" ref="AC35:AC43" si="53">SUM(AD35:AE35)</f>
        <v>0</v>
      </c>
      <c r="AD35" s="21">
        <f t="shared" ref="AD35:AD43" si="54">X35+AA35</f>
        <v>0</v>
      </c>
      <c r="AE35" s="22">
        <f>SUM(Y35,AB35)</f>
        <v>0</v>
      </c>
      <c r="AF35" s="19">
        <f>SUM(U35,V35,AC35)</f>
        <v>4</v>
      </c>
      <c r="AG35" s="24"/>
      <c r="AH35" s="24">
        <f>COUNTIFS(ШТАТ!$AL:$AL,$B35,ШТАТ!$U:$U,"МП")</f>
        <v>0</v>
      </c>
      <c r="AI35" s="24">
        <f>COUNTIFS(ШТАТ!AM:AM,"3 МСБ",ШТАТ!AL:AL,"Упр. 3 МСБ",ШТАТ!U:U,"осв-ие")</f>
        <v>0</v>
      </c>
      <c r="AJ35" s="24">
        <f>COUNTIFS(ШТАТ!AM:AM,"3 МСБ",ШТАТ!AL:AL,"Упр. 3 МСБ",ШТАТ!U:U,"госп")</f>
        <v>0</v>
      </c>
      <c r="AK35" s="27">
        <f t="shared" ref="AK35:AK44" si="55">SUM(AL35:BD35)</f>
        <v>0</v>
      </c>
      <c r="AL35" s="24">
        <f>COUNTIFS(ШТАТ!AM:AM,"3 МСБ",ШТАТ!AL:AL,"Упр. 3 МСБ",ШТАТ!W:W,"Барсуковка")</f>
        <v>0</v>
      </c>
      <c r="AM35" s="24">
        <f>COUNTIFS(ШТАТ!$AL:$AL,$B35,ШТАТ!$W:$W,"Павенково")</f>
        <v>0</v>
      </c>
      <c r="AN35" s="18"/>
      <c r="AO35" s="24">
        <f>COUNTIFS(ШТАТ!AM:AM,"3 МСБ",ШТАТ!AL:AL,"Упр. 3 МСБ",ШТАТ!W:W,"полигон Чехово")</f>
        <v>0</v>
      </c>
      <c r="AP35" s="24">
        <f>COUNTIFS(ШТАТ!AM:AM,"3 МСБ",ШТАТ!AL:AL,"Упр. 3 МСБ",ШТАТ!X:X,"Такелажные работы")</f>
        <v>0</v>
      </c>
      <c r="AQ35" s="18">
        <f>COUNTIFS(ШТАТ!AM:AM,"3 МСБ",ШТАТ!AL:AL,"Упр. 3 МСБ",ШТАТ!X:X,"Усиление объектов")</f>
        <v>0</v>
      </c>
      <c r="AR35" s="18">
        <f>COUNTIFS(ШТАТ!AM:AM,"3 МСБ",ШТАТ!AL:AL,"Упр. 3 МСБ",ШТАТ!U:U,"полигон")-SUM(AL35:AO35)</f>
        <v>0</v>
      </c>
      <c r="AS35" s="24"/>
      <c r="AT35" s="24">
        <f>COUNTIFS(ШТАТ!AM:AM,"3 МСБ",ШТАТ!AL:AL,"Упр. 3 МСБ",ШТАТ!X:X,"САР")</f>
        <v>0</v>
      </c>
      <c r="AU35" s="24">
        <f>COUNTIFS(ШТАТ!AM:AM,"3 МСБ",ШТАТ!AL:AL,"Упр. 3 МСБ",ШТАТ!X:X,"Выполнение специальных задач")</f>
        <v>0</v>
      </c>
      <c r="AV35" s="24">
        <f>COUNTIFS(ШТАТ!AM:AM,"3 МСБ",ШТАТ!AL:AL,"Упр. 3 МСБ",ШТАТ!X:X,"Переподготовка")</f>
        <v>0</v>
      </c>
      <c r="AW35" s="24">
        <f>COUNTIFS(ШТАТ!AM:AM,"3 МСБ",ШТАТ!AL:AL,"Упр. 3 МСБ",ШТАТ!X:X,"Усиление объектов")</f>
        <v>0</v>
      </c>
      <c r="AX35" s="24">
        <v>0</v>
      </c>
      <c r="AY35" s="24"/>
      <c r="AZ35" s="24">
        <f>COUNTIFS(ШТАТ!AM:AM,"3 МСБ",ШТАТ!AL:AL,"Упр. 3 МСБ",ШТАТ!W:W,"г. Белгород")</f>
        <v>0</v>
      </c>
      <c r="BA35" s="24">
        <f>COUNTIFS(ШТАТ!AM:AM,"3 МСБ",ШТАТ!AL:AL,"Упр. 3 МСБ",ШТАТ!W:W,"в/ч 38838")</f>
        <v>0</v>
      </c>
      <c r="BB35" s="24">
        <f>COUNTIFS(ШТАТ!AM:AM,"3 МСБ",ШТАТ!AL:AL,"Упр. 3 МСБ",ШТАТ!W:W,"в/ч 90151")</f>
        <v>0</v>
      </c>
      <c r="BC35" s="24"/>
      <c r="BD35" s="26">
        <f>COUNTIFS(ШТАТ!$AL:$AL,$B35,ШТАТ!$U:$U,"ком-ка")-SUM(AS35:BC35)-AP35-AQ35</f>
        <v>0</v>
      </c>
      <c r="BE35" s="24">
        <f>COUNTIFS(ШТАТ!AM:AM,"3 МСБ",ШТАТ!AL:AL,"Упр. 3 МСБ",ШТАТ!U:U,"отпуск")</f>
        <v>0</v>
      </c>
      <c r="BF35" s="22"/>
      <c r="BG35" s="24">
        <f>COUNTIFS(ШТАТ!AM:AM,"3 МСБ",ШТАТ!AL:AL,B35,ШТАТ!U:U,"СОЧ")</f>
        <v>0</v>
      </c>
      <c r="BH35" s="28">
        <f t="shared" si="38"/>
        <v>0</v>
      </c>
      <c r="BI35" s="29" t="e">
        <f>#REF!-#REF!</f>
        <v>#REF!</v>
      </c>
      <c r="BJ35" s="19" t="e">
        <f t="shared" si="17"/>
        <v>#REF!</v>
      </c>
    </row>
    <row r="36" spans="1:62" ht="106.5" customHeight="1" thickBot="1" x14ac:dyDescent="0.3">
      <c r="A36" s="47">
        <v>3</v>
      </c>
      <c r="B36" s="32" t="s">
        <v>494</v>
      </c>
      <c r="C36" s="18">
        <f>COUNTIFS(ШТАТ!AM:AM,"3 МСБ",ШТАТ!AL:AL,"7 МСР",ШТАТ!AK:AK,1)</f>
        <v>5</v>
      </c>
      <c r="D36" s="18">
        <f>COUNTIFS(ШТАТ!AM:AM,"3 МСБ",ШТАТ!AL:AL,"7 МСР",ШТАТ!AK:AK,2)</f>
        <v>3</v>
      </c>
      <c r="E36" s="18">
        <f>COUNTIFS(ШТАТ!AM:AM,"3 МСБ",ШТАТ!AL:AL,"7 МСР",ШТАТ!AK:AK,3)</f>
        <v>10</v>
      </c>
      <c r="F36" s="18">
        <f>COUNTIFS(ШТАТ!AM:AM,"3 МСБ",ШТАТ!AL:AL,"7 МСР",ШТАТ!AK:AK,4)</f>
        <v>76</v>
      </c>
      <c r="G36" s="19">
        <f t="shared" si="44"/>
        <v>94</v>
      </c>
      <c r="H36" s="18">
        <f>COUNTIFS(ШТАТ!AM:AM,"3 МСБ",ШТАТ!AL:AL,"7 МСР",ШТАТ!AJ:AJ,"о")</f>
        <v>5</v>
      </c>
      <c r="I36" s="18">
        <f>COUNTIFS(ШТАТ!AM:AM,"3 МСБ",ШТАТ!AL:AL,"7 МСР",ШТАТ!AJ:AJ,"п")</f>
        <v>2</v>
      </c>
      <c r="J36" s="19">
        <f t="shared" si="45"/>
        <v>7</v>
      </c>
      <c r="K36" s="20">
        <f>COUNTIFS(ШТАТ!AM:AM,"3 МСБ",ШТАТ!AL:AL,"7 МСР",ШТАТ!AK:AK,3,ШТАТ!AJ:AJ,"к/с")</f>
        <v>7</v>
      </c>
      <c r="L36" s="95">
        <f>COUNTIFS(ШТАТ!AM:AM,"3 МСБ",ШТАТ!AL:AL,B36,ШТАТ!AK:AK,3,ШТАТ!AJ:AJ,"с/с")</f>
        <v>0</v>
      </c>
      <c r="M36" s="19">
        <f t="shared" si="46"/>
        <v>73</v>
      </c>
      <c r="N36" s="22">
        <f>COUNTIFS(ШТАТ!AM:AM,"3 МСБ",ШТАТ!AL:AL,"7 МСР",ШТАТ!AK:AK,4,ШТАТ!AJ:AJ,"к/с")</f>
        <v>26</v>
      </c>
      <c r="O36" s="22">
        <f>COUNTIFS(ШТАТ!AM:AM,"3 МСБ",ШТАТ!AL:AL,"7 МСР",ШТАТ!AK:AK,4,ШТАТ!AJ:AJ,"с/с")</f>
        <v>47</v>
      </c>
      <c r="P36" s="19">
        <f t="shared" si="47"/>
        <v>80</v>
      </c>
      <c r="Q36" s="22">
        <f t="shared" si="48"/>
        <v>33</v>
      </c>
      <c r="R36" s="21">
        <f t="shared" si="49"/>
        <v>47</v>
      </c>
      <c r="S36" s="19">
        <f t="shared" si="50"/>
        <v>87</v>
      </c>
      <c r="T36" s="23">
        <f t="shared" si="5"/>
        <v>0.92553191489361697</v>
      </c>
      <c r="U36" s="24">
        <f>COUNTIFS(ШТАТ!U:U,"",ШТАТ!AM:AM,"3 МСБ",ШТАТ!AL:AL,"7 МСР",ШТАТ!AJ:AJ,"о")</f>
        <v>2</v>
      </c>
      <c r="V36" s="24">
        <f>COUNTIFS(ШТАТ!U:U,"",ШТАТ!AM:AM,"3 МСБ",ШТАТ!AL:AL,"7 МСР",ШТАТ!AJ:AJ,"п")</f>
        <v>0</v>
      </c>
      <c r="W36" s="103">
        <f t="shared" si="51"/>
        <v>1</v>
      </c>
      <c r="X36" s="24">
        <f>COUNTIFS(ШТАТ!U:U,"",ШТАТ!AM:AM,"3 МСБ",ШТАТ!AL:AL,"7 МСР",ШТАТ!AK:AK,3,ШТАТ!AJ:AJ,"к/с")</f>
        <v>1</v>
      </c>
      <c r="Y36" s="102">
        <f>COUNTIFS(ШТАТ!U:U,"",ШТАТ!AM:AM,"3 МСБ",ШТАТ!AL:AL,B36,ШТАТ!AK:AK,3,ШТАТ!AJ:AJ,"с/с")</f>
        <v>0</v>
      </c>
      <c r="Z36" s="25">
        <f t="shared" si="52"/>
        <v>7</v>
      </c>
      <c r="AA36" s="26">
        <f>COUNTIFS(ШТАТ!U:U,"",ШТАТ!AM:AM,"3 МСБ",ШТАТ!AL:AL,"7 МСР",ШТАТ!AK:AK,4,ШТАТ!AJ:AJ,"к/с")</f>
        <v>7</v>
      </c>
      <c r="AB36" s="24">
        <f>COUNTIFS(ШТАТ!U:U,"",ШТАТ!AM:AM,"3 МСБ",ШТАТ!AL:AL,"7 МСР",ШТАТ!AK:AK,4,ШТАТ!AJ:AJ,"с/с")</f>
        <v>0</v>
      </c>
      <c r="AC36" s="25">
        <f t="shared" si="53"/>
        <v>8</v>
      </c>
      <c r="AD36" s="21">
        <f t="shared" si="54"/>
        <v>8</v>
      </c>
      <c r="AE36" s="21">
        <f t="shared" ref="AE36:AE41" si="56">SUM(Y36,AB36)</f>
        <v>0</v>
      </c>
      <c r="AF36" s="19">
        <f>SUM(U36,V36,AC36)</f>
        <v>10</v>
      </c>
      <c r="AG36" s="24"/>
      <c r="AH36" s="24">
        <f>COUNTIFS(ШТАТ!$AL:$AL,$B36,ШТАТ!$U:$U,"МП")</f>
        <v>0</v>
      </c>
      <c r="AI36" s="24">
        <f>COUNTIFS(ШТАТ!AM:AM,"3 МСБ",ШТАТ!AL:AL,"7 МСР",ШТАТ!U:U,"осв-ие")</f>
        <v>0</v>
      </c>
      <c r="AJ36" s="24">
        <f>COUNTIFS(ШТАТ!AM:AM,"3 МСБ",ШТАТ!AL:AL,"7 МСР",ШТАТ!U:U,"госп")</f>
        <v>1</v>
      </c>
      <c r="AK36" s="27">
        <f t="shared" si="55"/>
        <v>69</v>
      </c>
      <c r="AL36" s="24">
        <f>COUNTIFS(ШТАТ!AM:AM,"3 МСБ",ШТАТ!AL:AL,"7 МСР",ШТАТ!W:W,"Барсуковка")</f>
        <v>0</v>
      </c>
      <c r="AM36" s="24">
        <f>COUNTIFS(ШТАТ!$AL:$AL,$B36,ШТАТ!$W:$W,"Павенково")</f>
        <v>0</v>
      </c>
      <c r="AN36" s="18"/>
      <c r="AO36" s="24">
        <f>COUNTIFS(ШТАТ!AM:AM,"3 МСБ",ШТАТ!AL:AL,"7 МСР",ШТАТ!W:W,"полигон Чехово")</f>
        <v>0</v>
      </c>
      <c r="AP36" s="24">
        <f>COUNTIFS(ШТАТ!AM:AM,"3 МСБ",ШТАТ!AL:AL,"7 МСР",ШТАТ!X:X,"Такелажные работы")</f>
        <v>0</v>
      </c>
      <c r="AQ36" s="18">
        <f>COUNTIFS(ШТАТ!AM:AM,"3 МСБ",ШТАТ!AL:AL,"7 МСР",ШТАТ!X:X,"Усиление объектов")</f>
        <v>0</v>
      </c>
      <c r="AR36" s="18">
        <f>COUNTIFS(ШТАТ!AM:AM,"3 МСБ",ШТАТ!AL:AL,"7 МСР",ШТАТ!U:U,"полигон")-SUM(AL36:AO36)</f>
        <v>0</v>
      </c>
      <c r="AS36" s="24"/>
      <c r="AT36" s="24">
        <f>COUNTIFS(ШТАТ!AM:AM,"3 МСБ",ШТАТ!AL:AL,"7 МСР",ШТАТ!X:X,"САР")</f>
        <v>0</v>
      </c>
      <c r="AU36" s="24">
        <f>COUNTIFS(ШТАТ!AM:AM,"3 МСБ",ШТАТ!AL:AL,"7 МСР",ШТАТ!X:X,"Выполнение специальных задач")</f>
        <v>7</v>
      </c>
      <c r="AV36" s="24">
        <f>COUNTIFS(ШТАТ!AM:AM,"3 МСБ",ШТАТ!AL:AL,"7 МСР",ШТАТ!X:X,"Переподготовка")</f>
        <v>0</v>
      </c>
      <c r="AW36" s="24">
        <f>COUNTIFS(ШТАТ!AM:AM,"3 МСБ",ШТАТ!AL:AL,"7 МСР",ШТАТ!X:X,"Усиление объектов")</f>
        <v>0</v>
      </c>
      <c r="AX36" s="24">
        <v>0</v>
      </c>
      <c r="AY36" s="24"/>
      <c r="AZ36" s="24">
        <f>COUNTIFS(ШТАТ!AM:AM,"3 МСБ",ШТАТ!AL:AL,"7 МСР",ШТАТ!W:W,"г. Белгород")</f>
        <v>11</v>
      </c>
      <c r="BA36" s="24">
        <f>COUNTIFS(ШТАТ!AM:AM,"3 МСБ",ШТАТ!AL:AL,"7 МСР",ШТАТ!W:W,"в/ч 38838")</f>
        <v>0</v>
      </c>
      <c r="BB36" s="24">
        <f>COUNTIFS(ШТАТ!AM:AM,"3 МСБ",ШТАТ!AL:AL,"7 МСР",ШТАТ!W:W,"в/ч 90151")</f>
        <v>0</v>
      </c>
      <c r="BC36" s="24"/>
      <c r="BD36" s="26">
        <f>COUNTIFS(ШТАТ!$AL:$AL,$B36,ШТАТ!$U:$U,"ком-ка")-SUM(AS36:BC36)-AP36-AQ36</f>
        <v>51</v>
      </c>
      <c r="BE36" s="24">
        <f>COUNTIFS(ШТАТ!AM:AM,"3 МСБ",ШТАТ!AL:AL,"7 МСР",ШТАТ!U:U,"отпуск")</f>
        <v>1</v>
      </c>
      <c r="BF36" s="22"/>
      <c r="BG36" s="24">
        <f>COUNTIFS(ШТАТ!AM:AM,"3 МСБ",ШТАТ!AL:AL,B36,ШТАТ!U:U,"СОЧ")</f>
        <v>6</v>
      </c>
      <c r="BH36" s="28">
        <f t="shared" si="38"/>
        <v>77</v>
      </c>
      <c r="BI36" s="29" t="e">
        <f>#REF!-#REF!</f>
        <v>#REF!</v>
      </c>
      <c r="BJ36" s="19" t="e">
        <f t="shared" si="17"/>
        <v>#REF!</v>
      </c>
    </row>
    <row r="37" spans="1:62" ht="106.5" customHeight="1" thickBot="1" x14ac:dyDescent="0.3">
      <c r="A37" s="47">
        <v>4</v>
      </c>
      <c r="B37" s="32" t="s">
        <v>496</v>
      </c>
      <c r="C37" s="18">
        <f>COUNTIFS(ШТАТ!AM:AM,"3 МСБ",ШТАТ!AL:AL,"8 МСР",ШТАТ!AK:AK,1)</f>
        <v>5</v>
      </c>
      <c r="D37" s="18">
        <f>COUNTIFS(ШТАТ!AM:AM,"3 МСБ",ШТАТ!AL:AL,"8 МСР",ШТАТ!AK:AK,2)</f>
        <v>3</v>
      </c>
      <c r="E37" s="18">
        <f>COUNTIFS(ШТАТ!AM:AM,"3 МСБ",ШТАТ!AL:AL,"8 МСР",ШТАТ!AK:AK,3)</f>
        <v>10</v>
      </c>
      <c r="F37" s="18">
        <f>COUNTIFS(ШТАТ!AM:AM,"3 МСБ",ШТАТ!AL:AL,"8 МСР",ШТАТ!AK:AK,4)</f>
        <v>76</v>
      </c>
      <c r="G37" s="19">
        <f t="shared" si="44"/>
        <v>94</v>
      </c>
      <c r="H37" s="18">
        <f>COUNTIFS(ШТАТ!AM:AM,"3 МСБ",ШТАТ!AL:AL,"8 МСР",ШТАТ!AJ:AJ,"о")</f>
        <v>4</v>
      </c>
      <c r="I37" s="18">
        <f>COUNTIFS(ШТАТ!AM:AM,"3 МСБ",ШТАТ!AL:AL,"8 МСР",ШТАТ!AJ:AJ,"п")</f>
        <v>2</v>
      </c>
      <c r="J37" s="19">
        <f t="shared" si="45"/>
        <v>8</v>
      </c>
      <c r="K37" s="20">
        <f>COUNTIFS(ШТАТ!AM:AM,"3 МСБ",ШТАТ!AL:AL,"8 МСР",ШТАТ!AK:AK,3,ШТАТ!AJ:AJ,"к/с")</f>
        <v>8</v>
      </c>
      <c r="L37" s="95">
        <f>COUNTIFS(ШТАТ!AM:AM,"3 МСБ",ШТАТ!AL:AL,B37,ШТАТ!AK:AK,3,ШТАТ!AJ:AJ,"с/с")</f>
        <v>0</v>
      </c>
      <c r="M37" s="19">
        <f t="shared" si="46"/>
        <v>76</v>
      </c>
      <c r="N37" s="22">
        <f>COUNTIFS(ШТАТ!AM:AM,"3 МСБ",ШТАТ!AL:AL,"8 МСР",ШТАТ!AK:AK,4,ШТАТ!AJ:AJ,"к/с")</f>
        <v>54</v>
      </c>
      <c r="O37" s="22">
        <f>COUNTIFS(ШТАТ!AM:AM,"3 МСБ",ШТАТ!AL:AL,"8 МСР",ШТАТ!AK:AK,4,ШТАТ!AJ:AJ,"с/с")</f>
        <v>22</v>
      </c>
      <c r="P37" s="19">
        <f t="shared" si="47"/>
        <v>84</v>
      </c>
      <c r="Q37" s="22">
        <f t="shared" si="48"/>
        <v>62</v>
      </c>
      <c r="R37" s="21">
        <f t="shared" si="49"/>
        <v>22</v>
      </c>
      <c r="S37" s="19">
        <f t="shared" si="50"/>
        <v>90</v>
      </c>
      <c r="T37" s="23">
        <f t="shared" si="5"/>
        <v>0.95744680851063835</v>
      </c>
      <c r="U37" s="24">
        <f>COUNTIFS(ШТАТ!U:U,"",ШТАТ!AM:AM,"3 МСБ",ШТАТ!AL:AL,"8 МСР",ШТАТ!AJ:AJ,"о")</f>
        <v>3</v>
      </c>
      <c r="V37" s="24">
        <f>COUNTIFS(ШТАТ!U:U,"",ШТАТ!AM:AM,"3 МСБ",ШТАТ!AL:AL,"8 МСР",ШТАТ!AJ:AJ,"п")</f>
        <v>1</v>
      </c>
      <c r="W37" s="103">
        <f t="shared" si="51"/>
        <v>3</v>
      </c>
      <c r="X37" s="24">
        <f>COUNTIFS(ШТАТ!U:U,"",ШТАТ!AM:AM,"3 МСБ",ШТАТ!AL:AL,"8 МСР",ШТАТ!AK:AK,3,ШТАТ!AJ:AJ,"к/с")</f>
        <v>3</v>
      </c>
      <c r="Y37" s="102">
        <f>COUNTIFS(ШТАТ!U:U,"",ШТАТ!AM:AM,"3 МСБ",ШТАТ!AL:AL,B37,ШТАТ!AK:AK,3,ШТАТ!AJ:AJ,"с/с")</f>
        <v>0</v>
      </c>
      <c r="Z37" s="25">
        <f t="shared" si="52"/>
        <v>28</v>
      </c>
      <c r="AA37" s="26">
        <f>COUNTIFS(ШТАТ!U:U,"",ШТАТ!AM:AM,"3 МСБ",ШТАТ!AL:AL,"8 МСР",ШТАТ!AK:AK,4,ШТАТ!AJ:AJ,"к/с")</f>
        <v>13</v>
      </c>
      <c r="AB37" s="24">
        <f>COUNTIFS(ШТАТ!U:U,"",ШТАТ!AM:AM,"3 МСБ",ШТАТ!AL:AL,"8 МСР",ШТАТ!AK:AK,4,ШТАТ!AJ:AJ,"с/с")</f>
        <v>15</v>
      </c>
      <c r="AC37" s="25">
        <f t="shared" si="53"/>
        <v>31</v>
      </c>
      <c r="AD37" s="21">
        <f t="shared" si="54"/>
        <v>16</v>
      </c>
      <c r="AE37" s="21">
        <f t="shared" si="56"/>
        <v>15</v>
      </c>
      <c r="AF37" s="19">
        <f t="shared" ref="AF37:AF43" si="57">SUM(U37,V37,AC37)</f>
        <v>35</v>
      </c>
      <c r="AG37" s="24"/>
      <c r="AH37" s="24">
        <f>COUNTIFS(ШТАТ!$AL:$AL,$B37,ШТАТ!$U:$U,"МП")</f>
        <v>0</v>
      </c>
      <c r="AI37" s="24">
        <f>COUNTIFS(ШТАТ!AM:AM,"3 МСБ",ШТАТ!AL:AL,"8 МСР",ШТАТ!U:U,"осв-ие")</f>
        <v>2</v>
      </c>
      <c r="AJ37" s="24">
        <f>COUNTIFS(ШТАТ!AM:AM,"3 МСБ",ШТАТ!AL:AL,"8 МСР",ШТАТ!U:U,"госп")</f>
        <v>1</v>
      </c>
      <c r="AK37" s="27">
        <f t="shared" si="55"/>
        <v>43</v>
      </c>
      <c r="AL37" s="24">
        <f>COUNTIFS(ШТАТ!AM:AM,"3 МСБ",ШТАТ!AL:AL,"8 МСР",ШТАТ!W:W,"Барсуковка")</f>
        <v>0</v>
      </c>
      <c r="AM37" s="24">
        <f>COUNTIFS(ШТАТ!$AL:$AL,$B37,ШТАТ!$W:$W,"Павенково")</f>
        <v>0</v>
      </c>
      <c r="AN37" s="18"/>
      <c r="AO37" s="24">
        <f>COUNTIFS(ШТАТ!AM:AM,"3 МСБ",ШТАТ!AL:AL,"8 МСР",ШТАТ!W:W,"полигон Чехово")</f>
        <v>0</v>
      </c>
      <c r="AP37" s="24">
        <f>COUNTIFS(ШТАТ!AM:AM,"3 МСБ",ШТАТ!AL:AL,"8 МСР",ШТАТ!X:X,"Такелажные работы")</f>
        <v>0</v>
      </c>
      <c r="AQ37" s="18">
        <f>COUNTIFS(ШТАТ!AM:AM,"3 МСБ",ШТАТ!AL:AL,"8 МСР",ШТАТ!X:X,"Усиление объектов")</f>
        <v>5</v>
      </c>
      <c r="AR37" s="18">
        <f>COUNTIFS(ШТАТ!AM:AM,"3 МСБ",ШТАТ!AL:AL,"8 МСР",ШТАТ!U:U,"полигон")-SUM(AL37:AO37)</f>
        <v>1</v>
      </c>
      <c r="AS37" s="24"/>
      <c r="AT37" s="24">
        <f>COUNTIFS(ШТАТ!AM:AM,"3 МСБ",ШТАТ!AL:AL,"8 МСР",ШТАТ!X:X,"САР")</f>
        <v>0</v>
      </c>
      <c r="AU37" s="24">
        <f>COUNTIFS(ШТАТ!AM:AM,"3 МСБ",ШТАТ!AL:AL,"8 МСР",ШТАТ!X:X,"Выполнение специальных задач")</f>
        <v>14</v>
      </c>
      <c r="AV37" s="24">
        <f>COUNTIFS(ШТАТ!AM:AM,"3 МСБ",ШТАТ!AL:AL,"8 МСР",ШТАТ!X:X,"Переподготовка")</f>
        <v>0</v>
      </c>
      <c r="AW37" s="24">
        <f>COUNTIFS(ШТАТ!AM:AM,"3 МСБ",ШТАТ!AL:AL,"8 МСР",ШТАТ!X:X,"Усиление объектов")</f>
        <v>5</v>
      </c>
      <c r="AX37" s="24">
        <v>0</v>
      </c>
      <c r="AY37" s="24"/>
      <c r="AZ37" s="24">
        <f>COUNTIFS(ШТАТ!AM:AM,"3 МСБ",ШТАТ!AL:AL,"8 МСР",ШТАТ!W:W,"г. Белгород")</f>
        <v>13</v>
      </c>
      <c r="BA37" s="24">
        <f>COUNTIFS(ШТАТ!AM:AM,"3 МСБ",ШТАТ!AL:AL,"8 МСР",ШТАТ!W:W,"в/ч 38838")</f>
        <v>0</v>
      </c>
      <c r="BB37" s="24">
        <f>COUNTIFS(ШТАТ!AM:AM,"3 МСБ",ШТАТ!AL:AL,"8 МСР",ШТАТ!W:W,"в/ч 90151")</f>
        <v>0</v>
      </c>
      <c r="BC37" s="24"/>
      <c r="BD37" s="26">
        <f>COUNTIFS(ШТАТ!$AL:$AL,$B37,ШТАТ!$U:$U,"ком-ка")-SUM(AS37:BC37)-AP37-AQ37</f>
        <v>5</v>
      </c>
      <c r="BE37" s="24">
        <f>COUNTIFS(ШТАТ!AM:AM,"3 МСБ",ШТАТ!AL:AL,"8 МСР",ШТАТ!U:U,"отпуск")</f>
        <v>0</v>
      </c>
      <c r="BF37" s="22"/>
      <c r="BG37" s="24">
        <f>COUNTIFS(ШТАТ!AM:AM,"3 МСБ",ШТАТ!AL:AL,B37,ШТАТ!U:U,"СОЧ")</f>
        <v>9</v>
      </c>
      <c r="BH37" s="28">
        <f>SUM(AG37:AJ37)+SUM(BE37:BG37)+AK37</f>
        <v>55</v>
      </c>
      <c r="BI37" s="29" t="e">
        <f>#REF!-#REF!</f>
        <v>#REF!</v>
      </c>
      <c r="BJ37" s="19" t="e">
        <f t="shared" si="17"/>
        <v>#REF!</v>
      </c>
    </row>
    <row r="38" spans="1:62" ht="106.5" customHeight="1" thickBot="1" x14ac:dyDescent="0.3">
      <c r="A38" s="47">
        <v>5</v>
      </c>
      <c r="B38" s="32" t="s">
        <v>497</v>
      </c>
      <c r="C38" s="18">
        <f>COUNTIFS(ШТАТ!AM:AM,"3 МСБ",ШТАТ!AL:AL,"9 МСР",ШТАТ!AK:AK,1)</f>
        <v>5</v>
      </c>
      <c r="D38" s="18">
        <f>COUNTIFS(ШТАТ!AM:AM,"3 МСБ",ШТАТ!AL:AL,"9 МСР",ШТАТ!AK:AK,2)</f>
        <v>3</v>
      </c>
      <c r="E38" s="18">
        <f>COUNTIFS(ШТАТ!AM:AM,"3 МСБ",ШТАТ!AL:AL,"9 МСР",ШТАТ!AK:AK,3)</f>
        <v>10</v>
      </c>
      <c r="F38" s="18">
        <f>COUNTIFS(ШТАТ!AM:AM,"3 МСБ",ШТАТ!AL:AL,"9 МСР",ШТАТ!AK:AK,4)</f>
        <v>76</v>
      </c>
      <c r="G38" s="19">
        <f t="shared" si="44"/>
        <v>94</v>
      </c>
      <c r="H38" s="18">
        <f>COUNTIFS(ШТАТ!AM:AM,"3 МСБ",ШТАТ!AL:AL,"9 МСР",ШТАТ!AJ:AJ,"о")</f>
        <v>5</v>
      </c>
      <c r="I38" s="18">
        <f>COUNTIFS(ШТАТ!AM:AM,"3 МСБ",ШТАТ!AL:AL,"9 МСР",ШТАТ!AJ:AJ,"п")</f>
        <v>2</v>
      </c>
      <c r="J38" s="19">
        <f t="shared" si="45"/>
        <v>9</v>
      </c>
      <c r="K38" s="20">
        <f>COUNTIFS(ШТАТ!AM:AM,"3 МСБ",ШТАТ!AL:AL,"9 МСР",ШТАТ!AK:AK,3,ШТАТ!AJ:AJ,"к/с")</f>
        <v>9</v>
      </c>
      <c r="L38" s="95">
        <f>COUNTIFS(ШТАТ!AM:AM,"3 МСБ",ШТАТ!AL:AL,B38,ШТАТ!AK:AK,3,ШТАТ!AJ:AJ,"с/с")</f>
        <v>0</v>
      </c>
      <c r="M38" s="19">
        <f t="shared" si="46"/>
        <v>76</v>
      </c>
      <c r="N38" s="22">
        <f>COUNTIFS(ШТАТ!AM:AM,"3 МСБ",ШТАТ!AL:AL,"9 МСР",ШТАТ!AK:AK,4,ШТАТ!AJ:AJ,"к/с")</f>
        <v>51</v>
      </c>
      <c r="O38" s="22">
        <f>COUNTIFS(ШТАТ!AM:AM,"3 МСБ",ШТАТ!AL:AL,"9 МСР",ШТАТ!AK:AK,4,ШТАТ!AJ:AJ,"с/с")</f>
        <v>25</v>
      </c>
      <c r="P38" s="19">
        <f t="shared" si="47"/>
        <v>85</v>
      </c>
      <c r="Q38" s="22">
        <f t="shared" si="48"/>
        <v>60</v>
      </c>
      <c r="R38" s="21">
        <f t="shared" si="49"/>
        <v>25</v>
      </c>
      <c r="S38" s="19">
        <f t="shared" si="50"/>
        <v>92</v>
      </c>
      <c r="T38" s="23">
        <f t="shared" si="5"/>
        <v>0.97872340425531912</v>
      </c>
      <c r="U38" s="24">
        <f>COUNTIFS(ШТАТ!U:U,"",ШТАТ!AM:AM,"3 МСБ",ШТАТ!AL:AL,"9 МСР",ШТАТ!AJ:AJ,"о")</f>
        <v>1</v>
      </c>
      <c r="V38" s="24">
        <f>COUNTIFS(ШТАТ!U:U,"",ШТАТ!AM:AM,"3 МСБ",ШТАТ!AL:AL,"9 МСР",ШТАТ!AJ:AJ,"п")</f>
        <v>0</v>
      </c>
      <c r="W38" s="103">
        <f t="shared" si="51"/>
        <v>2</v>
      </c>
      <c r="X38" s="24">
        <f>COUNTIFS(ШТАТ!U:U,"",ШТАТ!AM:AM,"3 МСБ",ШТАТ!AL:AL,"9 МСР",ШТАТ!AK:AK,3,ШТАТ!AJ:AJ,"к/с")</f>
        <v>2</v>
      </c>
      <c r="Y38" s="102">
        <f>COUNTIFS(ШТАТ!U:U,"",ШТАТ!AM:AM,"3 МСБ",ШТАТ!AL:AL,B38,ШТАТ!AK:AK,3,ШТАТ!AJ:AJ,"с/с")</f>
        <v>0</v>
      </c>
      <c r="Z38" s="25">
        <f t="shared" si="52"/>
        <v>29</v>
      </c>
      <c r="AA38" s="26">
        <f>COUNTIFS(ШТАТ!U:U,"",ШТАТ!AM:AM,"3 МСБ",ШТАТ!AL:AL,"9 МСР",ШТАТ!AK:AK,4,ШТАТ!AJ:AJ,"к/с")</f>
        <v>10</v>
      </c>
      <c r="AB38" s="24">
        <f>COUNTIFS(ШТАТ!U:U,"",ШТАТ!AM:AM,"3 МСБ",ШТАТ!AL:AL,"9 МСР",ШТАТ!AK:AK,4,ШТАТ!AJ:AJ,"с/с")</f>
        <v>19</v>
      </c>
      <c r="AC38" s="25">
        <f t="shared" si="53"/>
        <v>31</v>
      </c>
      <c r="AD38" s="21">
        <f t="shared" si="54"/>
        <v>12</v>
      </c>
      <c r="AE38" s="21">
        <f t="shared" si="56"/>
        <v>19</v>
      </c>
      <c r="AF38" s="19">
        <f t="shared" si="57"/>
        <v>32</v>
      </c>
      <c r="AG38" s="24"/>
      <c r="AH38" s="24">
        <f>COUNTIFS(ШТАТ!$AL:$AL,$B38,ШТАТ!$U:$U,"МП")</f>
        <v>0</v>
      </c>
      <c r="AI38" s="24">
        <f>COUNTIFS(ШТАТ!AM:AM,"3 МСБ",ШТАТ!AL:AL,"9 МСР",ШТАТ!U:U,"осв-ие")</f>
        <v>1</v>
      </c>
      <c r="AJ38" s="24">
        <f>COUNTIFS(ШТАТ!AM:AM,"3 МСБ",ШТАТ!AL:AL,"9 МСР",ШТАТ!U:U,"госп")</f>
        <v>7</v>
      </c>
      <c r="AK38" s="27">
        <f t="shared" si="55"/>
        <v>39</v>
      </c>
      <c r="AL38" s="24">
        <f>COUNTIFS(ШТАТ!AM:AM,"3 МСБ",ШТАТ!AL:AL,"9 МСР",ШТАТ!W:W,"Барсуковка")</f>
        <v>0</v>
      </c>
      <c r="AM38" s="24">
        <f>COUNTIFS(ШТАТ!$AL:$AL,$B38,ШТАТ!$W:$W,"Павенково")</f>
        <v>0</v>
      </c>
      <c r="AN38" s="18"/>
      <c r="AO38" s="24">
        <f>COUNTIFS(ШТАТ!AM:AM,"3 МСБ",ШТАТ!AL:AL,"9 МСР",ШТАТ!W:W,"полигон Чехово")</f>
        <v>0</v>
      </c>
      <c r="AP38" s="24">
        <f>COUNTIFS(ШТАТ!AM:AM,"3 МСБ",ШТАТ!AL:AL,"9 МСР",ШТАТ!X:X,"Такелажные работы")</f>
        <v>0</v>
      </c>
      <c r="AQ38" s="18">
        <f>COUNTIFS(ШТАТ!AM:AM,"3 МСБ",ШТАТ!AL:AL,"9 МСР",ШТАТ!X:X,"Усиление объектов")</f>
        <v>7</v>
      </c>
      <c r="AR38" s="18">
        <f>COUNTIFS(ШТАТ!AM:AM,"3 МСБ",ШТАТ!AL:AL,"9 МСР",ШТАТ!U:U,"полигон")-SUM(AL38:AO38)</f>
        <v>0</v>
      </c>
      <c r="AS38" s="24"/>
      <c r="AT38" s="24">
        <f>COUNTIFS(ШТАТ!AM:AM,"3 МСБ",ШТАТ!AL:AL,"9 МСР",ШТАТ!X:X,"САР")</f>
        <v>1</v>
      </c>
      <c r="AU38" s="24">
        <f>COUNTIFS(ШТАТ!AM:AM,"3 МСБ",ШТАТ!AL:AL,"9 МСР",ШТАТ!X:X,"Выполнение специальных задач")</f>
        <v>7</v>
      </c>
      <c r="AV38" s="24">
        <f>COUNTIFS(ШТАТ!AM:AM,"3 МСБ",ШТАТ!AL:AL,"9 МСР",ШТАТ!X:X,"Переподготовка")</f>
        <v>0</v>
      </c>
      <c r="AW38" s="24">
        <f>COUNTIFS(ШТАТ!AM:AM,"3 МСБ",ШТАТ!AL:AL,"9 МСР",ШТАТ!X:X,"Усиление объектов")</f>
        <v>7</v>
      </c>
      <c r="AX38" s="24">
        <v>0</v>
      </c>
      <c r="AY38" s="24"/>
      <c r="AZ38" s="24">
        <f>COUNTIFS(ШТАТ!AM:AM,"3 МСБ",ШТАТ!AL:AL,"9 МСР",ШТАТ!W:W,"г. Белгород")</f>
        <v>19</v>
      </c>
      <c r="BA38" s="24">
        <f>COUNTIFS(ШТАТ!AM:AM,"3 МСБ",ШТАТ!AL:AL,"9 МСР",ШТАТ!W:W,"в/ч 38838")</f>
        <v>0</v>
      </c>
      <c r="BB38" s="24">
        <f>COUNTIFS(ШТАТ!AM:AM,"3 МСБ",ШТАТ!AL:AL,"9 МСР",ШТАТ!W:W,"в/ч 90151")</f>
        <v>0</v>
      </c>
      <c r="BC38" s="24"/>
      <c r="BD38" s="26">
        <f>COUNTIFS(ШТАТ!$AL:$AL,$B38,ШТАТ!$U:$U,"ком-ка")-SUM(AS38:BC38)-AP38-AQ38</f>
        <v>-2</v>
      </c>
      <c r="BE38" s="24">
        <f>COUNTIFS(ШТАТ!AM:AM,"3 МСБ",ШТАТ!AL:AL,"9 МСР",ШТАТ!U:U,"отпуск")</f>
        <v>1</v>
      </c>
      <c r="BF38" s="22"/>
      <c r="BG38" s="24">
        <f>COUNTIFS(ШТАТ!AM:AM,"3 МСБ",ШТАТ!AL:AL,B38,ШТАТ!U:U,"СОЧ")</f>
        <v>12</v>
      </c>
      <c r="BH38" s="28">
        <f t="shared" si="38"/>
        <v>60</v>
      </c>
      <c r="BI38" s="29" t="e">
        <f>#REF!-#REF!</f>
        <v>#REF!</v>
      </c>
      <c r="BJ38" s="19" t="e">
        <f t="shared" si="17"/>
        <v>#REF!</v>
      </c>
    </row>
    <row r="39" spans="1:62" ht="71.25" customHeight="1" thickBot="1" x14ac:dyDescent="0.3">
      <c r="A39" s="47">
        <v>6</v>
      </c>
      <c r="B39" s="32" t="s">
        <v>499</v>
      </c>
      <c r="C39" s="18">
        <f>COUNTIFS(ШТАТ!AM:AM,"3 МСБ",ШТАТ!AL:AL,"3 МБ",ШТАТ!AK:AK,1)</f>
        <v>4</v>
      </c>
      <c r="D39" s="18">
        <f>COUNTIFS(ШТАТ!AM:AM,"3 МСБ",ШТАТ!AL:AL,"3 МБ",ШТАТ!AK:AK,2)</f>
        <v>1</v>
      </c>
      <c r="E39" s="18">
        <f>COUNTIFS(ШТАТ!AM:AM,"3 МСБ",ШТАТ!AL:AL,"3 МБ",ШТАТ!AK:AK,3)</f>
        <v>8</v>
      </c>
      <c r="F39" s="18">
        <f>COUNTIFS(ШТАТ!AM:AM,"3 МСБ",ШТАТ!AL:AL,"3 МБ",ШТАТ!AK:AK,4)</f>
        <v>32</v>
      </c>
      <c r="G39" s="19">
        <f t="shared" si="44"/>
        <v>45</v>
      </c>
      <c r="H39" s="18">
        <f>COUNTIFS(ШТАТ!AM:AM,"3 МСБ",ШТАТ!AL:AL,"3 МБ",ШТАТ!AJ:AJ,"о")</f>
        <v>4</v>
      </c>
      <c r="I39" s="18">
        <f>COUNTIFS(ШТАТ!AM:AM,"3 МСБ",ШТАТ!AL:AL,"3 МБ",ШТАТ!AJ:AJ,"п")</f>
        <v>1</v>
      </c>
      <c r="J39" s="19">
        <f t="shared" si="45"/>
        <v>6</v>
      </c>
      <c r="K39" s="20">
        <f>COUNTIFS(ШТАТ!AM:AM,"3 МСБ",ШТАТ!AL:AL,"3 МБ",ШТАТ!AK:AK,3,ШТАТ!AJ:AJ,"к/с")</f>
        <v>6</v>
      </c>
      <c r="L39" s="95">
        <f>COUNTIFS(ШТАТ!AM:AM,"3 МСБ",ШТАТ!AL:AL,B39,ШТАТ!AK:AK,3,ШТАТ!AJ:AJ,"с/с")</f>
        <v>0</v>
      </c>
      <c r="M39" s="19">
        <f t="shared" si="46"/>
        <v>27</v>
      </c>
      <c r="N39" s="22">
        <f>COUNTIFS(ШТАТ!AM:AM,"3 МСБ",ШТАТ!AL:AL,"3 МБ",ШТАТ!AK:AK,4,ШТАТ!AJ:AJ,"к/с")</f>
        <v>13</v>
      </c>
      <c r="O39" s="22">
        <f>COUNTIFS(ШТАТ!AM:AM,"3 МСБ",ШТАТ!AL:AL,"3 МБ",ШТАТ!AK:AK,4,ШТАТ!AJ:AJ,"с/с")</f>
        <v>14</v>
      </c>
      <c r="P39" s="19">
        <f t="shared" si="47"/>
        <v>33</v>
      </c>
      <c r="Q39" s="22">
        <f t="shared" si="48"/>
        <v>19</v>
      </c>
      <c r="R39" s="21">
        <f t="shared" si="49"/>
        <v>14</v>
      </c>
      <c r="S39" s="19">
        <f t="shared" si="50"/>
        <v>38</v>
      </c>
      <c r="T39" s="23">
        <f t="shared" si="5"/>
        <v>0.84444444444444444</v>
      </c>
      <c r="U39" s="24">
        <f>COUNTIFS(ШТАТ!U:U,"",ШТАТ!AM:AM,"3 МСБ",ШТАТ!AL:AL,"3 МБ",ШТАТ!AJ:AJ,"о")</f>
        <v>1</v>
      </c>
      <c r="V39" s="24">
        <f>COUNTIFS(ШТАТ!U:U,"",ШТАТ!AM:AM,"3 МСБ",ШТАТ!AL:AL,"3 МБ",ШТАТ!AJ:AJ,"п")</f>
        <v>1</v>
      </c>
      <c r="W39" s="103">
        <f t="shared" si="51"/>
        <v>2</v>
      </c>
      <c r="X39" s="24">
        <f>COUNTIFS(ШТАТ!U:U,"",ШТАТ!AM:AM,"3 МСБ",ШТАТ!AL:AL,"3 МБ",ШТАТ!AK:AK,3,ШТАТ!AJ:AJ,"к/с")</f>
        <v>2</v>
      </c>
      <c r="Y39" s="102">
        <f>COUNTIFS(ШТАТ!U:U,"",ШТАТ!AM:AM,"3 МСБ",ШТАТ!AL:AL,B39,ШТАТ!AK:AK,3,ШТАТ!AJ:AJ,"с/с")</f>
        <v>0</v>
      </c>
      <c r="Z39" s="25">
        <f t="shared" si="52"/>
        <v>12</v>
      </c>
      <c r="AA39" s="26">
        <f>COUNTIFS(ШТАТ!U:U,"",ШТАТ!AM:AM,"3 МСБ",ШТАТ!AL:AL,"3 МБ",ШТАТ!AK:AK,4,ШТАТ!AJ:AJ,"к/с")</f>
        <v>1</v>
      </c>
      <c r="AB39" s="24">
        <f>COUNTIFS(ШТАТ!U:U,"",ШТАТ!AM:AM,"3 МСБ",ШТАТ!AL:AL,"3 МБ",ШТАТ!AK:AK,4,ШТАТ!AJ:AJ,"с/с")</f>
        <v>11</v>
      </c>
      <c r="AC39" s="25">
        <f t="shared" si="53"/>
        <v>14</v>
      </c>
      <c r="AD39" s="21">
        <f t="shared" si="54"/>
        <v>3</v>
      </c>
      <c r="AE39" s="21">
        <f t="shared" si="56"/>
        <v>11</v>
      </c>
      <c r="AF39" s="19">
        <f t="shared" si="57"/>
        <v>16</v>
      </c>
      <c r="AG39" s="24"/>
      <c r="AH39" s="24">
        <f>COUNTIFS(ШТАТ!$AL:$AL,$B39,ШТАТ!$U:$U,"МП")</f>
        <v>0</v>
      </c>
      <c r="AI39" s="24">
        <f>COUNTIFS(ШТАТ!AM:AM,"3 МСБ",ШТАТ!AL:AL,"3 МБ",ШТАТ!U:U,"осв-ие")</f>
        <v>0</v>
      </c>
      <c r="AJ39" s="24">
        <f>COUNTIFS(ШТАТ!AM:AM,"3 МСБ",ШТАТ!AL:AL,"3 МБ",ШТАТ!U:U,"госп")</f>
        <v>0</v>
      </c>
      <c r="AK39" s="27">
        <f t="shared" si="55"/>
        <v>18</v>
      </c>
      <c r="AL39" s="24">
        <f>COUNTIFS(ШТАТ!AM:AM,"3 МСБ",ШТАТ!AL:AL,"3 МБ",ШТАТ!W:W,"Барсуковка")</f>
        <v>0</v>
      </c>
      <c r="AM39" s="24">
        <f>COUNTIFS(ШТАТ!$AL:$AL,$B39,ШТАТ!$W:$W,"Павенково")</f>
        <v>0</v>
      </c>
      <c r="AN39" s="18"/>
      <c r="AO39" s="24">
        <f>COUNTIFS(ШТАТ!AM:AM,"3 МСБ",ШТАТ!AL:AL,"3 МБ",ШТАТ!W:W,"полигон Чехово")</f>
        <v>0</v>
      </c>
      <c r="AP39" s="24">
        <f>COUNTIFS(ШТАТ!AM:AM,"3 МСБ",ШТАТ!AL:AL,"3 МБ",ШТАТ!X:X,"Такелажные работы")</f>
        <v>0</v>
      </c>
      <c r="AQ39" s="18">
        <f>COUNTIFS(ШТАТ!AM:AM,"3 МСБ",ШТАТ!AL:AL,"3 МБ",ШТАТ!X:X,"Усиление объектов")</f>
        <v>2</v>
      </c>
      <c r="AR39" s="18">
        <f>COUNTIFS(ШТАТ!AM:AM,"3 МСБ",ШТАТ!AL:AL,"3 МБ",ШТАТ!U:U,"полигон")-SUM(AL39:AO39)</f>
        <v>0</v>
      </c>
      <c r="AS39" s="24"/>
      <c r="AT39" s="24">
        <f>COUNTIFS(ШТАТ!AM:AM,"3 МСБ",ШТАТ!AL:AL,"3 МБ",ШТАТ!X:X,"САР")</f>
        <v>0</v>
      </c>
      <c r="AU39" s="24">
        <f>COUNTIFS(ШТАТ!AM:AM,"3 МСБ",ШТАТ!AL:AL,"3 МБ",ШТАТ!X:X,"Выполнение специальных задач")</f>
        <v>4</v>
      </c>
      <c r="AV39" s="24">
        <f>COUNTIFS(ШТАТ!AM:AM,"3 МСБ",ШТАТ!AL:AL,"3 МБ",ШТАТ!X:X,"Переподготовка")</f>
        <v>0</v>
      </c>
      <c r="AW39" s="24">
        <f>COUNTIFS(ШТАТ!AM:AM,"3 МСБ",ШТАТ!AL:AL,"3 МБ",ШТАТ!X:X,"Усиление объектов")</f>
        <v>2</v>
      </c>
      <c r="AX39" s="24">
        <v>0</v>
      </c>
      <c r="AY39" s="24"/>
      <c r="AZ39" s="24">
        <f>COUNTIFS(ШТАТ!AM:AM,"3 МСБ",ШТАТ!AL:AL,"3 МБ",ШТАТ!W:W,"г. Белгород")</f>
        <v>8</v>
      </c>
      <c r="BA39" s="24">
        <f>COUNTIFS(ШТАТ!AM:AM,"3 МСБ",ШТАТ!AL:AL,"3 МБ",ШТАТ!W:W,"в/ч 38838")</f>
        <v>0</v>
      </c>
      <c r="BB39" s="24">
        <f>COUNTIFS(ШТАТ!AM:AM,"3 МСБ",ШТАТ!AL:AL,"3 МБ",ШТАТ!W:W,"в/ч 90151")</f>
        <v>0</v>
      </c>
      <c r="BC39" s="24"/>
      <c r="BD39" s="26">
        <f>COUNTIFS(ШТАТ!$AL:$AL,$B39,ШТАТ!$U:$U,"ком-ка")-SUM(AS39:BC39)-AP39-AQ39</f>
        <v>2</v>
      </c>
      <c r="BE39" s="24">
        <f>COUNTIFS(ШТАТ!AM:AM,"3 МСБ",ШТАТ!AL:AL,"3 МБ",ШТАТ!U:U,"отпуск")</f>
        <v>1</v>
      </c>
      <c r="BF39" s="22"/>
      <c r="BG39" s="24">
        <f>COUNTIFS(ШТАТ!AM:AM,"3 МСБ",ШТАТ!AL:AL,B39,ШТАТ!U:U,"СОЧ")</f>
        <v>3</v>
      </c>
      <c r="BH39" s="28">
        <f t="shared" si="38"/>
        <v>22</v>
      </c>
      <c r="BI39" s="29" t="e">
        <f>#REF!-#REF!</f>
        <v>#REF!</v>
      </c>
      <c r="BJ39" s="19" t="e">
        <f t="shared" si="17"/>
        <v>#REF!</v>
      </c>
    </row>
    <row r="40" spans="1:62" ht="71.25" customHeight="1" thickBot="1" x14ac:dyDescent="0.3">
      <c r="A40" s="47">
        <v>7</v>
      </c>
      <c r="B40" s="32" t="s">
        <v>500</v>
      </c>
      <c r="C40" s="18">
        <f>COUNTIFS(ШТАТ!AM:AM,"3 МСБ",ШТАТ!AL:AL,"3 ГРВ",ШТАТ!AK:AK,1)</f>
        <v>1</v>
      </c>
      <c r="D40" s="18">
        <f>COUNTIFS(ШТАТ!AM:AM,"3 МСБ",ШТАТ!AL:AL,"3 ГРВ",ШТАТ!AK:AK,2)</f>
        <v>0</v>
      </c>
      <c r="E40" s="18">
        <f>COUNTIFS(ШТАТ!AM:AM,"3 МСБ",ШТАТ!AL:AL,"3 ГРВ",ШТАТ!AK:AK,3)</f>
        <v>3</v>
      </c>
      <c r="F40" s="18">
        <f>COUNTIFS(ШТАТ!AM:AM,"3 МСБ",ШТАТ!AL:AL,"3 ГРВ",ШТАТ!AK:AK,4)</f>
        <v>18</v>
      </c>
      <c r="G40" s="19">
        <f t="shared" si="44"/>
        <v>22</v>
      </c>
      <c r="H40" s="34">
        <f>COUNTIFS(ШТАТ!AM:AM,"3 МСБ",ШТАТ!AL:AL,"3 ГРВ",ШТАТ!AJ:AJ,"о")</f>
        <v>1</v>
      </c>
      <c r="I40" s="34">
        <f>COUNTIFS(ШТАТ!AM:AM,"3 МСБ",ШТАТ!AL:AL,"3 ГРВ",ШТАТ!AJ:AJ,"п")</f>
        <v>0</v>
      </c>
      <c r="J40" s="40">
        <f t="shared" si="45"/>
        <v>2</v>
      </c>
      <c r="K40" s="88">
        <f>COUNTIFS(ШТАТ!AM:AM,"3 МСБ",ШТАТ!AL:AL,"3 ГРВ",ШТАТ!AK:AK,3,ШТАТ!AJ:AJ,"к/с")</f>
        <v>2</v>
      </c>
      <c r="L40" s="95">
        <f>COUNTIFS(ШТАТ!AM:AM,"3 МСБ",ШТАТ!AL:AL,B40,ШТАТ!AK:AK,3,ШТАТ!AJ:AJ,"с/с")</f>
        <v>0</v>
      </c>
      <c r="M40" s="40">
        <f t="shared" si="46"/>
        <v>10</v>
      </c>
      <c r="N40" s="36">
        <f>COUNTIFS(ШТАТ!AM:AM,"3 МСБ",ШТАТ!AL:AL,"3 ГРВ",ШТАТ!AK:AK,4,ШТАТ!AJ:AJ,"к/с")</f>
        <v>6</v>
      </c>
      <c r="O40" s="36">
        <f>COUNTIFS(ШТАТ!AM:AM,"3 МСБ",ШТАТ!AL:AL,"3 ГРВ",ШТАТ!AK:AK,4,ШТАТ!AJ:AJ,"с/с")</f>
        <v>4</v>
      </c>
      <c r="P40" s="40">
        <f t="shared" si="47"/>
        <v>12</v>
      </c>
      <c r="Q40" s="36">
        <f t="shared" si="48"/>
        <v>8</v>
      </c>
      <c r="R40" s="35">
        <f t="shared" si="49"/>
        <v>4</v>
      </c>
      <c r="S40" s="40">
        <f t="shared" si="50"/>
        <v>13</v>
      </c>
      <c r="T40" s="37">
        <f t="shared" si="5"/>
        <v>0.59090909090909094</v>
      </c>
      <c r="U40" s="38">
        <f>COUNTIFS(ШТАТ!U:U,"",ШТАТ!AM:AM,"3 МСБ",ШТАТ!AL:AL,"3 ГРВ",ШТАТ!AJ:AJ,"о")</f>
        <v>0</v>
      </c>
      <c r="V40" s="38">
        <f>COUNTIFS(ШТАТ!U:U,"",ШТАТ!AM:AM,"3 МСБ",ШТАТ!AL:AL,"3 ГРВ",ШТАТ!AJ:AJ,"п")</f>
        <v>0</v>
      </c>
      <c r="W40" s="667">
        <f t="shared" si="51"/>
        <v>0</v>
      </c>
      <c r="X40" s="38">
        <f>COUNTIFS(ШТАТ!U:U,"",ШТАТ!AM:AM,"3 МСБ",ШТАТ!AL:AL,"3 ГРВ",ШТАТ!AK:AK,3,ШТАТ!AJ:AJ,"к/с")</f>
        <v>0</v>
      </c>
      <c r="Y40" s="102">
        <f>COUNTIFS(ШТАТ!U:U,"",ШТАТ!AM:AM,"3 МСБ",ШТАТ!AL:AL,B40,ШТАТ!AK:AK,3,ШТАТ!AJ:AJ,"с/с")</f>
        <v>0</v>
      </c>
      <c r="Z40" s="89">
        <f t="shared" si="52"/>
        <v>2</v>
      </c>
      <c r="AA40" s="39">
        <f>COUNTIFS(ШТАТ!U:U,"",ШТАТ!AM:AM,"3 МСБ",ШТАТ!AL:AL,"3 ГРВ",ШТАТ!AK:AK,4,ШТАТ!AJ:AJ,"к/с")</f>
        <v>2</v>
      </c>
      <c r="AB40" s="38">
        <f>COUNTIFS(ШТАТ!U:U,"",ШТАТ!AM:AM,"3 МСБ",ШТАТ!AL:AL,"3 ГРВ",ШТАТ!AK:AK,4,ШТАТ!AJ:AJ,"с/с")</f>
        <v>0</v>
      </c>
      <c r="AC40" s="89">
        <f t="shared" si="53"/>
        <v>2</v>
      </c>
      <c r="AD40" s="35">
        <f t="shared" si="54"/>
        <v>2</v>
      </c>
      <c r="AE40" s="35">
        <f t="shared" si="56"/>
        <v>0</v>
      </c>
      <c r="AF40" s="40">
        <f t="shared" si="57"/>
        <v>2</v>
      </c>
      <c r="AG40" s="38"/>
      <c r="AH40" s="24">
        <f>COUNTIFS(ШТАТ!$AL:$AL,$B40,ШТАТ!$U:$U,"МП")</f>
        <v>0</v>
      </c>
      <c r="AI40" s="38">
        <f>COUNTIFS(ШТАТ!AM:AM,"3 МСБ",ШТАТ!AL:AL,"3 ГРВ",ШТАТ!U:U,"осв-ие")</f>
        <v>0</v>
      </c>
      <c r="AJ40" s="38">
        <f>COUNTIFS(ШТАТ!AM:AM,"3 МСБ",ШТАТ!AL:AL,"3 ГРВ",ШТАТ!U:U,"госп")</f>
        <v>0</v>
      </c>
      <c r="AK40" s="27">
        <f t="shared" si="55"/>
        <v>10</v>
      </c>
      <c r="AL40" s="38">
        <f>COUNTIFS(ШТАТ!AM:AM,"3 МСБ",ШТАТ!AL:AL,"3 ГРВ",ШТАТ!W:W,"Барсуковка")</f>
        <v>0</v>
      </c>
      <c r="AM40" s="24">
        <f>COUNTIFS(ШТАТ!$AL:$AL,$B40,ШТАТ!$W:$W,"Павенково")</f>
        <v>0</v>
      </c>
      <c r="AN40" s="34"/>
      <c r="AO40" s="38">
        <f>COUNTIFS(ШТАТ!AM:AM,"3 МСБ",ШТАТ!AL:AL,"3 ГРВ",ШТАТ!W:W,"полигон Чехово")</f>
        <v>0</v>
      </c>
      <c r="AP40" s="38">
        <f>COUNTIFS(ШТАТ!AM:AM,"3 МСБ",ШТАТ!AL:AL,"3 ГРВ",ШТАТ!X:X,"Такелажные работы")</f>
        <v>0</v>
      </c>
      <c r="AQ40" s="34">
        <f>COUNTIFS(ШТАТ!AM:AM,"3 МСБ",ШТАТ!AL:AL,"3 ГРВ",ШТАТ!X:X,"Усиление объектов")</f>
        <v>1</v>
      </c>
      <c r="AR40" s="34">
        <f>COUNTIFS(ШТАТ!AM:AM,"3 МСБ",ШТАТ!AL:AL,"3 ГРВ",ШТАТ!U:U,"полигон")-SUM(AL40:AO40)</f>
        <v>0</v>
      </c>
      <c r="AS40" s="38"/>
      <c r="AT40" s="38">
        <f>COUNTIFS(ШТАТ!AM:AM,"3 МСБ",ШТАТ!AL:AL,"3 ГРВ",ШТАТ!X:X,"САР")</f>
        <v>0</v>
      </c>
      <c r="AU40" s="38">
        <f>COUNTIFS(ШТАТ!AM:AM,"3 МСБ",ШТАТ!AL:AL,"3 ГРВ",ШТАТ!X:X,"Выполнение специальных задач")</f>
        <v>2</v>
      </c>
      <c r="AV40" s="38">
        <f>COUNTIFS(ШТАТ!AM:AM,"3 МСБ",ШТАТ!AL:AL,"3 ГРВ",ШТАТ!X:X,"Переподготовка")</f>
        <v>0</v>
      </c>
      <c r="AW40" s="38">
        <f>COUNTIFS(ШТАТ!AM:AM,"3 МСБ",ШТАТ!AL:AL,"3 ГРВ",ШТАТ!X:X,"Усиление объектов")</f>
        <v>1</v>
      </c>
      <c r="AX40" s="38">
        <v>0</v>
      </c>
      <c r="AY40" s="38"/>
      <c r="AZ40" s="38">
        <f>COUNTIFS(ШТАТ!AM:AM,"3 МСБ",ШТАТ!AL:AL,"3 ГРВ",ШТАТ!W:W,"г. Белгород")</f>
        <v>2</v>
      </c>
      <c r="BA40" s="38">
        <f>COUNTIFS(ШТАТ!AM:AM,"3 МСБ",ШТАТ!AL:AL,"3 ГРВ",ШТАТ!W:W,"в/ч 38838")</f>
        <v>0</v>
      </c>
      <c r="BB40" s="38">
        <f>COUNTIFS(ШТАТ!AM:AM,"3 МСБ",ШТАТ!AL:AL,"3 ГРВ",ШТАТ!W:W,"в/ч 90151")</f>
        <v>3</v>
      </c>
      <c r="BC40" s="38"/>
      <c r="BD40" s="26">
        <f>COUNTIFS(ШТАТ!$AL:$AL,$B40,ШТАТ!$U:$U,"ком-ка")-SUM(AS40:BC40)-AP40-AQ40</f>
        <v>1</v>
      </c>
      <c r="BE40" s="38">
        <f>COUNTIFS(ШТАТ!AM:AM,"3 МСБ",ШТАТ!AL:AL,"3 ГРВ",ШТАТ!U:U,"отпуск")</f>
        <v>0</v>
      </c>
      <c r="BF40" s="36"/>
      <c r="BG40" s="24">
        <f>COUNTIFS(ШТАТ!AM:AM,"3 МСБ",ШТАТ!AL:AL,B40,ШТАТ!U:U,"СОЧ")</f>
        <v>1</v>
      </c>
      <c r="BH40" s="28">
        <f>SUM(AG40:AJ40)+SUM(BE40:BG40)+AK40</f>
        <v>11</v>
      </c>
      <c r="BI40" s="29" t="e">
        <f>#REF!-#REF!</f>
        <v>#REF!</v>
      </c>
      <c r="BJ40" s="19" t="e">
        <f t="shared" si="17"/>
        <v>#REF!</v>
      </c>
    </row>
    <row r="41" spans="1:62" ht="68.25" customHeight="1" thickBot="1" x14ac:dyDescent="0.3">
      <c r="A41" s="47">
        <v>8</v>
      </c>
      <c r="B41" s="32" t="s">
        <v>923</v>
      </c>
      <c r="C41" s="18">
        <f>COUNTIFS(ШТАТ!AM:AM,"3 МСБ",ШТАТ!AL:AL,"3 ВПТУР",ШТАТ!AK:AK,1)</f>
        <v>1</v>
      </c>
      <c r="D41" s="18">
        <f>COUNTIFS(ШТАТ!AM:AM,"3 МСБ",ШТАТ!AL:AL,"3 ВПТУР",ШТАТ!AK:AK,2)</f>
        <v>0</v>
      </c>
      <c r="E41" s="18">
        <f>COUNTIFS(ШТАТ!AM:AM,"3 МСБ",ШТАТ!AL:AL,"3 ВПТУР",ШТАТ!AK:AK,3)</f>
        <v>3</v>
      </c>
      <c r="F41" s="18">
        <f>COUNTIFS(ШТАТ!AM:AM,"3 МСБ",ШТАТ!AL:AL,"3 ВПТУР",ШТАТ!AK:AK,4)</f>
        <v>9</v>
      </c>
      <c r="G41" s="19">
        <f t="shared" si="44"/>
        <v>13</v>
      </c>
      <c r="H41" s="34">
        <f>COUNTIFS(ШТАТ!AM:AM,"3 МСБ",ШТАТ!AL:AL,"3 ВПТУР",ШТАТ!AJ:AJ,"о")</f>
        <v>1</v>
      </c>
      <c r="I41" s="34">
        <f>COUNTIFS(ШТАТ!AM:AM,"3 МСБ",ШТАТ!AL:AL,"3 ВПТУР",ШТАТ!AJ:AJ,"п")</f>
        <v>0</v>
      </c>
      <c r="J41" s="19">
        <f t="shared" si="45"/>
        <v>0</v>
      </c>
      <c r="K41" s="19">
        <f>COUNTIFS(ШТАТ!AM:AM,"3 МСБ",ШТАТ!AL:AL,"3 ВПТУР",ШТАТ!AK:AK,3,ШТАТ!AJ:AJ,"к/с")</f>
        <v>0</v>
      </c>
      <c r="L41" s="95">
        <f>COUNTIFS(ШТАТ!AM:AM,"3 МСБ",ШТАТ!AL:AL,B41,ШТАТ!AK:AK,3,ШТАТ!AJ:AJ,"с/с")</f>
        <v>0</v>
      </c>
      <c r="M41" s="19">
        <f t="shared" si="46"/>
        <v>3</v>
      </c>
      <c r="N41" s="19">
        <f>COUNTIFS(ШТАТ!AM:AM,"3 МСБ",ШТАТ!AL:AL,"3 ВПТУР",ШТАТ!AK:AK,4,ШТАТ!AJ:AJ,"к/с")</f>
        <v>3</v>
      </c>
      <c r="O41" s="19">
        <f>COUNTIFS(ШТАТ!AM:AM,"3 МСБ",ШТАТ!AL:AL,"3 ВПТУР",ШТАТ!AK:AK,4,ШТАТ!AJ:AJ,"с/с")</f>
        <v>0</v>
      </c>
      <c r="P41" s="19">
        <f>SUM(Q41:R41)</f>
        <v>3</v>
      </c>
      <c r="Q41" s="19">
        <f t="shared" si="48"/>
        <v>3</v>
      </c>
      <c r="R41" s="35">
        <f t="shared" si="49"/>
        <v>0</v>
      </c>
      <c r="S41" s="40">
        <f t="shared" si="50"/>
        <v>4</v>
      </c>
      <c r="T41" s="37">
        <f t="shared" si="5"/>
        <v>0.30769230769230771</v>
      </c>
      <c r="U41" s="37">
        <f>COUNTIFS(ШТАТ!U:U,"",ШТАТ!AM:AM,"3 МСБ",ШТАТ!AL:AL,"3 ВПТУР",ШТАТ!AJ:AJ,"о")</f>
        <v>1</v>
      </c>
      <c r="V41" s="37">
        <f>COUNTIFS(ШТАТ!U:U,"",ШТАТ!AM:AM,"3 МСБ",ШТАТ!AL:AL,"3 ВПТУР",ШТАТ!AJ:AJ,"п")</f>
        <v>0</v>
      </c>
      <c r="W41" s="668">
        <f t="shared" si="51"/>
        <v>0</v>
      </c>
      <c r="X41" s="37">
        <f>COUNTIFS(ШТАТ!U:U,"",ШТАТ!AM:AM,"3 МСБ",ШТАТ!AL:AL,"3 ВПТУР",ШТАТ!AK:AK,3,ШТАТ!AJ:AJ,"к/с")</f>
        <v>0</v>
      </c>
      <c r="Y41" s="102">
        <f>COUNTIFS(ШТАТ!U:U,"",ШТАТ!AM:AM,"3 МСБ",ШТАТ!AL:AL,B41,ШТАТ!AK:AK,3,ШТАТ!AJ:AJ,"с/с")</f>
        <v>0</v>
      </c>
      <c r="Z41" s="89">
        <f t="shared" si="52"/>
        <v>0</v>
      </c>
      <c r="AA41" s="89">
        <f>COUNTIFS(ШТАТ!U:U,"",ШТАТ!AM:AM,"3 МСБ",ШТАТ!AL:AL,"3 ВПТУР",ШТАТ!AK:AK,4,ШТАТ!AJ:AJ,"к/с")</f>
        <v>0</v>
      </c>
      <c r="AB41" s="89">
        <f>COUNTIFS(ШТАТ!U:U,"",ШТАТ!AM:AM,"3 МСБ",ШТАТ!AL:AL,"3 ВПТУР",ШТАТ!AK:AK,4,ШТАТ!AJ:AJ,"с/с")</f>
        <v>0</v>
      </c>
      <c r="AC41" s="89">
        <f t="shared" si="53"/>
        <v>0</v>
      </c>
      <c r="AD41" s="89">
        <f t="shared" si="54"/>
        <v>0</v>
      </c>
      <c r="AE41" s="89">
        <f t="shared" si="56"/>
        <v>0</v>
      </c>
      <c r="AF41" s="40">
        <f t="shared" si="57"/>
        <v>1</v>
      </c>
      <c r="AG41" s="40"/>
      <c r="AH41" s="24">
        <f>COUNTIFS(ШТАТ!$AL:$AL,$B41,ШТАТ!$U:$U,"МП")</f>
        <v>0</v>
      </c>
      <c r="AI41" s="40">
        <f>COUNTIFS(ШТАТ!AM:AM,"3 МСБ",ШТАТ!AL:AL,"3 ВПТУР",ШТАТ!U:U,"осв-ие")</f>
        <v>0</v>
      </c>
      <c r="AJ41" s="40">
        <f>COUNTIFS(ШТАТ!AM:AM,"3 МСБ",ШТАТ!AL:AL,"3 ВПТУР",ШТАТ!U:U,"госп")</f>
        <v>0</v>
      </c>
      <c r="AK41" s="40">
        <f t="shared" si="55"/>
        <v>2</v>
      </c>
      <c r="AL41" s="40">
        <f>COUNTIFS(ШТАТ!AM:AM,"3 МСБ",ШТАТ!AL:AL,"3 ВПТУР",ШТАТ!W:W,"Барсуковка")</f>
        <v>0</v>
      </c>
      <c r="AM41" s="24">
        <f>COUNTIFS(ШТАТ!$AL:$AL,$B41,ШТАТ!$W:$W,"Павенково")</f>
        <v>0</v>
      </c>
      <c r="AN41" s="40"/>
      <c r="AO41" s="40">
        <f>COUNTIFS(ШТАТ!AM:AM,"3 МСБ",ШТАТ!AL:AL,"3 ВПТУР",ШТАТ!W:W,"полигон Чехово")</f>
        <v>0</v>
      </c>
      <c r="AP41" s="40">
        <f>COUNTIFS(ШТАТ!AM:AM,"3 МСБ",ШТАТ!AL:AL,"3 ВПТУР",ШТАТ!X:X,"Такелажные работы")</f>
        <v>0</v>
      </c>
      <c r="AQ41" s="40">
        <f>COUNTIFS(ШТАТ!AM:AM,"3 МСБ",ШТАТ!AL:AL,"3 ВПТУР",ШТАТ!X:X,"Усиление объектов")</f>
        <v>0</v>
      </c>
      <c r="AR41" s="40">
        <f>COUNTIFS(ШТАТ!AM:AM,"3 МСБ",ШТАТ!AL:AL,"3 ВПТУР",ШТАТ!U:U,"полигон")-SUM(AL41:AO41)</f>
        <v>0</v>
      </c>
      <c r="AS41" s="40"/>
      <c r="AT41" s="40">
        <f>COUNTIFS(ШТАТ!AM:AM,"3 МСБ",ШТАТ!AL:AL,"3 ВПТУР",ШТАТ!X:X,"САР")</f>
        <v>0</v>
      </c>
      <c r="AU41" s="40">
        <f>COUNTIFS(ШТАТ!AM:AM,"3 МСБ",ШТАТ!AL:AL,"3 ВПТУР",ШТАТ!X:X,"Выполнение специальных задач")</f>
        <v>1</v>
      </c>
      <c r="AV41" s="40">
        <f>COUNTIFS(ШТАТ!AM:AM,"3 МСБ",ШТАТ!AL:AL,"3 ВПТУР",ШТАТ!X:X,"Переподготовка")</f>
        <v>0</v>
      </c>
      <c r="AW41" s="40">
        <f>COUNTIFS(ШТАТ!AM:AM,"3 МСБ",ШТАТ!AL:AL,"3 ВПТУР",ШТАТ!X:X,"Усиление объектов")</f>
        <v>0</v>
      </c>
      <c r="AX41" s="40"/>
      <c r="AY41" s="38"/>
      <c r="AZ41" s="40">
        <f>COUNTIFS(ШТАТ!AM:AM,"3 МСБ",ШТАТ!AL:AL,"3 ВПТУР",ШТАТ!W:W,"г. Белгород")</f>
        <v>1</v>
      </c>
      <c r="BA41" s="40">
        <f>COUNTIFS(ШТАТ!AM:AM,"3 МСБ",ШТАТ!AL:AL,"3 ВПТУР",ШТАТ!W:W,"в/ч 38838")</f>
        <v>0</v>
      </c>
      <c r="BB41" s="40">
        <f>COUNTIFS(ШТАТ!AM:AM,"3 МСБ",ШТАТ!AL:AL,"3 ВПТУР",ШТАТ!W:W,"в/ч 90151")</f>
        <v>0</v>
      </c>
      <c r="BC41" s="40"/>
      <c r="BD41" s="26">
        <f>COUNTIFS(ШТАТ!$AL:$AL,$B41,ШТАТ!$U:$U,"ком-ка")-SUM(AS41:BC41)-AP41-AQ41</f>
        <v>0</v>
      </c>
      <c r="BE41" s="40">
        <f>COUNTIFS(ШТАТ!AM:AM,"3 МСБ",ШТАТ!AL:AL,"3 ВПТУР",ШТАТ!U:U,"отпуск")</f>
        <v>1</v>
      </c>
      <c r="BF41" s="40"/>
      <c r="BG41" s="24">
        <f>COUNTIFS(ШТАТ!AM:AM,"3 МСБ",ШТАТ!AL:AL,B41,ШТАТ!U:U,"СОЧ")</f>
        <v>0</v>
      </c>
      <c r="BH41" s="28">
        <f>SUM(AG41:AJ41)+SUM(BE41:BG41)+AK41</f>
        <v>3</v>
      </c>
      <c r="BI41" s="28" t="e">
        <f>#REF!-#REF!</f>
        <v>#REF!</v>
      </c>
      <c r="BJ41" s="19" t="e">
        <f t="shared" si="17"/>
        <v>#REF!</v>
      </c>
    </row>
    <row r="42" spans="1:62" ht="71.25" customHeight="1" thickBot="1" x14ac:dyDescent="0.3">
      <c r="A42" s="48"/>
      <c r="B42" s="32" t="s">
        <v>503</v>
      </c>
      <c r="C42" s="18">
        <f>COUNTIFS(ШТАТ!AM:AM,"3 МСБ",ШТАТ!AL:AL,"3 ВС ",ШТАТ!AK:AK,1)</f>
        <v>1</v>
      </c>
      <c r="D42" s="18">
        <f>COUNTIFS(ШТАТ!AM:AM,"3 МСБ",ШТАТ!AL:AL,"3 ВС ",ШТАТ!AK:AK,2)</f>
        <v>0</v>
      </c>
      <c r="E42" s="18">
        <f>COUNTIFS(ШТАТ!AM:AM,"3 МСБ",ШТАТ!AL:AL,"3 ВС ",ШТАТ!AK:AK,3)</f>
        <v>1</v>
      </c>
      <c r="F42" s="18">
        <f>COUNTIFS(ШТАТ!AM:AM,"3 МСБ",ШТАТ!AL:AL,"3 ВС ",ШТАТ!AK:AK,4)</f>
        <v>11</v>
      </c>
      <c r="G42" s="19">
        <f t="shared" si="44"/>
        <v>13</v>
      </c>
      <c r="H42" s="18">
        <f>COUNTIFS(ШТАТ!AM:AM,"3 МСБ",ШТАТ!AL:AL,"3 ВС ",ШТАТ!AJ:AJ,"о")</f>
        <v>1</v>
      </c>
      <c r="I42" s="18">
        <f>COUNTIFS(ШТАТ!AM:AM,"3 МСБ",ШТАТ!AL:AL,"3 ВС ",ШТАТ!AJ:AJ,"п")</f>
        <v>0</v>
      </c>
      <c r="J42" s="19">
        <f t="shared" si="45"/>
        <v>3</v>
      </c>
      <c r="K42" s="20">
        <v>3</v>
      </c>
      <c r="L42" s="95"/>
      <c r="M42" s="19">
        <f>N42+O42</f>
        <v>7</v>
      </c>
      <c r="N42" s="22">
        <f>COUNTIFS(ШТАТ!AM:AM,"3 МСБ",ШТАТ!AL:AL,"3 ВС ",ШТАТ!AK:AK,4,ШТАТ!AJ:AJ,"к/с")</f>
        <v>5</v>
      </c>
      <c r="O42" s="22">
        <f>COUNTIFS(ШТАТ!AM:AM,"3 МСБ",ШТАТ!AL:AL,"3 ВС ",ШТАТ!AK:AK,4,ШТАТ!AJ:AJ,"с/с")</f>
        <v>2</v>
      </c>
      <c r="P42" s="19">
        <f>SUM(Q42:R42)</f>
        <v>10</v>
      </c>
      <c r="Q42" s="22">
        <f t="shared" si="48"/>
        <v>8</v>
      </c>
      <c r="R42" s="21">
        <f t="shared" si="49"/>
        <v>2</v>
      </c>
      <c r="S42" s="19">
        <f t="shared" si="50"/>
        <v>11</v>
      </c>
      <c r="T42" s="23">
        <f t="shared" si="5"/>
        <v>0.84615384615384615</v>
      </c>
      <c r="U42" s="24">
        <f>COUNTIFS(ШТАТ!U:U,"",ШТАТ!AM:AM,"3 МСБ",ШТАТ!AL:AL,"3 ВС ",ШТАТ!AJ:AJ,"о")</f>
        <v>0</v>
      </c>
      <c r="V42" s="24">
        <f>COUNTIFS(ШТАТ!U:U,"",ШТАТ!AM:AM,"3 МСБ",ШТАТ!AL:AL,"3 ВС ",ШТАТ!AJ:AJ,"п")</f>
        <v>0</v>
      </c>
      <c r="W42" s="667">
        <f t="shared" si="51"/>
        <v>0</v>
      </c>
      <c r="X42" s="24">
        <f>COUNTIFS(ШТАТ!U:U,"",ШТАТ!AM:AM,"3 МСБ",ШТАТ!AL:AL,"3 ВС ",ШТАТ!AK:AK,3,ШТАТ!AJ:AJ,"к/с")</f>
        <v>0</v>
      </c>
      <c r="Y42" s="102">
        <f>COUNTIFS(ШТАТ!U:U,"",ШТАТ!AM:AM,"3 МСБ",ШТАТ!AL:AL,B42,ШТАТ!AK:AK,3,ШТАТ!AJ:AJ,"с/с")</f>
        <v>0</v>
      </c>
      <c r="Z42" s="89">
        <f t="shared" si="52"/>
        <v>0</v>
      </c>
      <c r="AA42" s="26">
        <f>COUNTIFS(ШТАТ!U:U,"",ШТАТ!AM:AM,"3 МСБ",ШТАТ!AL:AL,"3 ВС ",ШТАТ!AK:AK,4,ШТАТ!AJ:AJ,"к/с")</f>
        <v>0</v>
      </c>
      <c r="AB42" s="24">
        <f>COUNTIFS(ШТАТ!U:U,"",ШТАТ!AM:AM,"3 МСБ",ШТАТ!AL:AL,"3 ВС ",ШТАТ!AK:AK,4,ШТАТ!AJ:AJ,"с/с")</f>
        <v>0</v>
      </c>
      <c r="AC42" s="89">
        <f t="shared" si="53"/>
        <v>0</v>
      </c>
      <c r="AD42" s="35">
        <f t="shared" si="54"/>
        <v>0</v>
      </c>
      <c r="AE42" s="21">
        <f t="shared" ref="AE42:AE74" si="58">SUM(Y42,AB42)</f>
        <v>0</v>
      </c>
      <c r="AF42" s="40">
        <f t="shared" si="57"/>
        <v>0</v>
      </c>
      <c r="AG42" s="24"/>
      <c r="AH42" s="24">
        <f>COUNTIFS(ШТАТ!$AL:$AL,$B42,ШТАТ!$U:$U,"МП")</f>
        <v>1</v>
      </c>
      <c r="AI42" s="24">
        <f>COUNTIFS(ШТАТ!AM:AM,"3 МСБ",ШТАТ!AL:AL,"3 ВС ",ШТАТ!U:U,"осв-ие")</f>
        <v>0</v>
      </c>
      <c r="AJ42" s="24">
        <f>COUNTIFS(ШТАТ!AM:AM,"3 МСБ",ШТАТ!AL:AL,"3 ВС ",ШТАТ!U:U,"госп")</f>
        <v>0</v>
      </c>
      <c r="AK42" s="27">
        <f t="shared" si="55"/>
        <v>8</v>
      </c>
      <c r="AL42" s="24">
        <f>COUNTIFS(ШТАТ!AM:AM,"3 МСБ",ШТАТ!AL:AL,"3 ВС ",ШТАТ!W:W,"Барсуковка")</f>
        <v>0</v>
      </c>
      <c r="AM42" s="24">
        <f>COUNTIFS(ШТАТ!$AL:$AL,$B42,ШТАТ!$W:$W,"Павенково")</f>
        <v>0</v>
      </c>
      <c r="AN42" s="18"/>
      <c r="AO42" s="24">
        <f>COUNTIFS(ШТАТ!AM:AM,"3 МСБ",ШТАТ!AL:AL,"3 ВС ",ШТАТ!W:W,"полигон Чехово")</f>
        <v>0</v>
      </c>
      <c r="AP42" s="24">
        <f>COUNTIFS(ШТАТ!AM:AM,"3 МСБ",ШТАТ!AL:AL,"3 ВС ",ШТАТ!X:X,"Такелажные работы")</f>
        <v>0</v>
      </c>
      <c r="AQ42" s="18">
        <f>COUNTIFS(ШТАТ!AM:AM,"3 МСБ",ШТАТ!AL:AL,"3 ВС ",ШТАТ!X:X,"Усиление объектов")</f>
        <v>1</v>
      </c>
      <c r="AR42" s="18">
        <f>COUNTIFS(ШТАТ!AM:AM,"3 МСБ",ШТАТ!AL:AL,"3 ВС ",ШТАТ!U:U,"полигон")-SUM(AL42:AO42)</f>
        <v>0</v>
      </c>
      <c r="AS42" s="24"/>
      <c r="AT42" s="24">
        <f>COUNTIFS(ШТАТ!AM:AM,"3 МСБ",ШТАТ!AL:AL,"3 ВС ",ШТАТ!X:X,"САР")</f>
        <v>1</v>
      </c>
      <c r="AU42" s="24">
        <f>COUNTIFS(ШТАТ!AM:AM,"3 МСБ",ШТАТ!AL:AL,"3 ВС ",ШТАТ!X:X,"Выполнение специальных задач")</f>
        <v>0</v>
      </c>
      <c r="AV42" s="24">
        <f>COUNTIFS(ШТАТ!AM:AM,"3 МСБ",ШТАТ!AL:AL,"3 ВС ",ШТАТ!X:X,"Переподготовка")</f>
        <v>0</v>
      </c>
      <c r="AW42" s="24">
        <f>COUNTIFS(ШТАТ!AM:AM,"3 МСБ",ШТАТ!AL:AL,"3 ВС ",ШТАТ!X:X,"Усиление объектов")</f>
        <v>1</v>
      </c>
      <c r="AX42" s="24">
        <v>0</v>
      </c>
      <c r="AY42" s="24"/>
      <c r="AZ42" s="24">
        <f>COUNTIFS(ШТАТ!AM:AM,"3 МСБ",ШТАТ!AL:AL,"3 ВС ",ШТАТ!W:W,"г. Белгород")</f>
        <v>2</v>
      </c>
      <c r="BA42" s="24">
        <f>COUNTIFS(ШТАТ!AM:AM,"3 МСБ",ШТАТ!AL:AL,"3 ВС ",ШТАТ!W:W,"в/ч 38838")</f>
        <v>0</v>
      </c>
      <c r="BB42" s="24">
        <f>COUNTIFS(ШТАТ!AM:AM,"3 МСБ",ШТАТ!AL:AL,"3 ВС ",ШТАТ!W:W,"в/ч 90151")</f>
        <v>0</v>
      </c>
      <c r="BC42" s="24"/>
      <c r="BD42" s="26">
        <f>COUNTIFS(ШТАТ!$AL:$AL,$B42,ШТАТ!$U:$U,"ком-ка")-SUM(AS42:BC42)-AP42-AQ42</f>
        <v>3</v>
      </c>
      <c r="BE42" s="24">
        <f>COUNTIFS(ШТАТ!AM:AM,"3 МСБ",ШТАТ!AL:AL,"3 ВС ",ШТАТ!U:U,"отпуск")</f>
        <v>0</v>
      </c>
      <c r="BF42" s="22"/>
      <c r="BG42" s="24">
        <f>COUNTIFS(ШТАТ!AM:AM,"3 МСБ",ШТАТ!AL:AL,B42,ШТАТ!U:U,"СОЧ")</f>
        <v>0</v>
      </c>
      <c r="BH42" s="28">
        <f t="shared" si="38"/>
        <v>9</v>
      </c>
      <c r="BI42" s="28" t="e">
        <f>#REF!-#REF!</f>
        <v>#REF!</v>
      </c>
      <c r="BJ42" s="19" t="e">
        <f t="shared" si="17"/>
        <v>#REF!</v>
      </c>
    </row>
    <row r="43" spans="1:62" ht="71.25" customHeight="1" thickBot="1" x14ac:dyDescent="0.3">
      <c r="A43" s="48">
        <v>9</v>
      </c>
      <c r="B43" s="33" t="s">
        <v>504</v>
      </c>
      <c r="C43" s="34">
        <f>COUNTIFS(ШТАТ!AM:AM,"3 МСБ",ШТАТ!AL:AL,"3 МВ",ШТАТ!AK:AK,1)</f>
        <v>1</v>
      </c>
      <c r="D43" s="18">
        <f>COUNTIFS(ШТАТ!AM:AM,"3 МСБ",ШТАТ!AL:AL,"3 МВ",ШТАТ!AK:AK,2)</f>
        <v>1</v>
      </c>
      <c r="E43" s="34">
        <f>COUNTIFS(ШТАТ!AM:AM,"3 МСБ",ШТАТ!AL:AL,"3 МВ",ШТАТ!AK:AK,3)</f>
        <v>4</v>
      </c>
      <c r="F43" s="18">
        <f>COUNTIFS(ШТАТ!AM:AM,"3 МСБ",ШТАТ!AL:AL,"3 МВ",ШТАТ!AK:AK,4)</f>
        <v>9</v>
      </c>
      <c r="G43" s="19">
        <f t="shared" si="44"/>
        <v>15</v>
      </c>
      <c r="H43" s="18">
        <f>COUNTIFS(ШТАТ!AM:AM,"3 МСБ",ШТАТ!AL:AL,"3 МВ",ШТАТ!AJ:AJ,"о")</f>
        <v>0</v>
      </c>
      <c r="I43" s="34">
        <f>COUNTIFS(ШТАТ!AM:AM,"3 МСБ",ШТАТ!AL:AL,"3 МВ",ШТАТ!AJ:AJ,"п")</f>
        <v>0</v>
      </c>
      <c r="J43" s="19">
        <f t="shared" si="45"/>
        <v>1</v>
      </c>
      <c r="K43" s="20">
        <f>COUNTIFS(ШТАТ!AM:AM,"3 МСБ",ШТАТ!AL:AL,"3 МВ",ШТАТ!AK:AK,3,ШТАТ!AJ:AJ,"к/с")</f>
        <v>1</v>
      </c>
      <c r="L43" s="95">
        <f>COUNTIFS(ШТАТ!AM:AM,"3 МСБ",ШТАТ!AL:AL,B43,ШТАТ!AK:AK,3,ШТАТ!AJ:AJ,"с/с")</f>
        <v>0</v>
      </c>
      <c r="M43" s="19">
        <f>N43+O43</f>
        <v>5</v>
      </c>
      <c r="N43" s="36">
        <f>COUNTIFS(ШТАТ!AM:AM,"3 МСБ",ШТАТ!AL:AL,"3 МВ",ШТАТ!AK:AK,4,ШТАТ!AJ:AJ,"к/с")</f>
        <v>2</v>
      </c>
      <c r="O43" s="22">
        <f>COUNTIFS(ШТАТ!AM:AM,"3 МСБ",ШТАТ!AL:AL,"3 МВ",ШТАТ!AK:AK,4,ШТАТ!AJ:AJ,"с/с")</f>
        <v>3</v>
      </c>
      <c r="P43" s="19">
        <f>SUM(Q43:R43)</f>
        <v>6</v>
      </c>
      <c r="Q43" s="22">
        <f t="shared" si="48"/>
        <v>3</v>
      </c>
      <c r="R43" s="21">
        <f t="shared" si="49"/>
        <v>3</v>
      </c>
      <c r="S43" s="19">
        <f t="shared" si="50"/>
        <v>6</v>
      </c>
      <c r="T43" s="37">
        <f t="shared" si="5"/>
        <v>0.4</v>
      </c>
      <c r="U43" s="24">
        <f>COUNTIFS(ШТАТ!U:U,"",ШТАТ!AM:AM,"3 МСБ",ШТАТ!AL:AL,"3 МВ",ШТАТ!AJ:AJ,"о")</f>
        <v>0</v>
      </c>
      <c r="V43" s="24">
        <f>COUNTIFS(ШТАТ!U:U,"",ШТАТ!AM:AM,"3 МСБ",ШТАТ!AL:AL,"3 МВ",ШТАТ!AJ:AJ,"п")</f>
        <v>0</v>
      </c>
      <c r="W43" s="667">
        <f t="shared" si="51"/>
        <v>0</v>
      </c>
      <c r="X43" s="24">
        <f>COUNTIFS(ШТАТ!U:U,"",ШТАТ!AM:AM,"3 МСБ",ШТАТ!AL:AL,"3 МВ",ШТАТ!AK:AK,3,ШТАТ!AJ:AJ,"к/с")</f>
        <v>0</v>
      </c>
      <c r="Y43" s="102">
        <f>COUNTIFS(ШТАТ!U:U,"",ШТАТ!AM:AM,"3 МСБ",ШТАТ!AL:AL,B43,ШТАТ!AK:AK,3,ШТАТ!AJ:AJ,"с/с")</f>
        <v>0</v>
      </c>
      <c r="Z43" s="89">
        <f t="shared" si="52"/>
        <v>2</v>
      </c>
      <c r="AA43" s="39">
        <f>COUNTIFS(ШТАТ!U:U,"",ШТАТ!AM:AM,"3 МСБ",ШТАТ!AL:AL,"3 МВ",ШТАТ!AK:AK,4,ШТАТ!AJ:AJ,"к/с")</f>
        <v>1</v>
      </c>
      <c r="AB43" s="24">
        <f>COUNTIFS(ШТАТ!U:U,"",ШТАТ!AM:AM,"3 МСБ",ШТАТ!AL:AL,"3 МВ",ШТАТ!AK:AK,4,ШТАТ!AJ:AJ,"с/с")</f>
        <v>1</v>
      </c>
      <c r="AC43" s="89">
        <f t="shared" si="53"/>
        <v>2</v>
      </c>
      <c r="AD43" s="35">
        <f t="shared" si="54"/>
        <v>1</v>
      </c>
      <c r="AE43" s="35">
        <f t="shared" si="58"/>
        <v>1</v>
      </c>
      <c r="AF43" s="40">
        <f t="shared" si="57"/>
        <v>2</v>
      </c>
      <c r="AG43" s="24"/>
      <c r="AH43" s="24">
        <f>COUNTIFS(ШТАТ!$AL:$AL,$B43,ШТАТ!$U:$U,"МП")</f>
        <v>0</v>
      </c>
      <c r="AI43" s="24">
        <f>COUNTIFS(ШТАТ!AM:AM,"3 МСБ",ШТАТ!AL:AL,"3 МВ",ШТАТ!U:U,"осв-ие")</f>
        <v>0</v>
      </c>
      <c r="AJ43" s="38">
        <f>COUNTIFS(ШТАТ!AM:AM,"3 МСБ",ШТАТ!AL:AL,"3 МВ",ШТАТ!U:U,"госп")</f>
        <v>0</v>
      </c>
      <c r="AK43" s="27">
        <f t="shared" si="55"/>
        <v>3</v>
      </c>
      <c r="AL43" s="24">
        <f>COUNTIFS(ШТАТ!AM:AM,"3 МСБ",ШТАТ!AL:AL,"3 МВ",ШТАТ!W:W,"Барсуковка")</f>
        <v>0</v>
      </c>
      <c r="AM43" s="24">
        <f>COUNTIFS(ШТАТ!$AL:$AL,$B43,ШТАТ!$W:$W,"Павенково")</f>
        <v>0</v>
      </c>
      <c r="AN43" s="18"/>
      <c r="AO43" s="24">
        <f>COUNTIFS(ШТАТ!AM:AM,"3 МСБ",ШТАТ!AL:AL,"3 МВ",ШТАТ!W:W,"полигон Чехово")</f>
        <v>0</v>
      </c>
      <c r="AP43" s="24">
        <f>COUNTIFS(ШТАТ!AM:AM,"3 МСБ",ШТАТ!AL:AL,"3 МВ",ШТАТ!X:X,"Такелажные работы")</f>
        <v>0</v>
      </c>
      <c r="AQ43" s="18">
        <f>COUNTIFS(ШТАТ!AM:AM,"3 МСБ",ШТАТ!AL:AL,"3 МВ",ШТАТ!X:X,"Усиление объектов")</f>
        <v>2</v>
      </c>
      <c r="AR43" s="34">
        <f>COUNTIFS(ШТАТ!AM:AM,"3 МСБ",ШТАТ!AL:AL,"3 МВ",ШТАТ!U:U,"полигон")-SUM(AL43:AO43)</f>
        <v>0</v>
      </c>
      <c r="AS43" s="38"/>
      <c r="AT43" s="24">
        <f>COUNTIFS(ШТАТ!AM:AM,"3 МСБ",ШТАТ!AL:AL,"3 МВ",ШТАТ!X:X,"САР")</f>
        <v>0</v>
      </c>
      <c r="AU43" s="24">
        <f>COUNTIFS(ШТАТ!AM:AM,"3 МСБ",ШТАТ!AL:AL,"3 МВ",ШТАТ!X:X,"Выполнение специальных задач")</f>
        <v>0</v>
      </c>
      <c r="AV43" s="24">
        <f>COUNTIFS(ШТАТ!AM:AM,"3 МСБ",ШТАТ!AL:AL,"3 МВ",ШТАТ!X:X,"Переподготовка")</f>
        <v>0</v>
      </c>
      <c r="AW43" s="24">
        <f>COUNTIFS(ШТАТ!AM:AM,"3 МСБ",ШТАТ!AL:AL,"3 МВ",ШТАТ!X:X,"Усиление объектов")</f>
        <v>2</v>
      </c>
      <c r="AX43" s="38"/>
      <c r="AY43" s="38"/>
      <c r="AZ43" s="24">
        <f>COUNTIFS(ШТАТ!AM:AM,"3 МСБ",ШТАТ!AL:AL,"3 МВ",ШТАТ!W:W,"г. Белгород")</f>
        <v>1</v>
      </c>
      <c r="BA43" s="24">
        <f>COUNTIFS(ШТАТ!AM:AM,"3 МСБ",ШТАТ!AL:AL,"3 МВ",ШТАТ!W:W,"в/ч 38838")</f>
        <v>0</v>
      </c>
      <c r="BB43" s="24">
        <f>COUNTIFS(ШТАТ!AM:AM,"3 МСБ",ШТАТ!AL:AL,"3 МВ",ШТАТ!W:W,"в/ч 90151")</f>
        <v>0</v>
      </c>
      <c r="BC43" s="24"/>
      <c r="BD43" s="26">
        <f>COUNTIFS(ШТАТ!$AL:$AL,$B43,ШТАТ!$U:$U,"ком-ка")-SUM(AS43:BC43)-AP43-AQ43</f>
        <v>-2</v>
      </c>
      <c r="BE43" s="24">
        <f>COUNTIFS(ШТАТ!AM:AM,"3 МСБ",ШТАТ!AL:AL,"3 МВ",ШТАТ!U:U,"отпуск")</f>
        <v>0</v>
      </c>
      <c r="BF43" s="36"/>
      <c r="BG43" s="24">
        <f>COUNTIFS(ШТАТ!AM:AM,"3 МСБ",ШТАТ!AL:AL,B43,ШТАТ!U:U,"СОЧ")</f>
        <v>1</v>
      </c>
      <c r="BH43" s="28">
        <f t="shared" si="38"/>
        <v>4</v>
      </c>
      <c r="BI43" s="29" t="e">
        <f>#REF!-#REF!</f>
        <v>#REF!</v>
      </c>
      <c r="BJ43" s="19" t="e">
        <f t="shared" si="17"/>
        <v>#REF!</v>
      </c>
    </row>
    <row r="44" spans="1:62" ht="141.75" customHeight="1" thickBot="1" x14ac:dyDescent="0.3">
      <c r="A44" s="49">
        <v>10</v>
      </c>
      <c r="B44" s="33" t="s">
        <v>926</v>
      </c>
      <c r="C44" s="34">
        <f>COUNTIFS(ШТАТ!AM:AM,"3 МСБ",ШТАТ!AL:AL,"3 ВО б",ШТАТ!AK:AK,1)</f>
        <v>0</v>
      </c>
      <c r="D44" s="18">
        <f>COUNTIFS(ШТАТ!AM:AM,"3 МСБ",ШТАТ!AL:AL,"3 ВО б",ШТАТ!AK:AK,2)</f>
        <v>1</v>
      </c>
      <c r="E44" s="34">
        <f>COUNTIFS(ШТАТ!AM:AM,"3 МСБ",ШТАТ!AL:AL,"3 ВО б",ШТАТ!AK:AK,3)</f>
        <v>5</v>
      </c>
      <c r="F44" s="18">
        <f>COUNTIFS(ШТАТ!AM:AM,"3 МСБ",ШТАТ!AL:AL,"3 ВО б",ШТАТ!AK:AK,4)</f>
        <v>21</v>
      </c>
      <c r="G44" s="19">
        <f t="shared" si="44"/>
        <v>27</v>
      </c>
      <c r="H44" s="18">
        <f>COUNTIFS(ШТАТ!AM:AM,"3 МСБ",ШТАТ!AL:AL,"3 ВО б",ШТАТ!AJ:AJ,"о")</f>
        <v>0</v>
      </c>
      <c r="I44" s="34">
        <f>COUNTIFS(ШТАТ!AM:AM,"3 МСБ",ШТАТ!AL:AL,"3 ВО б",ШТАТ!AJ:AJ,"п")</f>
        <v>1</v>
      </c>
      <c r="J44" s="19">
        <f t="shared" si="45"/>
        <v>4</v>
      </c>
      <c r="K44" s="20">
        <f>COUNTIFS(ШТАТ!AM:AM,"3 МСБ",ШТАТ!AL:AL,"3 ВО б",ШТАТ!AK:AK,3,ШТАТ!AJ:AJ,"к/с")</f>
        <v>4</v>
      </c>
      <c r="L44" s="95">
        <f>COUNTIFS(ШТАТ!AM:AM,"3 МСБ",ШТАТ!AL:AL,B44,ШТАТ!AK:AK,3,ШТАТ!AJ:AJ,"с/с")</f>
        <v>0</v>
      </c>
      <c r="M44" s="19">
        <f>N44+O44</f>
        <v>18</v>
      </c>
      <c r="N44" s="36">
        <f>COUNTIFS(ШТАТ!AM:AM,"3 МСБ",ШТАТ!AL:AL,"3 ВО б",ШТАТ!AK:AK,4,ШТАТ!AJ:AJ,"к/с")</f>
        <v>11</v>
      </c>
      <c r="O44" s="22">
        <f>COUNTIFS(ШТАТ!AM:AM,"3 МСБ",ШТАТ!AL:AL,"3 ВО б",ШТАТ!AK:AK,4,ШТАТ!AJ:AJ,"с/с")</f>
        <v>7</v>
      </c>
      <c r="P44" s="19">
        <f>SUM(Q44:R44)</f>
        <v>22</v>
      </c>
      <c r="Q44" s="22">
        <f t="shared" si="48"/>
        <v>15</v>
      </c>
      <c r="R44" s="21">
        <f t="shared" si="49"/>
        <v>7</v>
      </c>
      <c r="S44" s="19">
        <f t="shared" si="50"/>
        <v>23</v>
      </c>
      <c r="T44" s="37">
        <f t="shared" ref="T44:T75" si="59">S44/G44</f>
        <v>0.85185185185185186</v>
      </c>
      <c r="U44" s="24">
        <f>COUNTIFS(ШТАТ!U:U,"",ШТАТ!AM:AM,"3 МСБ",ШТАТ!AL:AL,B44,ШТАТ!AJ:AJ,"о")</f>
        <v>0</v>
      </c>
      <c r="V44" s="24">
        <f>COUNTIFS(ШТАТ!U:U,"",ШТАТ!AM:AM,"3 МСБ",ШТАТ!AL:AL,B44,ШТАТ!AJ:AJ,"п")</f>
        <v>0</v>
      </c>
      <c r="W44" s="103">
        <f t="shared" ref="W44:W74" si="60">SUM(X44:Y44)</f>
        <v>2</v>
      </c>
      <c r="X44" s="24">
        <f>COUNTIFS(ШТАТ!U:U,"",ШТАТ!AM:AM,"3 МСБ",ШТАТ!AL:AL,B44,ШТАТ!AK:AK,3,ШТАТ!AJ:AJ,"к/с")</f>
        <v>2</v>
      </c>
      <c r="Y44" s="102">
        <f>COUNTIFS(ШТАТ!U:U,"",ШТАТ!AM:AM,"3 МСБ",ШТАТ!AL:AL,B44,ШТАТ!AK:AK,3,ШТАТ!AJ:AJ,"с/с")</f>
        <v>0</v>
      </c>
      <c r="Z44" s="25">
        <f>SUM(AA44:AB44)</f>
        <v>2</v>
      </c>
      <c r="AA44" s="39">
        <f>COUNTIFS(ШТАТ!U:U,"",ШТАТ!AM:AM,"3 МСБ",ШТАТ!AL:AL,B44,ШТАТ!AK:AK,4,ШТАТ!AJ:AJ,"к/с")</f>
        <v>1</v>
      </c>
      <c r="AB44" s="24">
        <f>COUNTIFS(ШТАТ!U:U,"",ШТАТ!AM:AM,"3 МСБ",ШТАТ!AL:AL,B44,ШТАТ!AK:AK,4,ШТАТ!AJ:AJ,"с/с")</f>
        <v>1</v>
      </c>
      <c r="AC44" s="106">
        <f>SUM(AD44:AE44)</f>
        <v>4</v>
      </c>
      <c r="AD44" s="21">
        <f>X44+AA44</f>
        <v>3</v>
      </c>
      <c r="AE44" s="35">
        <f>SUM(Y44,AB44)</f>
        <v>1</v>
      </c>
      <c r="AF44" s="40">
        <f>SUM(U44,V44,AC44)</f>
        <v>4</v>
      </c>
      <c r="AG44" s="24"/>
      <c r="AH44" s="24">
        <f>COUNTIFS(ШТАТ!$AL:$AL,$B44,ШТАТ!$U:$U,"МП")</f>
        <v>0</v>
      </c>
      <c r="AI44" s="24">
        <f>COUNTIFS(ШТАТ!AM:AM,"3 МСБ",ШТАТ!AL:AL,"3 ВО б",ШТАТ!U:U,"осв-ие")</f>
        <v>1</v>
      </c>
      <c r="AJ44" s="38">
        <f>COUNTIFS(ШТАТ!AM:AM,"3 МСБ",ШТАТ!AL:AL,"3 ВО б",ШТАТ!U:U,"госп")</f>
        <v>0</v>
      </c>
      <c r="AK44" s="27">
        <f t="shared" si="55"/>
        <v>17</v>
      </c>
      <c r="AL44" s="24">
        <f>COUNTIFS(ШТАТ!AM:AM,"3 МСБ",ШТАТ!AL:AL,"3 ВО б",ШТАТ!W:W,"Барсуковка")</f>
        <v>0</v>
      </c>
      <c r="AM44" s="24">
        <f>COUNTIFS(ШТАТ!$AL:$AL,$B44,ШТАТ!$W:$W,"Павенково")</f>
        <v>0</v>
      </c>
      <c r="AN44" s="18"/>
      <c r="AO44" s="24">
        <f>COUNTIFS(ШТАТ!AM:AM,"3 МСБ",ШТАТ!AL:AL,"3 ВО б",ШТАТ!W:W,"полигон Чехово")</f>
        <v>0</v>
      </c>
      <c r="AP44" s="24">
        <f>COUNTIFS(ШТАТ!AM:AM,"3 МСБ",ШТАТ!AL:AL,"3 ВО б",ШТАТ!X:X,"Такелажные работы")</f>
        <v>0</v>
      </c>
      <c r="AQ44" s="18">
        <f>COUNTIFS(ШТАТ!AM:AM,"3 МСБ",ШТАТ!AL:AL,"3 ВО б",ШТАТ!X:X,"Усиление объектов")</f>
        <v>5</v>
      </c>
      <c r="AR44" s="34">
        <f>COUNTIFS(ШТАТ!AM:AM,"3 МСБ",ШТАТ!AL:AL,"3 ВО б",ШТАТ!U:U,"полигон")-SUM(AL44:AO44)</f>
        <v>1</v>
      </c>
      <c r="AS44" s="38"/>
      <c r="AT44" s="24">
        <f>COUNTIFS(ШТАТ!AM:AM,"3 МСБ",ШТАТ!AL:AL,"3 ВО б",ШТАТ!X:X,"САР")</f>
        <v>0</v>
      </c>
      <c r="AU44" s="24">
        <f>COUNTIFS(ШТАТ!AM:AM,"3 МСБ",ШТАТ!AL:AL,"3 ВО б",ШТАТ!X:X,"Выполнение специальных задач")</f>
        <v>4</v>
      </c>
      <c r="AV44" s="24">
        <f>COUNTIFS(ШТАТ!AM:AM,"3 МСБ",ШТАТ!AL:AL,"3 ВО б",ШТАТ!X:X,"Переподготовка")</f>
        <v>0</v>
      </c>
      <c r="AW44" s="24">
        <f>COUNTIFS(ШТАТ!AM:AM,"3 МСБ",ШТАТ!AL:AL,"3 ВО б",ШТАТ!X:X,"Усиление объектов")</f>
        <v>5</v>
      </c>
      <c r="AX44" s="38">
        <v>0</v>
      </c>
      <c r="AY44" s="38"/>
      <c r="AZ44" s="24">
        <f>COUNTIFS(ШТАТ!AM:AM,"3 МСБ",ШТАТ!AL:AL,"3 ВО б",ШТАТ!W:W,"г. Белгород")</f>
        <v>5</v>
      </c>
      <c r="BA44" s="24">
        <f>COUNTIFS(ШТАТ!AM:AM,"3 МСБ",ШТАТ!AL:AL,"3 ВО б",ШТАТ!W:W,"в/ч 38838")</f>
        <v>1</v>
      </c>
      <c r="BB44" s="24">
        <f>COUNTIFS(ШТАТ!AM:AM,"3 МСБ",ШТАТ!AL:AL,"3 ВО б",ШТАТ!W:W,"в/ч 90151")</f>
        <v>0</v>
      </c>
      <c r="BC44" s="24"/>
      <c r="BD44" s="26">
        <f>COUNTIFS(ШТАТ!$AL:$AL,$B44,ШТАТ!$U:$U,"ком-ка")-SUM(AS44:BC44)-AP44-AQ44</f>
        <v>-4</v>
      </c>
      <c r="BE44" s="24">
        <f>COUNTIFS(ШТАТ!AM:AM,"3 МСБ",ШТАТ!AL:AL,"3 ВО б",ШТАТ!U:U,"отпуск")</f>
        <v>1</v>
      </c>
      <c r="BF44" s="36"/>
      <c r="BG44" s="24">
        <f>COUNTIFS(ШТАТ!AM:AM,"3 МСБ",ШТАТ!AL:AL,B44,ШТАТ!U:U,"СОЧ")</f>
        <v>0</v>
      </c>
      <c r="BH44" s="28">
        <f t="shared" si="38"/>
        <v>19</v>
      </c>
      <c r="BI44" s="29" t="e">
        <f>#REF!-#REF!</f>
        <v>#REF!</v>
      </c>
      <c r="BJ44" s="19" t="e">
        <f t="shared" si="17"/>
        <v>#REF!</v>
      </c>
    </row>
    <row r="45" spans="1:62" ht="106.5" customHeight="1" thickBot="1" x14ac:dyDescent="0.3">
      <c r="A45" s="50"/>
      <c r="B45" s="41" t="s">
        <v>912</v>
      </c>
      <c r="C45" s="42">
        <f t="shared" ref="C45:S45" si="61">SUM(C35:C44)</f>
        <v>27</v>
      </c>
      <c r="D45" s="42">
        <f t="shared" si="61"/>
        <v>12</v>
      </c>
      <c r="E45" s="42">
        <f t="shared" si="61"/>
        <v>55</v>
      </c>
      <c r="F45" s="42">
        <f t="shared" si="61"/>
        <v>328</v>
      </c>
      <c r="G45" s="43">
        <f t="shared" si="61"/>
        <v>422</v>
      </c>
      <c r="H45" s="43">
        <f t="shared" si="61"/>
        <v>25</v>
      </c>
      <c r="I45" s="43">
        <f t="shared" si="61"/>
        <v>8</v>
      </c>
      <c r="J45" s="43">
        <f t="shared" si="61"/>
        <v>40</v>
      </c>
      <c r="K45" s="43">
        <f t="shared" si="61"/>
        <v>40</v>
      </c>
      <c r="L45" s="43">
        <f t="shared" si="61"/>
        <v>0</v>
      </c>
      <c r="M45" s="43">
        <f t="shared" si="61"/>
        <v>295</v>
      </c>
      <c r="N45" s="43">
        <f t="shared" si="61"/>
        <v>171</v>
      </c>
      <c r="O45" s="43">
        <f t="shared" si="61"/>
        <v>124</v>
      </c>
      <c r="P45" s="43">
        <f t="shared" si="61"/>
        <v>335</v>
      </c>
      <c r="Q45" s="43">
        <f t="shared" si="61"/>
        <v>211</v>
      </c>
      <c r="R45" s="43">
        <f t="shared" si="61"/>
        <v>124</v>
      </c>
      <c r="S45" s="43">
        <f t="shared" si="61"/>
        <v>368</v>
      </c>
      <c r="T45" s="44">
        <f t="shared" si="59"/>
        <v>0.87203791469194314</v>
      </c>
      <c r="U45" s="45">
        <f>SUM(U35:U44)</f>
        <v>12</v>
      </c>
      <c r="V45" s="45">
        <f t="shared" ref="V45:AD45" si="62">SUM(V35:V44)</f>
        <v>2</v>
      </c>
      <c r="W45" s="45">
        <f t="shared" si="62"/>
        <v>10</v>
      </c>
      <c r="X45" s="45">
        <f t="shared" si="62"/>
        <v>10</v>
      </c>
      <c r="Y45" s="45">
        <f t="shared" si="62"/>
        <v>0</v>
      </c>
      <c r="Z45" s="45">
        <f t="shared" si="62"/>
        <v>82</v>
      </c>
      <c r="AA45" s="45">
        <f t="shared" si="62"/>
        <v>35</v>
      </c>
      <c r="AB45" s="45">
        <f t="shared" si="62"/>
        <v>47</v>
      </c>
      <c r="AC45" s="45">
        <f t="shared" si="62"/>
        <v>92</v>
      </c>
      <c r="AD45" s="45">
        <f t="shared" si="62"/>
        <v>45</v>
      </c>
      <c r="AE45" s="45">
        <f>SUM(AE35:AE44)</f>
        <v>47</v>
      </c>
      <c r="AF45" s="105">
        <f>SUM(AF35:AF44)</f>
        <v>106</v>
      </c>
      <c r="AG45" s="45">
        <f>SUM(AG36:AG44)</f>
        <v>0</v>
      </c>
      <c r="AH45" s="45">
        <f>SUM(AH36:AH44)</f>
        <v>1</v>
      </c>
      <c r="AI45" s="45">
        <f>SUM(AI36:AI44)</f>
        <v>4</v>
      </c>
      <c r="AJ45" s="45">
        <f>SUM(AJ36:AJ44)</f>
        <v>9</v>
      </c>
      <c r="AK45" s="45">
        <f>SUM(AK36:AK44)</f>
        <v>209</v>
      </c>
      <c r="AL45" s="45">
        <f t="shared" ref="AL45:AT45" si="63">SUM(AL35:AL44)</f>
        <v>0</v>
      </c>
      <c r="AM45" s="45">
        <f t="shared" si="63"/>
        <v>0</v>
      </c>
      <c r="AN45" s="45">
        <f t="shared" si="63"/>
        <v>0</v>
      </c>
      <c r="AO45" s="45">
        <f t="shared" si="63"/>
        <v>0</v>
      </c>
      <c r="AP45" s="45">
        <f t="shared" si="63"/>
        <v>0</v>
      </c>
      <c r="AQ45" s="45">
        <f t="shared" si="63"/>
        <v>23</v>
      </c>
      <c r="AR45" s="45">
        <f t="shared" si="63"/>
        <v>2</v>
      </c>
      <c r="AS45" s="45">
        <f t="shared" si="63"/>
        <v>0</v>
      </c>
      <c r="AT45" s="45">
        <f t="shared" si="63"/>
        <v>2</v>
      </c>
      <c r="AU45" s="45">
        <f t="shared" ref="AU45:BI45" si="64">SUM(AU35:AU44)</f>
        <v>39</v>
      </c>
      <c r="AV45" s="45">
        <f t="shared" si="64"/>
        <v>0</v>
      </c>
      <c r="AW45" s="45">
        <f t="shared" si="64"/>
        <v>23</v>
      </c>
      <c r="AX45" s="45">
        <f t="shared" si="64"/>
        <v>0</v>
      </c>
      <c r="AY45" s="45">
        <f t="shared" si="64"/>
        <v>0</v>
      </c>
      <c r="AZ45" s="45">
        <f t="shared" si="64"/>
        <v>62</v>
      </c>
      <c r="BA45" s="45">
        <f t="shared" si="64"/>
        <v>1</v>
      </c>
      <c r="BB45" s="45">
        <f>SUM(BB35:BB44)</f>
        <v>3</v>
      </c>
      <c r="BC45" s="45">
        <f>SUM(BC35:BC44)</f>
        <v>0</v>
      </c>
      <c r="BD45" s="105">
        <f>SUM(BD35:BD44)</f>
        <v>54</v>
      </c>
      <c r="BE45" s="45">
        <f t="shared" si="64"/>
        <v>5</v>
      </c>
      <c r="BF45" s="45">
        <f t="shared" si="64"/>
        <v>0</v>
      </c>
      <c r="BG45" s="45">
        <f t="shared" si="64"/>
        <v>32</v>
      </c>
      <c r="BH45" s="105">
        <f>SUM(BH35:BH44)</f>
        <v>260</v>
      </c>
      <c r="BI45" s="45" t="e">
        <f t="shared" si="64"/>
        <v>#REF!</v>
      </c>
      <c r="BJ45" s="105" t="e">
        <f>SUM(BJ35:BJ44)</f>
        <v>#REF!</v>
      </c>
    </row>
    <row r="46" spans="1:62" ht="71.25" customHeight="1" thickBot="1" x14ac:dyDescent="0.3">
      <c r="A46" s="50"/>
      <c r="B46" s="31" t="s">
        <v>507</v>
      </c>
      <c r="C46" s="51">
        <f>COUNTIFS(ШТАТ!AM:AM,"ТБ",ШТАТ!AL:AL,"Упр. ТБ",ШТАТ!AK:AK,1)</f>
        <v>4</v>
      </c>
      <c r="D46" s="52">
        <f>COUNTIFS(ШТАТ!AM:AM,"ТБ",ШТАТ!AL:AL,"Упр. ТБ",ШТАТ!AK:AK,2)</f>
        <v>0</v>
      </c>
      <c r="E46" s="51">
        <f>COUNTIFS(ШТАТ!AM:AM,"ТБ",ШТАТ!AL:AL,"Упр. ТБ",ШТАТ!AK:AK,3)</f>
        <v>1</v>
      </c>
      <c r="F46" s="52">
        <f>COUNTIFS(ШТАТ!AM:AM,"ТБ",ШТАТ!AL:AL,"Упр. ТБ",ШТАТ!AK:AK,4)</f>
        <v>0</v>
      </c>
      <c r="G46" s="19">
        <f t="shared" ref="G46:G52" si="65">SUM(C46:F46)</f>
        <v>5</v>
      </c>
      <c r="H46" s="52">
        <f>COUNTIFS(ШТАТ!AM:AM,"ТБ",ШТАТ!AL:AL,"Упр. ТБ",ШТАТ!AJ:AJ,"о")</f>
        <v>4</v>
      </c>
      <c r="I46" s="51">
        <f>COUNTIFS(ШТАТ!AM:AM,"ТБ",ШТАТ!AL:AL,"Упр. ТБ",ШТАТ!AJ:AJ,"п")</f>
        <v>0</v>
      </c>
      <c r="J46" s="93">
        <f t="shared" ref="J46:J52" si="66">SUM(K46:L46)</f>
        <v>1</v>
      </c>
      <c r="K46" s="51">
        <f>COUNTIFS(ШТАТ!AM:AM,"ТБ",ШТАТ!AL:AL,"Упр. ТБ",ШТАТ!AK:AK,3,ШТАТ!AJ:AJ,"к/с")</f>
        <v>1</v>
      </c>
      <c r="L46" s="51">
        <v>0</v>
      </c>
      <c r="M46" s="52">
        <f>N46+O46</f>
        <v>0</v>
      </c>
      <c r="N46" s="52">
        <f>COUNTIFS(ШТАТ!AM:AM,"ТБ",ШТАТ!AL:AL,"Упр. ТБ",ШТАТ!AK:AK,4,ШТАТ!AJ:AJ,"к/с")</f>
        <v>0</v>
      </c>
      <c r="O46" s="52">
        <f>COUNTIFS(ШТАТ!AM:AM,"ТБ",ШТАТ!AL:AL,"Упр. ТБ",ШТАТ!AK:AK,4,ШТАТ!AJ:AJ,"с/с")</f>
        <v>0</v>
      </c>
      <c r="P46" s="19">
        <f>SUM(Q46:R46)</f>
        <v>1</v>
      </c>
      <c r="Q46" s="22">
        <f>K46+N46</f>
        <v>1</v>
      </c>
      <c r="R46" s="21">
        <f>L46+O46</f>
        <v>0</v>
      </c>
      <c r="S46" s="53">
        <f t="shared" ref="S46:S52" si="67">SUM(H46:J46,M46)</f>
        <v>5</v>
      </c>
      <c r="T46" s="54">
        <f t="shared" si="59"/>
        <v>1</v>
      </c>
      <c r="U46" s="55">
        <f>COUNTIFS(ШТАТ!U:U,"",ШТАТ!AM:AM,"ТБ",ШТАТ!AL:AL,"Упр. ТБ",ШТАТ!AJ:AJ,"о")</f>
        <v>0</v>
      </c>
      <c r="V46" s="56">
        <f>COUNTIFS(ШТАТ!U:U,"",ШТАТ!AM:AM,"ТБ",ШТАТ!AL:AL,"Упр. ТБ",ШТАТ!AJ:AJ,"п")</f>
        <v>0</v>
      </c>
      <c r="W46" s="103">
        <f t="shared" si="60"/>
        <v>0</v>
      </c>
      <c r="X46" s="55">
        <f>COUNTIFS(ШТАТ!U:U,"",ШТАТ!AM:AM,"ТБ",ШТАТ!AL:AL,"Упр. ТБ",ШТАТ!AK:AK,3,ШТАТ!AJ:AJ,"к/с")</f>
        <v>0</v>
      </c>
      <c r="Y46" s="55">
        <v>0</v>
      </c>
      <c r="Z46" s="103">
        <f>SUM(AA46:AB46)</f>
        <v>0</v>
      </c>
      <c r="AA46" s="55">
        <f>COUNTIFS(ШТАТ!U:U,"",ШТАТ!AM:AM,"ТБ",ШТАТ!AL:AL,"Упр. ТБ",ШТАТ!AK:AK,4,ШТАТ!AJ:AJ,"к/с")</f>
        <v>0</v>
      </c>
      <c r="AB46" s="55">
        <f>COUNTIFS(ШТАТ!U:U,"",ШТАТ!AM:AM,"ТБ",ШТАТ!AL:AL,"Упр. ТБ",ШТАТ!AK:AK,4,ШТАТ!AJ:AJ,"с/с")</f>
        <v>0</v>
      </c>
      <c r="AC46" s="106">
        <f>SUM(AD46:AE46)</f>
        <v>0</v>
      </c>
      <c r="AD46" s="21">
        <f>X46+AA46</f>
        <v>0</v>
      </c>
      <c r="AE46" s="35">
        <f t="shared" si="58"/>
        <v>0</v>
      </c>
      <c r="AF46" s="19">
        <f t="shared" ref="AF46:AF61" si="68">SUM(U46,V46,AC46)</f>
        <v>0</v>
      </c>
      <c r="AG46" s="55"/>
      <c r="AH46" s="24">
        <f>COUNTIFS(ШТАТ!$AL:$AL,$B46,ШТАТ!$U:$U,"МП")</f>
        <v>0</v>
      </c>
      <c r="AI46" s="55">
        <f>COUNTIFS(ШТАТ!AM:AM,"ТБ",ШТАТ!AL:AL,"Упр. ТБ",ШТАТ!U:U,"осв-ие")</f>
        <v>0</v>
      </c>
      <c r="AJ46" s="55">
        <f>COUNTIFS(ШТАТ!AM:AM,"ТБ",ШТАТ!AL:AL,"Упр. ТБ",ШТАТ!U:U,"госп")</f>
        <v>0</v>
      </c>
      <c r="AK46" s="27">
        <f t="shared" ref="AK46:AK51" si="69">SUM(AL46:BD46)</f>
        <v>5</v>
      </c>
      <c r="AL46" s="55">
        <f>COUNTIFS(ШТАТ!AM:AM,"ТБ",ШТАТ!AL:AL,"Упр. ТБ",ШТАТ!W:W,"Барсуковка")</f>
        <v>0</v>
      </c>
      <c r="AM46" s="24">
        <f>COUNTIFS(ШТАТ!$AL:$AL,$B46,ШТАТ!$W:$W,"Павенково")</f>
        <v>0</v>
      </c>
      <c r="AN46" s="55"/>
      <c r="AO46" s="55">
        <f>COUNTIFS(ШТАТ!AM:AM,"ТБ",ШТАТ!AL:AL,"Упр. ТБ",ШТАТ!W:W,"полигон Чехово")</f>
        <v>0</v>
      </c>
      <c r="AP46" s="55">
        <f>COUNTIFS(ШТАТ!AM:AM,"ТБ",ШТАТ!AL:AL,"Упр. ТБ",ШТАТ!X:X,"Такелажные работы")</f>
        <v>0</v>
      </c>
      <c r="AQ46" s="55">
        <f>COUNTIFS(ШТАТ!AM:AM,"ТБ",ШТАТ!AL:AL,"Упр. ТБ",ШТАТ!X:X,"Усиление объектов")</f>
        <v>0</v>
      </c>
      <c r="AR46" s="55">
        <f>COUNTIFS(ШТАТ!AM:AM,"ТБ",ШТАТ!AL:AL,"Упр. ТБ",ШТАТ!U:U,"полигон")-SUM(AL46:AO46)</f>
        <v>1</v>
      </c>
      <c r="AS46" s="55"/>
      <c r="AT46" s="55">
        <f>COUNTIFS(ШТАТ!AM:AM,"ТБ",ШТАТ!AL:AL,"Упр. ТБ",ШТАТ!X:X,"САР")</f>
        <v>0</v>
      </c>
      <c r="AU46" s="55">
        <f>COUNTIFS(ШТАТ!AM:AM,"ТБ",ШТАТ!AL:AL,"Упр. ТБ",ШТАТ!X:X,"Выполнение специальных задач")</f>
        <v>4</v>
      </c>
      <c r="AV46" s="55">
        <f>COUNTIFS(ШТАТ!AM:AM,"ТБ",ШТАТ!AL:AL,"Упр. ТБ",ШТАТ!X:X,"Переподготовка")</f>
        <v>0</v>
      </c>
      <c r="AW46" s="55">
        <f>COUNTIFS(ШТАТ!AM:AM,"ТБ",ШТАТ!AL:AL,"Упр. ТБ",ШТАТ!X:X,"Усиление объектов")</f>
        <v>0</v>
      </c>
      <c r="AX46" s="55"/>
      <c r="AY46" s="55"/>
      <c r="AZ46" s="55">
        <f>COUNTIFS(ШТАТ!AM:AM,"ТБ",ШТАТ!AL:AL,"Упр. ТБ",ШТАТ!W:W,"г. Белгород")</f>
        <v>0</v>
      </c>
      <c r="BA46" s="55">
        <f>COUNTIFS(ШТАТ!AM:AM,"ТБ",ШТАТ!AL:AL,"Упр. ТБ",ШТАТ!W:W,"в/ч 38838")</f>
        <v>0</v>
      </c>
      <c r="BB46" s="55">
        <f>COUNTIFS(ШТАТ!AM:AM,"ТБ",ШТАТ!AL:AL,"Упр. ТБ",ШТАТ!W:W,"в/ч 90151")</f>
        <v>0</v>
      </c>
      <c r="BC46" s="55"/>
      <c r="BD46" s="26">
        <f>COUNTIFS(ШТАТ!$AL:$AL,$B46,ШТАТ!$U:$U,"ком-ка")-SUM(AS46:BC46)-AP46-AQ46</f>
        <v>0</v>
      </c>
      <c r="BE46" s="55">
        <f>COUNTIFS(ШТАТ!AM:AM,"ТБ",ШТАТ!AL:AL,"Упр. ТБ",ШТАТ!U:U,"отпуск")</f>
        <v>0</v>
      </c>
      <c r="BF46" s="55"/>
      <c r="BG46" s="55">
        <f>COUNTIFS(ШТАТ!AM:AM,"ТБ",ШТАТ!AL:AL,B46,ШТАТ!U:U,"СОЧ")</f>
        <v>0</v>
      </c>
      <c r="BH46" s="28">
        <f t="shared" si="38"/>
        <v>5</v>
      </c>
      <c r="BI46" s="29" t="e">
        <f>#REF!-#REF!</f>
        <v>#REF!</v>
      </c>
      <c r="BJ46" s="19" t="e">
        <f t="shared" si="17"/>
        <v>#REF!</v>
      </c>
    </row>
    <row r="47" spans="1:62" ht="71.25" customHeight="1" thickBot="1" x14ac:dyDescent="0.3">
      <c r="A47" s="50"/>
      <c r="B47" s="57" t="s">
        <v>514</v>
      </c>
      <c r="C47" s="51">
        <f>COUNTIFS(ШТАТ!AM:AM,"ТБ",ШТАТ!AL:AL,"1 ТР",ШТАТ!AK:AK,1)</f>
        <v>5</v>
      </c>
      <c r="D47" s="52">
        <f>COUNTIFS(ШТАТ!AM:AM,"ТБ",ШТАТ!AL:AL,"1 ТР",ШТАТ!AK:AK,2)</f>
        <v>1</v>
      </c>
      <c r="E47" s="51">
        <f>COUNTIFS(ШТАТ!AM:AM,"ТБ",ШТАТ!AL:AL,"1 ТР",ШТАТ!AK:AK,3)</f>
        <v>7</v>
      </c>
      <c r="F47" s="52">
        <f>COUNTIFS(ШТАТ!AM:AM,"ТБ",ШТАТ!AL:AL,"1 ТР",ШТАТ!AK:AK,4)</f>
        <v>20</v>
      </c>
      <c r="G47" s="19">
        <f t="shared" si="65"/>
        <v>33</v>
      </c>
      <c r="H47" s="52">
        <f>COUNTIFS(ШТАТ!AM:AM,"ТБ",ШТАТ!AL:AL,"1 ТР",ШТАТ!AJ:AJ,"о")</f>
        <v>4</v>
      </c>
      <c r="I47" s="51">
        <f>COUNTIFS(ШТАТ!AM:AM,"ТБ",ШТАТ!AL:AL,"1 ТР",ШТАТ!AJ:AJ,"п")</f>
        <v>1</v>
      </c>
      <c r="J47" s="19">
        <f t="shared" si="66"/>
        <v>6</v>
      </c>
      <c r="K47" s="51">
        <f>COUNTIFS(ШТАТ!AM:AM,"ТБ",ШТАТ!AL:AL,"1 ТР",ШТАТ!AK:AK,3,ШТАТ!AJ:AJ,"к/с")</f>
        <v>6</v>
      </c>
      <c r="L47" s="51">
        <v>0</v>
      </c>
      <c r="M47" s="52">
        <f t="shared" ref="M47:M52" si="70">N47+O47</f>
        <v>15</v>
      </c>
      <c r="N47" s="52">
        <f>COUNTIFS(ШТАТ!AM:AM,"ТБ",ШТАТ!AL:AL,"1 ТР",ШТАТ!AK:AK,4,ШТАТ!AJ:AJ,"к/с")</f>
        <v>15</v>
      </c>
      <c r="O47" s="52">
        <f>COUNTIFS(ШТАТ!AM:AM,"ТБ",ШТАТ!AL:AL,"1 ТР",ШТАТ!AK:AK,4,ШТАТ!AJ:AJ,"с/с")</f>
        <v>0</v>
      </c>
      <c r="P47" s="19">
        <f t="shared" ref="P47:P52" si="71">SUM(Q47:R47)</f>
        <v>21</v>
      </c>
      <c r="Q47" s="22">
        <f t="shared" ref="Q47:Q52" si="72">K47+N47</f>
        <v>21</v>
      </c>
      <c r="R47" s="21">
        <f t="shared" ref="R47:R52" si="73">L47+O47</f>
        <v>0</v>
      </c>
      <c r="S47" s="53">
        <f t="shared" si="67"/>
        <v>26</v>
      </c>
      <c r="T47" s="54">
        <f t="shared" si="59"/>
        <v>0.78787878787878785</v>
      </c>
      <c r="U47" s="55">
        <f>COUNTIFS(ШТАТ!U:U,"",ШТАТ!AM:AM,"ТБ",ШТАТ!AL:AL,"1 ТР",ШТАТ!AJ:AJ,"о")</f>
        <v>1</v>
      </c>
      <c r="V47" s="56">
        <f>COUNTIFS(ШТАТ!U:U,"",ШТАТ!AM:AM,"ТБ",ШТАТ!AL:AL,"1 ТР",ШТАТ!AJ:AJ,"п")</f>
        <v>0</v>
      </c>
      <c r="W47" s="103">
        <f t="shared" si="60"/>
        <v>1</v>
      </c>
      <c r="X47" s="55">
        <f>COUNTIFS(ШТАТ!U:U,"",ШТАТ!AM:AM,"ТБ",ШТАТ!AL:AL,"1 ТР",ШТАТ!AK:AK,3,ШТАТ!AJ:AJ,"к/с")</f>
        <v>1</v>
      </c>
      <c r="Y47" s="55">
        <v>0</v>
      </c>
      <c r="Z47" s="25">
        <f t="shared" ref="Z47:Z52" si="74">SUM(AA47:AB47)</f>
        <v>0</v>
      </c>
      <c r="AA47" s="55">
        <f>COUNTIFS(ШТАТ!U:U,"",ШТАТ!AM:AM,"ТБ",ШТАТ!AL:AL,"1 ТР",ШТАТ!AK:AK,4,ШТАТ!AJ:AJ,"к/с")</f>
        <v>0</v>
      </c>
      <c r="AB47" s="55">
        <f>COUNTIFS(ШТАТ!U:U,"",ШТАТ!AM:AM,"ТБ",ШТАТ!AL:AL,"1 ТР",ШТАТ!AK:AK,4,ШТАТ!AJ:AJ,"с/с")</f>
        <v>0</v>
      </c>
      <c r="AC47" s="106">
        <f t="shared" ref="AC47:AC52" si="75">SUM(AD47:AE47)</f>
        <v>1</v>
      </c>
      <c r="AD47" s="21">
        <f t="shared" ref="AD47:AD52" si="76">X47+AA47</f>
        <v>1</v>
      </c>
      <c r="AE47" s="35">
        <f t="shared" si="58"/>
        <v>0</v>
      </c>
      <c r="AF47" s="19">
        <f t="shared" si="68"/>
        <v>2</v>
      </c>
      <c r="AG47" s="55"/>
      <c r="AH47" s="24">
        <f>COUNTIFS(ШТАТ!$AL:$AL,$B47,ШТАТ!$U:$U,"МП")</f>
        <v>0</v>
      </c>
      <c r="AI47" s="55">
        <f>COUNTIFS(ШТАТ!AM:AM,"ТБ",ШТАТ!AL:AL,"1 ТР",ШТАТ!U:U,"осв-ие")</f>
        <v>0</v>
      </c>
      <c r="AJ47" s="55">
        <f>COUNTIFS(ШТАТ!AM:AM,"ТБ",ШТАТ!AL:AL,"1 ТР",ШТАТ!U:U,"госп")</f>
        <v>0</v>
      </c>
      <c r="AK47" s="27">
        <f t="shared" si="69"/>
        <v>23</v>
      </c>
      <c r="AL47" s="55">
        <f>COUNTIFS(ШТАТ!AM:AM,"ТБ",ШТАТ!AL:AL,"1 ТР",ШТАТ!W:W,"Барсуковка")</f>
        <v>0</v>
      </c>
      <c r="AM47" s="24">
        <f>COUNTIFS(ШТАТ!$AL:$AL,$B47,ШТАТ!$W:$W,"Павенково")</f>
        <v>0</v>
      </c>
      <c r="AN47" s="55"/>
      <c r="AO47" s="55">
        <f>COUNTIFS(ШТАТ!AM:AM,"ТБ",ШТАТ!AL:AL,"1 ТР",ШТАТ!W:W,"полигон Чехово")</f>
        <v>0</v>
      </c>
      <c r="AP47" s="55">
        <f>COUNTIFS(ШТАТ!AM:AM,"ТБ",ШТАТ!AL:AL,"1 ТР",ШТАТ!X:X,"Такелажные работы")</f>
        <v>0</v>
      </c>
      <c r="AQ47" s="55">
        <f>COUNTIFS(ШТАТ!AM:AM,"ТБ",ШТАТ!AL:AL,"1 ТР",ШТАТ!X:X,"Усиление объектов")</f>
        <v>0</v>
      </c>
      <c r="AR47" s="55">
        <f>COUNTIFS(ШТАТ!AM:AM,"ТБ",ШТАТ!AL:AL,"1 ТР",ШТАТ!U:U,"полигон")-SUM(AL47:AO47)</f>
        <v>0</v>
      </c>
      <c r="AS47" s="55"/>
      <c r="AT47" s="55">
        <f>COUNTIFS(ШТАТ!AM:AM,"ТБ",ШТАТ!AL:AL,"1 ТР",ШТАТ!X:X,"САР")</f>
        <v>0</v>
      </c>
      <c r="AU47" s="55">
        <f>COUNTIFS(ШТАТ!AM:AM,"ТБ",ШТАТ!AL:AL,"1 ТР",ШТАТ!X:X,"Выполнение специальных задач")</f>
        <v>1</v>
      </c>
      <c r="AV47" s="55">
        <f>COUNTIFS(ШТАТ!AM:AM,"ТБ",ШТАТ!AL:AL,"1 ТР",ШТАТ!X:X,"Переподготовка")</f>
        <v>0</v>
      </c>
      <c r="AW47" s="55">
        <f>COUNTIFS(ШТАТ!AM:AM,"ТБ",ШТАТ!AL:AL,"1 ТР",ШТАТ!X:X,"Усиление объектов")</f>
        <v>0</v>
      </c>
      <c r="AX47" s="55"/>
      <c r="AY47" s="55"/>
      <c r="AZ47" s="55">
        <f>COUNTIFS(ШТАТ!AM:AM,"ТБ",ШТАТ!AL:AL,"1 ТР",ШТАТ!W:W,"г. Белгород")</f>
        <v>20</v>
      </c>
      <c r="BA47" s="55">
        <f>COUNTIFS(ШТАТ!AM:AM,"ТБ",ШТАТ!AL:AL,"1 ТР",ШТАТ!W:W,"в/ч 38838")</f>
        <v>0</v>
      </c>
      <c r="BB47" s="55">
        <f>COUNTIFS(ШТАТ!AM:AM,"ТБ",ШТАТ!AL:AL,"1 ТР",ШТАТ!W:W,"в/ч 90151")</f>
        <v>0</v>
      </c>
      <c r="BC47" s="55"/>
      <c r="BD47" s="26">
        <f>COUNTIFS(ШТАТ!$AL:$AL,$B47,ШТАТ!$U:$U,"ком-ка")-SUM(AS47:BC47)-AP47-AQ47</f>
        <v>2</v>
      </c>
      <c r="BE47" s="55">
        <f>COUNTIFS(ШТАТ!AM:AM,"ТБ",ШТАТ!AL:AL,"1 ТР",ШТАТ!U:U,"отпуск")</f>
        <v>0</v>
      </c>
      <c r="BF47" s="55"/>
      <c r="BG47" s="55">
        <f>COUNTIFS(ШТАТ!AM:AM,"ТБ",ШТАТ!AL:AL,B47,ШТАТ!U:U,"СОЧ")</f>
        <v>1</v>
      </c>
      <c r="BH47" s="28">
        <f t="shared" si="38"/>
        <v>24</v>
      </c>
      <c r="BI47" s="29" t="e">
        <f>#REF!-#REF!</f>
        <v>#REF!</v>
      </c>
      <c r="BJ47" s="19" t="e">
        <f t="shared" si="17"/>
        <v>#REF!</v>
      </c>
    </row>
    <row r="48" spans="1:62" ht="71.25" customHeight="1" thickBot="1" x14ac:dyDescent="0.3">
      <c r="A48" s="50"/>
      <c r="B48" s="57" t="s">
        <v>532</v>
      </c>
      <c r="C48" s="51">
        <f>COUNTIFS(ШТАТ!AM:AM,"ТБ",ШТАТ!AL:AL,"2 ТР",ШТАТ!AK:AK,1)</f>
        <v>5</v>
      </c>
      <c r="D48" s="52">
        <f>COUNTIFS(ШТАТ!AM:AM,"ТБ",ШТАТ!AL:AL,"2 ТР",ШТАТ!AK:AK,2)</f>
        <v>1</v>
      </c>
      <c r="E48" s="51">
        <f>COUNTIFS(ШТАТ!AM:AM,"ТБ",ШТАТ!AL:AL,"2 ТР",ШТАТ!AK:AK,3)</f>
        <v>7</v>
      </c>
      <c r="F48" s="52">
        <f>COUNTIFS(ШТАТ!AM:AM,"ТБ",ШТАТ!AL:AL,"2 ТР",ШТАТ!AK:AK,4)</f>
        <v>20</v>
      </c>
      <c r="G48" s="19">
        <f t="shared" si="65"/>
        <v>33</v>
      </c>
      <c r="H48" s="52">
        <f>COUNTIFS(ШТАТ!AM:AM,"ТБ",ШТАТ!AL:AL,"2 ТР",ШТАТ!AJ:AJ,"о")</f>
        <v>5</v>
      </c>
      <c r="I48" s="51">
        <f>COUNTIFS(ШТАТ!AM:AM,"ТБ",ШТАТ!AL:AL,"2 ТР",ШТАТ!AJ:AJ,"п")</f>
        <v>1</v>
      </c>
      <c r="J48" s="19">
        <f t="shared" si="66"/>
        <v>5</v>
      </c>
      <c r="K48" s="51">
        <f>COUNTIFS(ШТАТ!AM:AM,"ТБ",ШТАТ!AL:AL,"2 ТР",ШТАТ!AK:AK,3,ШТАТ!AJ:AJ,"к/с")</f>
        <v>5</v>
      </c>
      <c r="L48" s="51">
        <v>0</v>
      </c>
      <c r="M48" s="52">
        <f t="shared" si="70"/>
        <v>20</v>
      </c>
      <c r="N48" s="52">
        <f>COUNTIFS(ШТАТ!AM:AM,"ТБ",ШТАТ!AL:AL,"2 ТР",ШТАТ!AK:AK,4,ШТАТ!AJ:AJ,"к/с")</f>
        <v>20</v>
      </c>
      <c r="O48" s="52">
        <f>COUNTIFS(ШТАТ!AM:AM,"ТБ",ШТАТ!AL:AL,"2 ТР",ШТАТ!AK:AK,4,ШТАТ!AJ:AJ,"с/с")</f>
        <v>0</v>
      </c>
      <c r="P48" s="19">
        <f t="shared" si="71"/>
        <v>25</v>
      </c>
      <c r="Q48" s="22">
        <f t="shared" si="72"/>
        <v>25</v>
      </c>
      <c r="R48" s="21">
        <f t="shared" si="73"/>
        <v>0</v>
      </c>
      <c r="S48" s="53">
        <f t="shared" si="67"/>
        <v>31</v>
      </c>
      <c r="T48" s="54">
        <f t="shared" si="59"/>
        <v>0.93939393939393945</v>
      </c>
      <c r="U48" s="55">
        <f>COUNTIFS(ШТАТ!U:U,"",ШТАТ!AM:AM,"ТБ",ШТАТ!AL:AL,"2 ТР",ШТАТ!AJ:AJ,"о")</f>
        <v>0</v>
      </c>
      <c r="V48" s="56">
        <f>COUNTIFS(ШТАТ!U:U,"",ШТАТ!AM:AM,"ТБ",ШТАТ!AL:AL,"2 ТР",ШТАТ!AJ:AJ,"п")</f>
        <v>0</v>
      </c>
      <c r="W48" s="103">
        <f t="shared" si="60"/>
        <v>0</v>
      </c>
      <c r="X48" s="55">
        <f>COUNTIFS(ШТАТ!U:U,"",ШТАТ!AM:AM,"ТБ",ШТАТ!AL:AL,"2 ТР",ШТАТ!AK:AK,3,ШТАТ!AJ:AJ,"к/с")</f>
        <v>0</v>
      </c>
      <c r="Y48" s="55">
        <v>0</v>
      </c>
      <c r="Z48" s="25">
        <f t="shared" si="74"/>
        <v>1</v>
      </c>
      <c r="AA48" s="55">
        <f>COUNTIFS(ШТАТ!U:U,"",ШТАТ!AM:AM,"ТБ",ШТАТ!AL:AL,"2 ТР",ШТАТ!AK:AK,4,ШТАТ!AJ:AJ,"к/с")</f>
        <v>1</v>
      </c>
      <c r="AB48" s="55">
        <f>COUNTIFS(ШТАТ!U:U,"",ШТАТ!AM:AM,"ТБ",ШТАТ!AL:AL,"2 ТР",ШТАТ!AK:AK,4,ШТАТ!AJ:AJ,"с/с")</f>
        <v>0</v>
      </c>
      <c r="AC48" s="106">
        <f t="shared" si="75"/>
        <v>1</v>
      </c>
      <c r="AD48" s="21">
        <f t="shared" si="76"/>
        <v>1</v>
      </c>
      <c r="AE48" s="35">
        <f t="shared" si="58"/>
        <v>0</v>
      </c>
      <c r="AF48" s="19">
        <f t="shared" si="68"/>
        <v>1</v>
      </c>
      <c r="AG48" s="55"/>
      <c r="AH48" s="24">
        <f>COUNTIFS(ШТАТ!$AL:$AL,$B48,ШТАТ!$U:$U,"МП")</f>
        <v>0</v>
      </c>
      <c r="AI48" s="55">
        <f>COUNTIFS(ШТАТ!AM:AM,"ТБ",ШТАТ!AL:AL,"2 ТР",ШТАТ!U:U,"осв-ие")</f>
        <v>0</v>
      </c>
      <c r="AJ48" s="55">
        <f>COUNTIFS(ШТАТ!AM:AM,"ТБ",ШТАТ!AL:AL,"2 ТР",ШТАТ!U:U,"госп")</f>
        <v>0</v>
      </c>
      <c r="AK48" s="27">
        <f t="shared" si="69"/>
        <v>30</v>
      </c>
      <c r="AL48" s="55">
        <f>COUNTIFS(ШТАТ!AM:AM,"ТБ",ШТАТ!AL:AL,"2 ТР",ШТАТ!W:W,"Барсуковка")</f>
        <v>0</v>
      </c>
      <c r="AM48" s="24">
        <f>COUNTIFS(ШТАТ!$AL:$AL,$B48,ШТАТ!$W:$W,"Павенково")</f>
        <v>0</v>
      </c>
      <c r="AN48" s="55"/>
      <c r="AO48" s="55">
        <f>COUNTIFS(ШТАТ!AM:AM,"ТБ",ШТАТ!AL:AL,"2 ТР",ШТАТ!W:W,"полигон Чехово")</f>
        <v>0</v>
      </c>
      <c r="AP48" s="55">
        <f>COUNTIFS(ШТАТ!AM:AM,"ТБ",ШТАТ!AL:AL,"2 ТР",ШТАТ!X:X,"Такелажные работы")</f>
        <v>0</v>
      </c>
      <c r="AQ48" s="55">
        <f>COUNTIFS(ШТАТ!AM:AM,"ТБ",ШТАТ!AL:AL,"2 ТР",ШТАТ!X:X,"Усиление объектов")</f>
        <v>0</v>
      </c>
      <c r="AR48" s="55">
        <f>COUNTIFS(ШТАТ!AM:AM,"ТБ",ШТАТ!AL:AL,"2 ТР",ШТАТ!U:U,"полигон")-SUM(AL48:AO48)</f>
        <v>0</v>
      </c>
      <c r="AS48" s="55"/>
      <c r="AT48" s="55">
        <f>COUNTIFS(ШТАТ!AM:AM,"ТБ",ШТАТ!AL:AL,"2 ТР",ШТАТ!X:X,"САР")</f>
        <v>0</v>
      </c>
      <c r="AU48" s="55">
        <f>COUNTIFS(ШТАТ!AM:AM,"ТБ",ШТАТ!AL:AL,"2 ТР",ШТАТ!X:X,"Выполнение специальных задач")</f>
        <v>27</v>
      </c>
      <c r="AV48" s="55">
        <f>COUNTIFS(ШТАТ!AM:AM,"ТБ",ШТАТ!AL:AL,"2 ТР",ШТАТ!X:X,"Переподготовка")</f>
        <v>0</v>
      </c>
      <c r="AW48" s="55">
        <f>COUNTIFS(ШТАТ!AM:AM,"ТБ",ШТАТ!AL:AL,"2 ТР",ШТАТ!X:X,"Усиление объектов")</f>
        <v>0</v>
      </c>
      <c r="AX48" s="55"/>
      <c r="AY48" s="55"/>
      <c r="AZ48" s="55">
        <f>COUNTIFS(ШТАТ!AM:AM,"ТБ",ШТАТ!AL:AL,"2 ТР",ШТАТ!W:W,"г. Белгород")</f>
        <v>3</v>
      </c>
      <c r="BA48" s="55">
        <f>COUNTIFS(ШТАТ!AM:AM,"ТБ",ШТАТ!AL:AL,"2 ТР",ШТАТ!W:W,"в/ч 38838")</f>
        <v>0</v>
      </c>
      <c r="BB48" s="55">
        <f>COUNTIFS(ШТАТ!AM:AM,"ТБ",ШТАТ!AL:AL,"2 ТР",ШТАТ!W:W,"в/ч 90151")</f>
        <v>0</v>
      </c>
      <c r="BC48" s="55"/>
      <c r="BD48" s="26">
        <f>COUNTIFS(ШТАТ!$AL:$AL,$B48,ШТАТ!$U:$U,"ком-ка")-SUM(AS48:BC48)-AP48-AQ48</f>
        <v>0</v>
      </c>
      <c r="BE48" s="55">
        <f>COUNTIFS(ШТАТ!AM:AM,"ТБ",ШТАТ!AL:AL,"2 ТР",ШТАТ!U:U,"отпуск")</f>
        <v>0</v>
      </c>
      <c r="BF48" s="55"/>
      <c r="BG48" s="55">
        <f>COUNTIFS(ШТАТ!AM:AM,"ТБ",ШТАТ!AL:AL,B48,ШТАТ!U:U,"СОЧ")</f>
        <v>0</v>
      </c>
      <c r="BH48" s="28">
        <f t="shared" si="38"/>
        <v>30</v>
      </c>
      <c r="BI48" s="29" t="e">
        <f>#REF!-#REF!</f>
        <v>#REF!</v>
      </c>
      <c r="BJ48" s="19" t="e">
        <f t="shared" si="17"/>
        <v>#REF!</v>
      </c>
    </row>
    <row r="49" spans="1:62" ht="66" customHeight="1" thickBot="1" x14ac:dyDescent="0.3">
      <c r="A49" s="50"/>
      <c r="B49" s="57" t="s">
        <v>534</v>
      </c>
      <c r="C49" s="51">
        <f>COUNTIFS(ШТАТ!AM:AM,"ТБ",ШТАТ!AL:AL,"3 ТР",ШТАТ!AK:AK,1)</f>
        <v>5</v>
      </c>
      <c r="D49" s="52">
        <f>COUNTIFS(ШТАТ!AM:AM,"ТБ",ШТАТ!AL:AL,"3 ТР",ШТАТ!AK:AK,2)</f>
        <v>1</v>
      </c>
      <c r="E49" s="51">
        <f>COUNTIFS(ШТАТ!AM:AM,"ТБ",ШТАТ!AL:AL,"3 ТР",ШТАТ!AK:AK,3)</f>
        <v>7</v>
      </c>
      <c r="F49" s="52">
        <f>COUNTIFS(ШТАТ!AM:AM,"ТБ",ШТАТ!AL:AL,"3 ТР",ШТАТ!AK:AK,4)</f>
        <v>20</v>
      </c>
      <c r="G49" s="19">
        <f t="shared" si="65"/>
        <v>33</v>
      </c>
      <c r="H49" s="52">
        <f>COUNTIFS(ШТАТ!AM:AM,"ТБ",ШТАТ!AL:AL,"3 ТР",ШТАТ!AJ:AJ,"о")</f>
        <v>5</v>
      </c>
      <c r="I49" s="51">
        <f>COUNTIFS(ШТАТ!AM:AM,"ТБ",ШТАТ!AL:AL,"3 ТР",ШТАТ!AJ:AJ,"п")</f>
        <v>1</v>
      </c>
      <c r="J49" s="19">
        <f t="shared" si="66"/>
        <v>7</v>
      </c>
      <c r="K49" s="51">
        <f>COUNTIFS(ШТАТ!AM:AM,"ТБ",ШТАТ!AL:AL,"3 ТР",ШТАТ!AK:AK,3,ШТАТ!AJ:AJ,"к/с")</f>
        <v>7</v>
      </c>
      <c r="L49" s="51">
        <v>0</v>
      </c>
      <c r="M49" s="52">
        <f t="shared" si="70"/>
        <v>20</v>
      </c>
      <c r="N49" s="52">
        <f>COUNTIFS(ШТАТ!AM:AM,"ТБ",ШТАТ!AL:AL,"3 ТР",ШТАТ!AK:AK,4,ШТАТ!AJ:AJ,"к/с")</f>
        <v>20</v>
      </c>
      <c r="O49" s="52">
        <f>COUNTIFS(ШТАТ!AM:AM,"ТБ",ШТАТ!AL:AL,"3 ТР",ШТАТ!AK:AK,4,ШТАТ!AJ:AJ,"с/с")</f>
        <v>0</v>
      </c>
      <c r="P49" s="19">
        <f t="shared" si="71"/>
        <v>27</v>
      </c>
      <c r="Q49" s="22">
        <f t="shared" si="72"/>
        <v>27</v>
      </c>
      <c r="R49" s="21">
        <f t="shared" si="73"/>
        <v>0</v>
      </c>
      <c r="S49" s="53">
        <f t="shared" si="67"/>
        <v>33</v>
      </c>
      <c r="T49" s="54">
        <f t="shared" si="59"/>
        <v>1</v>
      </c>
      <c r="U49" s="55">
        <f>COUNTIFS(ШТАТ!U:U,"",ШТАТ!AM:AM,"ТБ",ШТАТ!AL:AL,"3 ТР",ШТАТ!AJ:AJ,"о")</f>
        <v>2</v>
      </c>
      <c r="V49" s="56">
        <f>COUNTIFS(ШТАТ!U:U,"",ШТАТ!AM:AM,"ТБ",ШТАТ!AL:AL,"3 ТР",ШТАТ!AJ:AJ,"п")</f>
        <v>1</v>
      </c>
      <c r="W49" s="103">
        <f t="shared" si="60"/>
        <v>0</v>
      </c>
      <c r="X49" s="55">
        <f>COUNTIFS(ШТАТ!U:U,"",ШТАТ!AM:AM,"ТБ",ШТАТ!AL:AL,"3 ТР",ШТАТ!AK:AK,3,ШТАТ!AJ:AJ,"к/с")</f>
        <v>0</v>
      </c>
      <c r="Y49" s="55">
        <v>0</v>
      </c>
      <c r="Z49" s="25">
        <f t="shared" si="74"/>
        <v>0</v>
      </c>
      <c r="AA49" s="55">
        <f>COUNTIFS(ШТАТ!U:U,"",ШТАТ!AM:AM,"ТБ",ШТАТ!AL:AL,"3 ТР",ШТАТ!AK:AK,4,ШТАТ!AJ:AJ,"к/с")</f>
        <v>0</v>
      </c>
      <c r="AB49" s="55">
        <f>COUNTIFS(ШТАТ!U:U,"",ШТАТ!AM:AM,"ТБ",ШТАТ!AL:AL,"3 ТР",ШТАТ!AK:AK,4,ШТАТ!AJ:AJ,"с/с")</f>
        <v>0</v>
      </c>
      <c r="AC49" s="106">
        <f t="shared" si="75"/>
        <v>0</v>
      </c>
      <c r="AD49" s="21">
        <f t="shared" si="76"/>
        <v>0</v>
      </c>
      <c r="AE49" s="35">
        <f t="shared" si="58"/>
        <v>0</v>
      </c>
      <c r="AF49" s="19">
        <f t="shared" si="68"/>
        <v>3</v>
      </c>
      <c r="AG49" s="55"/>
      <c r="AH49" s="24">
        <f>COUNTIFS(ШТАТ!$AL:$AL,$B49,ШТАТ!$U:$U,"МП")</f>
        <v>0</v>
      </c>
      <c r="AI49" s="55">
        <f>COUNTIFS(ШТАТ!AM:AM,"ТБ",ШТАТ!AL:AL,"3 ТР",ШТАТ!U:U,"осв-ие")</f>
        <v>0</v>
      </c>
      <c r="AJ49" s="55">
        <f>COUNTIFS(ШТАТ!AM:AM,"ТБ",ШТАТ!AL:AL,"3 ТР",ШТАТ!U:U,"госп")</f>
        <v>0</v>
      </c>
      <c r="AK49" s="27">
        <f t="shared" si="69"/>
        <v>30</v>
      </c>
      <c r="AL49" s="55">
        <f>COUNTIFS(ШТАТ!AM:AM,"ТБ",ШТАТ!AL:AL,"3 ТР",ШТАТ!W:W,"Барсуковка")</f>
        <v>0</v>
      </c>
      <c r="AM49" s="24">
        <f>COUNTIFS(ШТАТ!$AL:$AL,$B49,ШТАТ!$W:$W,"Павенково")</f>
        <v>0</v>
      </c>
      <c r="AN49" s="55"/>
      <c r="AO49" s="55">
        <f>COUNTIFS(ШТАТ!AM:AM,"ТБ",ШТАТ!AL:AL,"3 ТР",ШТАТ!W:W,"полигон Чехово")</f>
        <v>0</v>
      </c>
      <c r="AP49" s="55">
        <f>COUNTIFS(ШТАТ!AM:AM,"ТБ",ШТАТ!AL:AL,"3 ТР",ШТАТ!X:X,"Такелажные работы")</f>
        <v>0</v>
      </c>
      <c r="AQ49" s="55">
        <f>COUNTIFS(ШТАТ!AM:AM,"ТБ",ШТАТ!AL:AL,"3 ТР",ШТАТ!X:X,"Усиление объектов")</f>
        <v>0</v>
      </c>
      <c r="AR49" s="55">
        <f>COUNTIFS(ШТАТ!AM:AM,"ТБ",ШТАТ!AL:AL,"3 ТР",ШТАТ!U:U,"полигон")-SUM(AL49:AO49)</f>
        <v>0</v>
      </c>
      <c r="AS49" s="55"/>
      <c r="AT49" s="55">
        <f>COUNTIFS(ШТАТ!AM:AM,"ТБ",ШТАТ!AL:AL,"3 ТР",ШТАТ!X:X,"САР")</f>
        <v>0</v>
      </c>
      <c r="AU49" s="55">
        <f>COUNTIFS(ШТАТ!AM:AM,"ТБ",ШТАТ!AL:AL,"3 ТР",ШТАТ!X:X,"Выполнение специальных задач")</f>
        <v>28</v>
      </c>
      <c r="AV49" s="55">
        <f>COUNTIFS(ШТАТ!AM:AM,"ТБ",ШТАТ!AL:AL,"3 ТР",ШТАТ!X:X,"Переподготовка")</f>
        <v>0</v>
      </c>
      <c r="AW49" s="55">
        <f>COUNTIFS(ШТАТ!AM:AM,"ТБ",ШТАТ!AL:AL,"3 ТР",ШТАТ!X:X,"Усиление объектов")</f>
        <v>0</v>
      </c>
      <c r="AX49" s="55"/>
      <c r="AY49" s="55"/>
      <c r="AZ49" s="55">
        <f>COUNTIFS(ШТАТ!AM:AM,"ТБ",ШТАТ!AL:AL,"3 ТР",ШТАТ!W:W,"г. Белгород")</f>
        <v>1</v>
      </c>
      <c r="BA49" s="55">
        <f>COUNTIFS(ШТАТ!AM:AM,"ТБ",ШТАТ!AL:AL,"3 ТР",ШТАТ!W:W,"в/ч 38838")</f>
        <v>0</v>
      </c>
      <c r="BB49" s="55">
        <f>COUNTIFS(ШТАТ!AM:AM,"ТБ",ШТАТ!AL:AL,"3 ТР",ШТАТ!W:W,"в/ч 90151")</f>
        <v>0</v>
      </c>
      <c r="BC49" s="55"/>
      <c r="BD49" s="26">
        <f>COUNTIFS(ШТАТ!$AL:$AL,$B49,ШТАТ!$U:$U,"ком-ка")-SUM(AS49:BC49)-AP49-AQ49</f>
        <v>1</v>
      </c>
      <c r="BE49" s="55">
        <f>COUNTIFS(ШТАТ!AM:AM,"ТБ",ШТАТ!AL:AL,"3 ТР",ШТАТ!U:U,"отпуск")</f>
        <v>0</v>
      </c>
      <c r="BF49" s="55"/>
      <c r="BG49" s="55">
        <f>COUNTIFS(ШТАТ!AM:AM,"ТБ",ШТАТ!AL:AL,B49,ШТАТ!U:U,"СОЧ")</f>
        <v>0</v>
      </c>
      <c r="BH49" s="28">
        <f t="shared" si="38"/>
        <v>30</v>
      </c>
      <c r="BI49" s="29" t="e">
        <f>#REF!-#REF!</f>
        <v>#REF!</v>
      </c>
      <c r="BJ49" s="19" t="e">
        <f t="shared" si="17"/>
        <v>#REF!</v>
      </c>
    </row>
    <row r="50" spans="1:62" ht="71.25" customHeight="1" thickBot="1" x14ac:dyDescent="0.3">
      <c r="A50" s="50"/>
      <c r="B50" s="57" t="s">
        <v>535</v>
      </c>
      <c r="C50" s="51">
        <f>COUNTIFS(ШТАТ!AM:AM,"ТБ",ШТАТ!AL:AL,"ВС ",ШТАТ!AK:AK,1)</f>
        <v>1</v>
      </c>
      <c r="D50" s="52">
        <f>COUNTIFS(ШТАТ!AM:AM,"ТБ",ШТАТ!AL:AL,"ВС ",ШТАТ!AK:AK,2)</f>
        <v>0</v>
      </c>
      <c r="E50" s="51">
        <f>COUNTIFS(ШТАТ!AM:AM,"ТБ",ШТАТ!AL:AL,"ВС ",ШТАТ!AK:AK,3)</f>
        <v>2</v>
      </c>
      <c r="F50" s="52">
        <f>COUNTIFS(ШТАТ!AM:AM,"ТБ",ШТАТ!AL:AL,"ВС ",ШТАТ!AK:AK,4)</f>
        <v>8</v>
      </c>
      <c r="G50" s="19">
        <f t="shared" si="65"/>
        <v>11</v>
      </c>
      <c r="H50" s="52">
        <f>COUNTIFS(ШТАТ!AM:AM,"ТБ",ШТАТ!AL:AL,"ВС ",ШТАТ!AJ:AJ,"о")</f>
        <v>1</v>
      </c>
      <c r="I50" s="51">
        <f>COUNTIFS(ШТАТ!AM:AM,"ТБ",ШТАТ!AL:AL,"ВС ",ШТАТ!AJ:AJ,"п")</f>
        <v>0</v>
      </c>
      <c r="J50" s="19">
        <f t="shared" si="66"/>
        <v>2</v>
      </c>
      <c r="K50" s="51">
        <f>COUNTIFS(ШТАТ!AM:AM,"ТБ",ШТАТ!AL:AL,"ВС ",ШТАТ!AK:AK,3,ШТАТ!AJ:AJ,"к/с")</f>
        <v>2</v>
      </c>
      <c r="L50" s="51">
        <v>0</v>
      </c>
      <c r="M50" s="52">
        <f t="shared" si="70"/>
        <v>6</v>
      </c>
      <c r="N50" s="52">
        <f>COUNTIFS(ШТАТ!AM:AM,"ТБ",ШТАТ!AL:AL,"ВС ",ШТАТ!AK:AK,4,ШТАТ!AJ:AJ,"к/с")</f>
        <v>6</v>
      </c>
      <c r="O50" s="52">
        <f>COUNTIFS(ШТАТ!AM:AM,"ТБ",ШТАТ!AL:AL,"ВС ",ШТАТ!AK:AK,4,ШТАТ!AJ:AJ,"с/с")</f>
        <v>0</v>
      </c>
      <c r="P50" s="19">
        <f t="shared" si="71"/>
        <v>8</v>
      </c>
      <c r="Q50" s="22">
        <f t="shared" si="72"/>
        <v>8</v>
      </c>
      <c r="R50" s="21">
        <f t="shared" si="73"/>
        <v>0</v>
      </c>
      <c r="S50" s="53">
        <f t="shared" si="67"/>
        <v>9</v>
      </c>
      <c r="T50" s="54">
        <f t="shared" si="59"/>
        <v>0.81818181818181823</v>
      </c>
      <c r="U50" s="55">
        <f>COUNTIFS(ШТАТ!U:U,"",ШТАТ!AM:AM,"ТБ",ШТАТ!AL:AL,"ВС ",ШТАТ!AJ:AJ,"о")</f>
        <v>0</v>
      </c>
      <c r="V50" s="56">
        <f>COUNTIFS(ШТАТ!U:U,"",ШТАТ!AM:AM,"ТБ",ШТАТ!AL:AL,"ВС ",ШТАТ!AJ:AJ,"п")</f>
        <v>0</v>
      </c>
      <c r="W50" s="103">
        <f t="shared" si="60"/>
        <v>0</v>
      </c>
      <c r="X50" s="55">
        <f>COUNTIFS(ШТАТ!U:U,"",ШТАТ!AM:AM,"ТБ",ШТАТ!AL:AL,"ВС ",ШТАТ!AK:AK,3,ШТАТ!AJ:AJ,"к/с")</f>
        <v>0</v>
      </c>
      <c r="Y50" s="55">
        <v>0</v>
      </c>
      <c r="Z50" s="25">
        <f t="shared" si="74"/>
        <v>0</v>
      </c>
      <c r="AA50" s="55">
        <f>COUNTIFS(ШТАТ!U:U,"",ШТАТ!AM:AM,"ТБ",ШТАТ!AL:AL,"ВС ",ШТАТ!AK:AK,4,ШТАТ!AJ:AJ,"к/с")</f>
        <v>0</v>
      </c>
      <c r="AB50" s="55">
        <f>COUNTIFS(ШТАТ!U:U,"",ШТАТ!AM:AM,"ТБ",ШТАТ!AL:AL,"ВС ",ШТАТ!AK:AK,4,ШТАТ!AJ:AJ,"с/с")</f>
        <v>0</v>
      </c>
      <c r="AC50" s="106">
        <f t="shared" si="75"/>
        <v>0</v>
      </c>
      <c r="AD50" s="21">
        <f t="shared" si="76"/>
        <v>0</v>
      </c>
      <c r="AE50" s="35">
        <f t="shared" si="58"/>
        <v>0</v>
      </c>
      <c r="AF50" s="19">
        <f t="shared" si="68"/>
        <v>0</v>
      </c>
      <c r="AG50" s="55"/>
      <c r="AH50" s="24">
        <f>COUNTIFS(ШТАТ!$AL:$AL,$B50,ШТАТ!$U:$U,"МП")</f>
        <v>0</v>
      </c>
      <c r="AI50" s="55">
        <f>COUNTIFS(ШТАТ!AM:AM,"ТБ",ШТАТ!AL:AL,"ВС ",ШТАТ!U:U,"осв-ие")</f>
        <v>0</v>
      </c>
      <c r="AJ50" s="55">
        <f>COUNTIFS(ШТАТ!AM:AM,"ТБ",ШТАТ!AL:AL,"ВС ",ШТАТ!U:U,"госп")</f>
        <v>0</v>
      </c>
      <c r="AK50" s="27">
        <f t="shared" si="69"/>
        <v>8</v>
      </c>
      <c r="AL50" s="55">
        <f>COUNTIFS(ШТАТ!AM:AM,"ТБ",ШТАТ!AL:AL,"ВС ",ШТАТ!W:W,"Барсуковка")</f>
        <v>0</v>
      </c>
      <c r="AM50" s="24">
        <f>COUNTIFS(ШТАТ!$AL:$AL,$B50,ШТАТ!$W:$W,"Павенково")</f>
        <v>0</v>
      </c>
      <c r="AN50" s="55"/>
      <c r="AO50" s="55">
        <f>COUNTIFS(ШТАТ!AM:AM,"ТБ",ШТАТ!AL:AL,"ВС ",ШТАТ!W:W,"полигон Чехово")</f>
        <v>0</v>
      </c>
      <c r="AP50" s="55">
        <f>COUNTIFS(ШТАТ!AM:AM,"ТБ",ШТАТ!AL:AL,"ВС ",ШТАТ!X:X,"Такелажные работы")</f>
        <v>0</v>
      </c>
      <c r="AQ50" s="55">
        <f>COUNTIFS(ШТАТ!AM:AM,"ТБ",ШТАТ!AL:AL,"ВС ",ШТАТ!X:X,"Усиление объектов")</f>
        <v>0</v>
      </c>
      <c r="AR50" s="55">
        <f>COUNTIFS(ШТАТ!AM:AM,"ТБ",ШТАТ!AL:AL,"ВС ",ШТАТ!U:U,"полигон")-SUM(AL50:AO50)</f>
        <v>0</v>
      </c>
      <c r="AS50" s="55"/>
      <c r="AT50" s="55">
        <f>COUNTIFS(ШТАТ!AM:AM,"ТБ",ШТАТ!AL:AL,"ВС ",ШТАТ!X:X,"САР")</f>
        <v>0</v>
      </c>
      <c r="AU50" s="55">
        <f>COUNTIFS(ШТАТ!AM:AM,"ТБ",ШТАТ!AL:AL,"ВС ",ШТАТ!X:X,"Выполнение специальных задач")</f>
        <v>6</v>
      </c>
      <c r="AV50" s="55">
        <f>COUNTIFS(ШТАТ!AM:AM,"ТБ",ШТАТ!AL:AL,"ВС ",ШТАТ!X:X,"Переподготовка")</f>
        <v>0</v>
      </c>
      <c r="AW50" s="55">
        <f>COUNTIFS(ШТАТ!AM:AM,"ТБ",ШТАТ!AL:AL,"ВС ",ШТАТ!X:X,"Усиление объектов")</f>
        <v>0</v>
      </c>
      <c r="AX50" s="55"/>
      <c r="AY50" s="55"/>
      <c r="AZ50" s="55">
        <f>COUNTIFS(ШТАТ!AM:AM,"ТБ",ШТАТ!AL:AL,"ВС ",ШТАТ!W:W,"г. Белгород")</f>
        <v>1</v>
      </c>
      <c r="BA50" s="55">
        <f>COUNTIFS(ШТАТ!AM:AM,"ТБ",ШТАТ!AL:AL,"ВС ",ШТАТ!W:W,"в/ч 38838")</f>
        <v>0</v>
      </c>
      <c r="BB50" s="55">
        <f>COUNTIFS(ШТАТ!AM:AM,"ТБ",ШТАТ!AL:AL,"ВС ",ШТАТ!W:W,"в/ч 90151")</f>
        <v>0</v>
      </c>
      <c r="BC50" s="55"/>
      <c r="BD50" s="26">
        <f>COUNTIFS(ШТАТ!$AL:$AL,$B50,ШТАТ!$U:$U,"ком-ка")-SUM(AS50:BC50)-AP50-AQ50</f>
        <v>1</v>
      </c>
      <c r="BE50" s="55">
        <f>COUNTIFS(ШТАТ!AM:AM,"ТБ",ШТАТ!AL:AL,"ВС ",ШТАТ!U:U,"отпуск")</f>
        <v>0</v>
      </c>
      <c r="BF50" s="55"/>
      <c r="BG50" s="55">
        <f>COUNTIFS(ШТАТ!AM:AM,"ТБ",ШТАТ!AL:AL,B50,ШТАТ!U:U,"СОЧ")</f>
        <v>1</v>
      </c>
      <c r="BH50" s="28">
        <f t="shared" si="38"/>
        <v>9</v>
      </c>
      <c r="BI50" s="29" t="e">
        <f>#REF!-#REF!</f>
        <v>#REF!</v>
      </c>
      <c r="BJ50" s="19" t="e">
        <f t="shared" si="17"/>
        <v>#REF!</v>
      </c>
    </row>
    <row r="51" spans="1:62" ht="71.25" customHeight="1" thickBot="1" x14ac:dyDescent="0.3">
      <c r="A51" s="58">
        <v>11</v>
      </c>
      <c r="B51" s="57" t="s">
        <v>537</v>
      </c>
      <c r="C51" s="51">
        <f>COUNTIFS(ШТАТ!AM:AM,"ТБ",ШТАТ!AL:AL,"ВО",ШТАТ!AK:AK,1)</f>
        <v>0</v>
      </c>
      <c r="D51" s="52">
        <f>COUNTIFS(ШТАТ!AM:AM,"ТБ",ШТАТ!AL:AL,"ВО",ШТАТ!AK:AK,2)</f>
        <v>1</v>
      </c>
      <c r="E51" s="51">
        <f>COUNTIFS(ШТАТ!AM:AM,"ТБ",ШТАТ!AL:AL,"ВО",ШТАТ!AK:AK,3)</f>
        <v>5</v>
      </c>
      <c r="F51" s="52">
        <f>COUNTIFS(ШТАТ!AM:AM,"ТБ",ШТАТ!AL:AL,"ВО",ШТАТ!AK:AK,4)</f>
        <v>23</v>
      </c>
      <c r="G51" s="19">
        <f t="shared" si="65"/>
        <v>29</v>
      </c>
      <c r="H51" s="52">
        <f>COUNTIFS(ШТАТ!AM:AM,"ТБ",ШТАТ!AL:AL,"ВО",ШТАТ!AJ:AJ,"о")</f>
        <v>0</v>
      </c>
      <c r="I51" s="51">
        <f>COUNTIFS(ШТАТ!AM:AM,"ТБ",ШТАТ!AL:AL,"ВО",ШТАТ!AJ:AJ,"п")</f>
        <v>1</v>
      </c>
      <c r="J51" s="19">
        <f t="shared" si="66"/>
        <v>4</v>
      </c>
      <c r="K51" s="51">
        <f>COUNTIFS(ШТАТ!AM:AM,"ТБ",ШТАТ!AL:AL,"ВО",ШТАТ!AK:AK,3,ШТАТ!AJ:AJ,"к/с")</f>
        <v>4</v>
      </c>
      <c r="L51" s="51">
        <v>0</v>
      </c>
      <c r="M51" s="52">
        <f t="shared" si="70"/>
        <v>21</v>
      </c>
      <c r="N51" s="52">
        <f>COUNTIFS(ШТАТ!AM:AM,"ТБ",ШТАТ!AL:AL,"ВО",ШТАТ!AK:AK,4,ШТАТ!AJ:AJ,"к/с")</f>
        <v>21</v>
      </c>
      <c r="O51" s="52">
        <f>COUNTIFS(ШТАТ!AM:AM,"ТБ",ШТАТ!AL:AL,"ВО",ШТАТ!AK:AK,4,ШТАТ!AJ:AJ,"с/с")</f>
        <v>0</v>
      </c>
      <c r="P51" s="19">
        <f t="shared" si="71"/>
        <v>25</v>
      </c>
      <c r="Q51" s="22">
        <f t="shared" si="72"/>
        <v>25</v>
      </c>
      <c r="R51" s="21">
        <f t="shared" si="73"/>
        <v>0</v>
      </c>
      <c r="S51" s="53">
        <f t="shared" si="67"/>
        <v>26</v>
      </c>
      <c r="T51" s="54">
        <f t="shared" si="59"/>
        <v>0.89655172413793105</v>
      </c>
      <c r="U51" s="55">
        <f>COUNTIFS(ШТАТ!U:U,"",ШТАТ!AM:AM,"ТБ",ШТАТ!AL:AL,"ВО",ШТАТ!AJ:AJ,"о")</f>
        <v>0</v>
      </c>
      <c r="V51" s="56">
        <f>COUNTIFS(ШТАТ!U:U,"",ШТАТ!AM:AM,"ТБ",ШТАТ!AL:AL,"ВО",ШТАТ!AJ:AJ,"п")</f>
        <v>1</v>
      </c>
      <c r="W51" s="103">
        <f t="shared" si="60"/>
        <v>0</v>
      </c>
      <c r="X51" s="55">
        <f>COUNTIFS(ШТАТ!U:U,"",ШТАТ!AM:AM,"ТБ",ШТАТ!AL:AL,"ВО",ШТАТ!AK:AK,3,ШТАТ!AJ:AJ,"к/с")</f>
        <v>0</v>
      </c>
      <c r="Y51" s="55">
        <v>0</v>
      </c>
      <c r="Z51" s="25">
        <f t="shared" si="74"/>
        <v>0</v>
      </c>
      <c r="AA51" s="55">
        <f>COUNTIFS(ШТАТ!U:U,"",ШТАТ!AM:AM,"ТБ",ШТАТ!AL:AL,"ВО",ШТАТ!AK:AK,4,ШТАТ!AJ:AJ,"к/с")</f>
        <v>0</v>
      </c>
      <c r="AB51" s="55">
        <f>COUNTIFS(ШТАТ!U:U,"",ШТАТ!AM:AM,"ТБ",ШТАТ!AL:AL,"ВО",ШТАТ!AK:AK,4,ШТАТ!AJ:AJ,"с/с")</f>
        <v>0</v>
      </c>
      <c r="AC51" s="106">
        <f t="shared" si="75"/>
        <v>0</v>
      </c>
      <c r="AD51" s="21">
        <f t="shared" si="76"/>
        <v>0</v>
      </c>
      <c r="AE51" s="35">
        <f t="shared" si="58"/>
        <v>0</v>
      </c>
      <c r="AF51" s="19">
        <f t="shared" si="68"/>
        <v>1</v>
      </c>
      <c r="AG51" s="55"/>
      <c r="AH51" s="24">
        <f>COUNTIFS(ШТАТ!$AL:$AL,$B51,ШТАТ!$U:$U,"МП")</f>
        <v>0</v>
      </c>
      <c r="AI51" s="55">
        <f>COUNTIFS(ШТАТ!AM:AM,"ТБ",ШТАТ!AL:AL,"ВО",ШТАТ!U:U,"осв-ие")</f>
        <v>0</v>
      </c>
      <c r="AJ51" s="55">
        <f>COUNTIFS(ШТАТ!AM:AM,"ТБ",ШТАТ!AL:AL,"ВО",ШТАТ!U:U,"госп")</f>
        <v>0</v>
      </c>
      <c r="AK51" s="27">
        <f t="shared" si="69"/>
        <v>25</v>
      </c>
      <c r="AL51" s="55">
        <f>COUNTIFS(ШТАТ!AM:AM,"ТБ",ШТАТ!AL:AL,"ВО",ШТАТ!W:W,"Барсуковка")</f>
        <v>0</v>
      </c>
      <c r="AM51" s="24">
        <f>COUNTIFS(ШТАТ!$AL:$AL,$B51,ШТАТ!$W:$W,"Павенково")</f>
        <v>0</v>
      </c>
      <c r="AN51" s="55"/>
      <c r="AO51" s="55">
        <f>COUNTIFS(ШТАТ!AM:AM,"ТБ",ШТАТ!AL:AL,"ВО",ШТАТ!W:W,"полигон Чехово")</f>
        <v>0</v>
      </c>
      <c r="AP51" s="55">
        <f>COUNTIFS(ШТАТ!AM:AM,"ТБ",ШТАТ!AL:AL,"ВО",ШТАТ!X:X,"Такелажные работы")</f>
        <v>0</v>
      </c>
      <c r="AQ51" s="55">
        <f>COUNTIFS(ШТАТ!AM:AM,"ТБ",ШТАТ!AL:AL,"ВО",ШТАТ!X:X,"Усиление объектов")</f>
        <v>0</v>
      </c>
      <c r="AR51" s="55">
        <f>COUNTIFS(ШТАТ!AM:AM,"ТБ",ШТАТ!AL:AL,"ВО",ШТАТ!U:U,"полигон")-SUM(AL51:AO51)</f>
        <v>0</v>
      </c>
      <c r="AS51" s="55"/>
      <c r="AT51" s="55">
        <f>COUNTIFS(ШТАТ!AM:AM,"ТБ",ШТАТ!AL:AL,"ВО",ШТАТ!X:X,"САР")</f>
        <v>0</v>
      </c>
      <c r="AU51" s="55">
        <f>COUNTIFS(ШТАТ!AM:AM,"ТБ",ШТАТ!AL:AL,"ВО",ШТАТ!X:X,"Выполнение специальных задач")</f>
        <v>23</v>
      </c>
      <c r="AV51" s="55">
        <f>COUNTIFS(ШТАТ!AM:AM,"ТБ",ШТАТ!AL:AL,"ВО",ШТАТ!X:X,"Переподготовка")</f>
        <v>0</v>
      </c>
      <c r="AW51" s="55">
        <f>COUNTIFS(ШТАТ!AM:AM,"ТБ",ШТАТ!AL:AL,"ВО",ШТАТ!X:X,"Усиление объектов")</f>
        <v>0</v>
      </c>
      <c r="AX51" s="55"/>
      <c r="AY51" s="55"/>
      <c r="AZ51" s="55">
        <f>COUNTIFS(ШТАТ!AM:AM,"ТБ",ШТАТ!AL:AL,"ВО",ШТАТ!W:W,"г. Белгород")</f>
        <v>1</v>
      </c>
      <c r="BA51" s="55">
        <f>COUNTIFS(ШТАТ!AM:AM,"ТБ",ШТАТ!AL:AL,"ВО",ШТАТ!W:W,"в/ч 38838")</f>
        <v>0</v>
      </c>
      <c r="BB51" s="55">
        <f>COUNTIFS(ШТАТ!AM:AM,"ТБ",ШТАТ!AL:AL,"ВО",ШТАТ!W:W,"в/ч 90151")</f>
        <v>0</v>
      </c>
      <c r="BC51" s="55"/>
      <c r="BD51" s="26">
        <f>COUNTIFS(ШТАТ!$AL:$AL,$B51,ШТАТ!$U:$U,"ком-ка")-SUM(AS51:BC51)-AP51-AQ51</f>
        <v>1</v>
      </c>
      <c r="BE51" s="55">
        <f>COUNTIFS(ШТАТ!AM:AM,"ТБ",ШТАТ!AL:AL,"ВО",ШТАТ!U:U,"отпуск")</f>
        <v>0</v>
      </c>
      <c r="BF51" s="55"/>
      <c r="BG51" s="55">
        <f>COUNTIFS(ШТАТ!AM:AM,"ТБ",ШТАТ!AL:AL,B51,ШТАТ!U:U,"СОЧ")</f>
        <v>0</v>
      </c>
      <c r="BH51" s="28">
        <f t="shared" si="38"/>
        <v>25</v>
      </c>
      <c r="BI51" s="29" t="e">
        <f>#REF!-#REF!</f>
        <v>#REF!</v>
      </c>
      <c r="BJ51" s="19" t="e">
        <f t="shared" si="17"/>
        <v>#REF!</v>
      </c>
    </row>
    <row r="52" spans="1:62" ht="71.25" customHeight="1" thickBot="1" x14ac:dyDescent="0.3">
      <c r="A52" s="58"/>
      <c r="B52" s="59" t="s">
        <v>544</v>
      </c>
      <c r="C52" s="60">
        <f>COUNTIFS(ШТАТ!AM:AM,"ТБ",ШТАТ!AL:AL,"МП",ШТАТ!AK:AK,1)</f>
        <v>0</v>
      </c>
      <c r="D52" s="18">
        <f>COUNTIFS(ШТАТ!AM:AM,"ТБ",ШТАТ!AL:AL,"МП",ШТАТ!AK:AK,2)</f>
        <v>1</v>
      </c>
      <c r="E52" s="60">
        <f>COUNTIFS(ШТАТ!AM:AM,"ТБ",ШТАТ!AL:AL,"МП",ШТАТ!AK:AK,3)</f>
        <v>0</v>
      </c>
      <c r="F52" s="18">
        <f>COUNTIFS(ШТАТ!AM:AM,"ТБ",ШТАТ!AL:AL,"МП",ШТАТ!AK:AK,4)</f>
        <v>3</v>
      </c>
      <c r="G52" s="19">
        <f t="shared" si="65"/>
        <v>4</v>
      </c>
      <c r="H52" s="18">
        <f>COUNTIFS(ШТАТ!AM:AM,"ТБ",ШТАТ!AL:AL,"МП",ШТАТ!AJ:AJ,"о")</f>
        <v>0</v>
      </c>
      <c r="I52" s="60">
        <f>COUNTIFS(ШТАТ!AM:AM,"ТБ",ШТАТ!AL:AL,"МП",ШТАТ!AJ:AJ,"п")</f>
        <v>0</v>
      </c>
      <c r="J52" s="19">
        <f t="shared" si="66"/>
        <v>0</v>
      </c>
      <c r="K52" s="61">
        <f>COUNTIFS(ШТАТ!AM:AM,"ТБ",ШТАТ!AL:AL,"МП",ШТАТ!AK:AK,3,ШТАТ!AJ:AJ,"к/с")</f>
        <v>0</v>
      </c>
      <c r="L52" s="51">
        <v>0</v>
      </c>
      <c r="M52" s="52">
        <f t="shared" si="70"/>
        <v>3</v>
      </c>
      <c r="N52" s="22">
        <f>COUNTIFS(ШТАТ!AM:AM,"ТБ",ШТАТ!AL:AL,"МП",ШТАТ!AK:AK,4,ШТАТ!AJ:AJ,"к/с")</f>
        <v>3</v>
      </c>
      <c r="O52" s="22">
        <f>COUNTIFS(ШТАТ!AM:AM,"ТБ",ШТАТ!AL:AL,"МП",ШТАТ!AK:AK,4,ШТАТ!AJ:AJ,"с/с")</f>
        <v>0</v>
      </c>
      <c r="P52" s="19">
        <f t="shared" si="71"/>
        <v>3</v>
      </c>
      <c r="Q52" s="22">
        <f t="shared" si="72"/>
        <v>3</v>
      </c>
      <c r="R52" s="21">
        <f t="shared" si="73"/>
        <v>0</v>
      </c>
      <c r="S52" s="53">
        <f t="shared" si="67"/>
        <v>3</v>
      </c>
      <c r="T52" s="54">
        <f t="shared" si="59"/>
        <v>0.75</v>
      </c>
      <c r="U52" s="62">
        <f>COUNTIFS(ШТАТ!U:U,"",ШТАТ!AM:AM,"ТБ",ШТАТ!AL:AL,"МП",ШТАТ!AJ:AJ,"о")</f>
        <v>0</v>
      </c>
      <c r="V52" s="24">
        <f>COUNTIFS(ШТАТ!U:U,"",ШТАТ!AM:AM,"ТБ",ШТАТ!AL:AL,"МП",ШТАТ!AJ:AJ,"п")</f>
        <v>0</v>
      </c>
      <c r="W52" s="103">
        <f t="shared" si="60"/>
        <v>0</v>
      </c>
      <c r="X52" s="62">
        <f>COUNTIFS(ШТАТ!U:U,"",ШТАТ!AM:AM,"ТБ",ШТАТ!AL:AL,"МП",ШТАТ!AK:AK,3,ШТАТ!AJ:AJ,"к/с")</f>
        <v>0</v>
      </c>
      <c r="Y52" s="55">
        <v>0</v>
      </c>
      <c r="Z52" s="25">
        <f t="shared" si="74"/>
        <v>0</v>
      </c>
      <c r="AA52" s="63">
        <f>COUNTIFS(ШТАТ!U:U,"",ШТАТ!AM:AM,"ТБ",ШТАТ!AL:AL,"МП",ШТАТ!AK:AK,4,ШТАТ!AJ:AJ,"к/с")</f>
        <v>0</v>
      </c>
      <c r="AB52" s="62">
        <f>COUNTIFS(ШТАТ!U:U,"",ШТАТ!AM:AM,"ТБ",ШТАТ!AL:AL,"МП",ШТАТ!AK:AK,4,ШТАТ!AJ:AJ,"с/с")</f>
        <v>0</v>
      </c>
      <c r="AC52" s="106">
        <f t="shared" si="75"/>
        <v>0</v>
      </c>
      <c r="AD52" s="21">
        <f t="shared" si="76"/>
        <v>0</v>
      </c>
      <c r="AE52" s="35">
        <f t="shared" si="58"/>
        <v>0</v>
      </c>
      <c r="AF52" s="19">
        <f t="shared" si="68"/>
        <v>0</v>
      </c>
      <c r="AG52" s="62"/>
      <c r="AH52" s="24">
        <f>COUNTIFS(ШТАТ!$AL:$AL,$B52,ШТАТ!$U:$U,"МП")</f>
        <v>0</v>
      </c>
      <c r="AI52" s="62">
        <f>COUNTIFS(ШТАТ!AM:AM,"ТБ",ШТАТ!AL:AL,"МП",ШТАТ!U:U,"осв-ие")</f>
        <v>0</v>
      </c>
      <c r="AJ52" s="62">
        <f>COUNTIFS(ШТАТ!AM:AM,"ТБ",ШТАТ!AL:AL,"МП",ШТАТ!U:U,"госп")</f>
        <v>0</v>
      </c>
      <c r="AK52" s="27">
        <f>SUM(AL52:BD52)</f>
        <v>3</v>
      </c>
      <c r="AL52" s="62">
        <f>COUNTIFS(ШТАТ!AM:AM,"ТБ",ШТАТ!AL:AL,"МП",ШТАТ!W:W,"Барсуковка")</f>
        <v>0</v>
      </c>
      <c r="AM52" s="24">
        <f>COUNTIFS(ШТАТ!$AL:$AL,$B52,ШТАТ!$W:$W,"Павенково")</f>
        <v>0</v>
      </c>
      <c r="AN52" s="60"/>
      <c r="AO52" s="62">
        <f>COUNTIFS(ШТАТ!AM:AM,"ТБ",ШТАТ!AL:AL,"МП",ШТАТ!W:W,"полигон Чехово")</f>
        <v>0</v>
      </c>
      <c r="AP52" s="60">
        <f>COUNTIFS(ШТАТ!AM:AM,"ТБ",ШТАТ!AL:AL,"МП",ШТАТ!X:X,"Такелажные работы")</f>
        <v>0</v>
      </c>
      <c r="AQ52" s="60">
        <f>COUNTIFS(ШТАТ!AM:AM,"ТБ",ШТАТ!AL:AL,"МП",ШТАТ!X:X,"Усиление объектов")</f>
        <v>0</v>
      </c>
      <c r="AR52" s="60">
        <f>COUNTIFS(ШТАТ!AM:AM,"ТБ",ШТАТ!AL:AL,"МП",ШТАТ!U:U,"полигон")-SUM(AL52:AO52)</f>
        <v>0</v>
      </c>
      <c r="AS52" s="62"/>
      <c r="AT52" s="62">
        <f>COUNTIFS(ШТАТ!AM:AM,"ТБ",ШТАТ!AL:AL,"МП",ШТАТ!X:X,"САР")</f>
        <v>0</v>
      </c>
      <c r="AU52" s="62">
        <f>COUNTIFS(ШТАТ!AM:AM,"ТБ",ШТАТ!AL:AL,"МП",ШТАТ!X:X,"Выполнение специальных задач")</f>
        <v>3</v>
      </c>
      <c r="AV52" s="62">
        <f>COUNTIFS(ШТАТ!AM:AM,"ТБ",ШТАТ!AL:AL,"МП",ШТАТ!X:X,"Переподготовка")</f>
        <v>0</v>
      </c>
      <c r="AW52" s="62">
        <f>COUNTIFS(ШТАТ!AM:AM,"ТБ",ШТАТ!AL:AL,"МП",ШТАТ!X:X,"Усиление объектов")</f>
        <v>0</v>
      </c>
      <c r="AX52" s="62">
        <v>0</v>
      </c>
      <c r="AY52" s="62"/>
      <c r="AZ52" s="62">
        <f>COUNTIFS(ШТАТ!AM:AM,"ТБ",ШТАТ!AL:AL,"МП",ШТАТ!W:W,"г. Белгород")</f>
        <v>0</v>
      </c>
      <c r="BA52" s="62">
        <f>COUNTIFS(ШТАТ!AM:AM,"ТБ",ШТАТ!AL:AL,"МП",ШТАТ!W:W,"в/ч 38838")</f>
        <v>0</v>
      </c>
      <c r="BB52" s="62">
        <f>COUNTIFS(ШТАТ!AM:AM,"ТБ",ШТАТ!AL:AL,"МП",ШТАТ!W:W,"в/ч 90151")</f>
        <v>0</v>
      </c>
      <c r="BC52" s="62"/>
      <c r="BD52" s="26">
        <f>COUNTIFS(ШТАТ!$AL:$AL,$B52,ШТАТ!$U:$U,"ком-ка")-SUM(AS52:BC52)-AP52-AQ52</f>
        <v>0</v>
      </c>
      <c r="BE52" s="62">
        <f>COUNTIFS(ШТАТ!AM:AM,"ТБ",ШТАТ!AL:AL,"МП",ШТАТ!U:U,"отпуск")</f>
        <v>0</v>
      </c>
      <c r="BF52" s="64"/>
      <c r="BG52" s="55">
        <f>COUNTIFS(ШТАТ!AM:AM,"ТБ",ШТАТ!AL:AL,B52,ШТАТ!U:U,"СОЧ")</f>
        <v>0</v>
      </c>
      <c r="BH52" s="28">
        <f>SUM(AG52:AJ52)+SUM(BE52:BG52)+AK52</f>
        <v>3</v>
      </c>
      <c r="BI52" s="29" t="e">
        <f>#REF!-#REF!</f>
        <v>#REF!</v>
      </c>
      <c r="BJ52" s="19" t="e">
        <f t="shared" si="17"/>
        <v>#REF!</v>
      </c>
    </row>
    <row r="53" spans="1:62" ht="106.5" customHeight="1" thickBot="1" x14ac:dyDescent="0.3">
      <c r="A53" s="16">
        <v>12</v>
      </c>
      <c r="B53" s="41" t="s">
        <v>913</v>
      </c>
      <c r="C53" s="42">
        <f t="shared" ref="C53:S53" si="77">SUM(C46:C52)</f>
        <v>20</v>
      </c>
      <c r="D53" s="42">
        <f t="shared" si="77"/>
        <v>5</v>
      </c>
      <c r="E53" s="42">
        <f t="shared" si="77"/>
        <v>29</v>
      </c>
      <c r="F53" s="42">
        <f t="shared" si="77"/>
        <v>94</v>
      </c>
      <c r="G53" s="43">
        <f t="shared" si="77"/>
        <v>148</v>
      </c>
      <c r="H53" s="42">
        <f t="shared" si="77"/>
        <v>19</v>
      </c>
      <c r="I53" s="42">
        <f t="shared" si="77"/>
        <v>4</v>
      </c>
      <c r="J53" s="42">
        <f t="shared" si="77"/>
        <v>25</v>
      </c>
      <c r="K53" s="42">
        <f t="shared" si="77"/>
        <v>25</v>
      </c>
      <c r="L53" s="42">
        <f t="shared" si="77"/>
        <v>0</v>
      </c>
      <c r="M53" s="42">
        <f t="shared" si="77"/>
        <v>85</v>
      </c>
      <c r="N53" s="42">
        <f t="shared" si="77"/>
        <v>85</v>
      </c>
      <c r="O53" s="42">
        <f t="shared" si="77"/>
        <v>0</v>
      </c>
      <c r="P53" s="43">
        <f t="shared" si="77"/>
        <v>110</v>
      </c>
      <c r="Q53" s="42">
        <f t="shared" si="77"/>
        <v>110</v>
      </c>
      <c r="R53" s="42">
        <f t="shared" si="77"/>
        <v>0</v>
      </c>
      <c r="S53" s="43">
        <f t="shared" si="77"/>
        <v>133</v>
      </c>
      <c r="T53" s="44">
        <f t="shared" si="59"/>
        <v>0.89864864864864868</v>
      </c>
      <c r="U53" s="45">
        <f>SUM(U46:U52)</f>
        <v>3</v>
      </c>
      <c r="V53" s="45">
        <f t="shared" ref="V53:AD53" si="78">SUM(V46:V52)</f>
        <v>2</v>
      </c>
      <c r="W53" s="45">
        <f t="shared" si="78"/>
        <v>1</v>
      </c>
      <c r="X53" s="45">
        <f t="shared" si="78"/>
        <v>1</v>
      </c>
      <c r="Y53" s="45">
        <f t="shared" si="78"/>
        <v>0</v>
      </c>
      <c r="Z53" s="45">
        <f t="shared" si="78"/>
        <v>1</v>
      </c>
      <c r="AA53" s="45">
        <f t="shared" si="78"/>
        <v>1</v>
      </c>
      <c r="AB53" s="45">
        <f t="shared" si="78"/>
        <v>0</v>
      </c>
      <c r="AC53" s="45">
        <f t="shared" si="78"/>
        <v>2</v>
      </c>
      <c r="AD53" s="45">
        <f t="shared" si="78"/>
        <v>2</v>
      </c>
      <c r="AE53" s="105">
        <f>SUM(AE46:AE52)</f>
        <v>0</v>
      </c>
      <c r="AF53" s="105">
        <f>SUM(AF46:AF52)</f>
        <v>7</v>
      </c>
      <c r="AG53" s="105">
        <f t="shared" ref="AG53:BI53" si="79">SUM(AG46:AG52)</f>
        <v>0</v>
      </c>
      <c r="AH53" s="105">
        <f t="shared" si="79"/>
        <v>0</v>
      </c>
      <c r="AI53" s="105">
        <f t="shared" si="79"/>
        <v>0</v>
      </c>
      <c r="AJ53" s="105">
        <f t="shared" si="79"/>
        <v>0</v>
      </c>
      <c r="AK53" s="105">
        <f>SUM(AK46:AK52)</f>
        <v>124</v>
      </c>
      <c r="AL53" s="105">
        <f t="shared" si="79"/>
        <v>0</v>
      </c>
      <c r="AM53" s="105">
        <f t="shared" si="79"/>
        <v>0</v>
      </c>
      <c r="AN53" s="105">
        <f t="shared" si="79"/>
        <v>0</v>
      </c>
      <c r="AO53" s="105">
        <f t="shared" si="79"/>
        <v>0</v>
      </c>
      <c r="AP53" s="105">
        <f t="shared" si="79"/>
        <v>0</v>
      </c>
      <c r="AQ53" s="105">
        <f t="shared" si="79"/>
        <v>0</v>
      </c>
      <c r="AR53" s="105">
        <f t="shared" si="79"/>
        <v>1</v>
      </c>
      <c r="AS53" s="105">
        <f t="shared" si="79"/>
        <v>0</v>
      </c>
      <c r="AT53" s="105">
        <f t="shared" si="79"/>
        <v>0</v>
      </c>
      <c r="AU53" s="105">
        <f t="shared" si="79"/>
        <v>92</v>
      </c>
      <c r="AV53" s="105">
        <f t="shared" si="79"/>
        <v>0</v>
      </c>
      <c r="AW53" s="105">
        <f t="shared" si="79"/>
        <v>0</v>
      </c>
      <c r="AX53" s="105">
        <f t="shared" si="79"/>
        <v>0</v>
      </c>
      <c r="AY53" s="105">
        <f t="shared" si="79"/>
        <v>0</v>
      </c>
      <c r="AZ53" s="105">
        <f t="shared" si="79"/>
        <v>26</v>
      </c>
      <c r="BA53" s="105">
        <f t="shared" si="79"/>
        <v>0</v>
      </c>
      <c r="BB53" s="105">
        <f>SUM(BB46:BB52)</f>
        <v>0</v>
      </c>
      <c r="BC53" s="105">
        <f t="shared" si="79"/>
        <v>0</v>
      </c>
      <c r="BD53" s="105">
        <f>SUM(BD46:BD52)</f>
        <v>5</v>
      </c>
      <c r="BE53" s="105">
        <f t="shared" si="79"/>
        <v>0</v>
      </c>
      <c r="BF53" s="105">
        <f t="shared" si="79"/>
        <v>0</v>
      </c>
      <c r="BG53" s="105">
        <f t="shared" si="79"/>
        <v>2</v>
      </c>
      <c r="BH53" s="105">
        <f t="shared" si="79"/>
        <v>126</v>
      </c>
      <c r="BI53" s="105" t="e">
        <f t="shared" si="79"/>
        <v>#REF!</v>
      </c>
      <c r="BJ53" s="105" t="e">
        <f>SUM(BJ46:BJ52)</f>
        <v>#REF!</v>
      </c>
    </row>
    <row r="54" spans="1:62" ht="71.25" customHeight="1" thickBot="1" x14ac:dyDescent="0.3">
      <c r="A54" s="16">
        <v>13</v>
      </c>
      <c r="B54" s="65" t="s">
        <v>547</v>
      </c>
      <c r="C54" s="18">
        <f>COUNTIFS(ШТАТ!AM:AM,"ГСАБатр",ШТАТ!AK:AK,1)</f>
        <v>4</v>
      </c>
      <c r="D54" s="18">
        <f>COUNTIFS(ШТАТ!AM:AM,"ГСАБатр",ШТАТ!AK:AK,2)</f>
        <v>2</v>
      </c>
      <c r="E54" s="18">
        <f>COUNTIFS(ШТАТ!AM:AM,"ГСАБатр",ШТАТ!AK:AK,3)</f>
        <v>9</v>
      </c>
      <c r="F54" s="18">
        <f>COUNTIFS(ШТАТ!AM:AM,"ГСАБатр",ШТАТ!AK:AK,4)</f>
        <v>32</v>
      </c>
      <c r="G54" s="19">
        <f t="shared" ref="G54:G62" si="80">SUM(C54:F54)</f>
        <v>47</v>
      </c>
      <c r="H54" s="52">
        <f>COUNTIFS(ШТАТ!AM:AM,"ГСАБатр",ШТАТ!AJ:AJ,"о")</f>
        <v>4</v>
      </c>
      <c r="I54" s="52">
        <f>COUNTIFS(ШТАТ!AM:AM,"ГСАБатр",ШТАТ!AJ:AJ,"п")</f>
        <v>2</v>
      </c>
      <c r="J54" s="93">
        <f t="shared" ref="J54:J60" si="81">SUM(K54:L54)</f>
        <v>6</v>
      </c>
      <c r="K54" s="101">
        <f>COUNTIFS(ШТАТ!AM:AM,"ГСАБатр",ШТАТ!AK:AK,3,ШТАТ!AJ:AJ,"к/с")</f>
        <v>6</v>
      </c>
      <c r="L54" s="95">
        <v>0</v>
      </c>
      <c r="M54" s="93">
        <f t="shared" ref="M54:M74" si="82">N54+O54</f>
        <v>29</v>
      </c>
      <c r="N54" s="96">
        <f>COUNTIFS(ШТАТ!AM:AM,"ГСАБатр",ШТАТ!AK:AK,4,ШТАТ!AJ:AJ,"к/с")</f>
        <v>13</v>
      </c>
      <c r="O54" s="96">
        <f>COUNTIFS(ШТАТ!AM:AM,"ГСАБатр",ШТАТ!AK:AK,4,ШТАТ!AJ:AJ,"с/с")</f>
        <v>16</v>
      </c>
      <c r="P54" s="19">
        <f t="shared" ref="P54:P62" si="83">SUM(Q54:R54)</f>
        <v>35</v>
      </c>
      <c r="Q54" s="22">
        <f t="shared" ref="Q54:R62" si="84">K54+N54</f>
        <v>19</v>
      </c>
      <c r="R54" s="21">
        <f t="shared" si="84"/>
        <v>16</v>
      </c>
      <c r="S54" s="19">
        <f t="shared" ref="S54:S62" si="85">SUM(H54:J54,M54)</f>
        <v>41</v>
      </c>
      <c r="T54" s="23">
        <f t="shared" si="59"/>
        <v>0.87234042553191493</v>
      </c>
      <c r="U54" s="102">
        <f>COUNTIFS(ШТАТ!U:U,"",ШТАТ!AM:AM,"ГСАБатр",ШТАТ!AJ:AJ,"о")</f>
        <v>3</v>
      </c>
      <c r="V54" s="102">
        <f>COUNTIFS(ШТАТ!U:U,"",ШТАТ!AM:AM,"ГСАБатр",ШТАТ!AJ:AJ,"п")</f>
        <v>1</v>
      </c>
      <c r="W54" s="103">
        <f t="shared" si="60"/>
        <v>2</v>
      </c>
      <c r="X54" s="107">
        <f>COUNTIFS(ШТАТ!U:U,"",ШТАТ!AM:AM,"ГСАБатр",ШТАТ!AK:AK,3,ШТАТ!AJ:AJ,"к/с")</f>
        <v>2</v>
      </c>
      <c r="Y54" s="102">
        <v>0</v>
      </c>
      <c r="Z54" s="103">
        <f t="shared" ref="Z54:Z62" si="86">SUM(AA54:AB54)</f>
        <v>13</v>
      </c>
      <c r="AA54" s="108">
        <f>COUNTIFS(ШТАТ!U:U,"",ШТАТ!AM:AM,"ГСАБатр",ШТАТ!AK:AK,4,ШТАТ!AJ:AJ,"к/с")</f>
        <v>1</v>
      </c>
      <c r="AB54" s="107">
        <f>COUNTIFS(ШТАТ!U:U,"",ШТАТ!AM:AM,"ГСАБатр",ШТАТ!AK:AK,4,ШТАТ!AJ:AJ,"с/с")</f>
        <v>12</v>
      </c>
      <c r="AC54" s="25">
        <f t="shared" ref="AC54:AC62" si="87">SUM(AD54:AE54)</f>
        <v>15</v>
      </c>
      <c r="AD54" s="21">
        <f t="shared" ref="AD54:AD74" si="88">X54+AA54</f>
        <v>3</v>
      </c>
      <c r="AE54" s="21">
        <f t="shared" si="58"/>
        <v>12</v>
      </c>
      <c r="AF54" s="19">
        <f t="shared" si="68"/>
        <v>19</v>
      </c>
      <c r="AG54" s="62"/>
      <c r="AH54" s="24">
        <f>COUNTIFS(ШТАТ!AM:AM,$B54,ШТАТ!$U:$U,"МП")</f>
        <v>0</v>
      </c>
      <c r="AI54" s="62">
        <f>COUNTIFS(ШТАТ!AM:AM,"ГСАБатр",ШТАТ!U:U,"осв-ие")</f>
        <v>0</v>
      </c>
      <c r="AJ54" s="24">
        <f>COUNTIFS(ШТАТ!AM:AM,"ГСАБатр",ШТАТ!U:U,"госп")</f>
        <v>2</v>
      </c>
      <c r="AK54" s="27">
        <f t="shared" ref="AK54:AK62" si="89">SUM(AL54:BD54)</f>
        <v>15</v>
      </c>
      <c r="AL54" s="62">
        <f>COUNTIFS(ШТАТ!AM:AM,"ГСАБатр",ШТАТ!W:W,"Барсуковка")</f>
        <v>0</v>
      </c>
      <c r="AM54" s="24">
        <f>COUNTIFS(ШТАТ!$AL:$AL,$B54,ШТАТ!$W:$W,"Павенково")</f>
        <v>0</v>
      </c>
      <c r="AN54" s="18">
        <v>0</v>
      </c>
      <c r="AO54" s="62">
        <f>COUNTIFS(ШТАТ!AM:AM,"ГСАБатр",ШТАТ!W:W,"полигон Чехово")</f>
        <v>0</v>
      </c>
      <c r="AP54" s="60">
        <f>COUNTIFS(ШТАТ!AM:AM,"ГСАБатр",ШТАТ!X:X,"Такелажные работы")</f>
        <v>1</v>
      </c>
      <c r="AQ54" s="18">
        <f>COUNTIFS(ШТАТ!AM:AM,"ГСАБатр",ШТАТ!X:X,"Усиление объектов")</f>
        <v>0</v>
      </c>
      <c r="AR54" s="60">
        <f>COUNTIFS(ШТАТ!AM:AM,"ГСАБатр",ШТАТ!U:U,"полигон")-SUM(AL54:AO54)</f>
        <v>0</v>
      </c>
      <c r="AS54" s="62"/>
      <c r="AT54" s="24">
        <f>COUNTIFS(ШТАТ!AM:AM,"ГСАБатр",ШТАТ!X:X,"САР")</f>
        <v>0</v>
      </c>
      <c r="AU54" s="62">
        <f>COUNTIFS(ШТАТ!AM:AM,"ГСАБатр",ШТАТ!X:X,"Выполнение специальных задач")</f>
        <v>5</v>
      </c>
      <c r="AV54" s="24">
        <f>COUNTIFS(ШТАТ!AM:AM,"ГСАБатр",ШТАТ!X:X,"Переподготовка")</f>
        <v>0</v>
      </c>
      <c r="AW54" s="62">
        <f>COUNTIFS(ШТАТ!AM:AM,"ГСАБатр",ШТАТ!X:X,"Усиление объектов")</f>
        <v>0</v>
      </c>
      <c r="AX54" s="24">
        <v>0</v>
      </c>
      <c r="AY54" s="24"/>
      <c r="AZ54" s="62">
        <f>COUNTIFS(ШТАТ!AM:AM,"ГСАБатр",ШТАТ!W:W,"г. Белгород")</f>
        <v>7</v>
      </c>
      <c r="BA54" s="62">
        <f>COUNTIFS(ШТАТ!AM:AM,"ГСАБатр",ШТАТ!W:W,"в/ч 38838")</f>
        <v>0</v>
      </c>
      <c r="BB54" s="62">
        <f>COUNTIFS(ШТАТ!AM:AM,"ГСАБатр",ШТАТ!W:W,"в/ч 90151")</f>
        <v>0</v>
      </c>
      <c r="BC54" s="62"/>
      <c r="BD54" s="26">
        <f>COUNTIFS(ШТАТ!AM:AM,$B54,ШТАТ!$U:$U,"ком-ка")-SUM(AS54:BC54)-AP54-AQ54</f>
        <v>2</v>
      </c>
      <c r="BE54" s="62">
        <f>COUNTIFS(ШТАТ!AM:AM,"ГСАБатр",ШТАТ!U:U,"отпуск")</f>
        <v>2</v>
      </c>
      <c r="BF54" s="22"/>
      <c r="BG54" s="24">
        <f>COUNTIFS(ШТАТ!AM:AM,B54,ШТАТ!U:U,"СОЧ")</f>
        <v>3</v>
      </c>
      <c r="BH54" s="28">
        <f>SUM(AG54:AJ54)+SUM(BE54:BG54)+AK54</f>
        <v>22</v>
      </c>
      <c r="BI54" s="29" t="e">
        <f>#REF!-#REF!</f>
        <v>#REF!</v>
      </c>
      <c r="BJ54" s="19" t="e">
        <f t="shared" si="17"/>
        <v>#REF!</v>
      </c>
    </row>
    <row r="55" spans="1:62" ht="71.25" customHeight="1" thickBot="1" x14ac:dyDescent="0.3">
      <c r="A55" s="16">
        <v>14</v>
      </c>
      <c r="B55" s="65" t="s">
        <v>646</v>
      </c>
      <c r="C55" s="18">
        <f>COUNTIFS(ШТАТ!AM:AM,"ЗРБатр",ШТАТ!AK:AK,1)</f>
        <v>4</v>
      </c>
      <c r="D55" s="18">
        <f>COUNTIFS(ШТАТ!AM:AM,"ЗРБатр",ШТАТ!AK:AK,2)</f>
        <v>1</v>
      </c>
      <c r="E55" s="18">
        <f>COUNTIFS(ШТАТ!AM:AM,"ЗРБатр",ШТАТ!AK:AK,3)</f>
        <v>10</v>
      </c>
      <c r="F55" s="18">
        <f>COUNTIFS(ШТАТ!AM:AM,"ЗРБатр",ШТАТ!AK:AK,4)</f>
        <v>30</v>
      </c>
      <c r="G55" s="19">
        <f t="shared" si="80"/>
        <v>45</v>
      </c>
      <c r="H55" s="18">
        <f>COUNTIFS(ШТАТ!AM:AM,"ЗРБатр",ШТАТ!AJ:AJ,"о")</f>
        <v>4</v>
      </c>
      <c r="I55" s="18">
        <f>COUNTIFS(ШТАТ!AM:AM,"ЗРБатр",ШТАТ!AJ:AJ,"п")</f>
        <v>1</v>
      </c>
      <c r="J55" s="19">
        <f t="shared" si="81"/>
        <v>9</v>
      </c>
      <c r="K55" s="61">
        <f>COUNTIFS(ШТАТ!AM:AM,"ЗРБатр",ШТАТ!AK:AK,3,ШТАТ!AJ:AJ,"к/с")</f>
        <v>9</v>
      </c>
      <c r="L55" s="21">
        <v>0</v>
      </c>
      <c r="M55" s="19">
        <f t="shared" si="82"/>
        <v>30</v>
      </c>
      <c r="N55" s="22">
        <f>COUNTIFS(ШТАТ!AM:AM,"ЗРБатр",ШТАТ!AK:AK,4,ШТАТ!AJ:AJ,"к/с")</f>
        <v>30</v>
      </c>
      <c r="O55" s="22">
        <f>COUNTIFS(ШТАТ!AM:AM,"ЗРБатр",ШТАТ!AK:AK,4,ШТАТ!AJ:AJ,"с/с")</f>
        <v>0</v>
      </c>
      <c r="P55" s="19">
        <f t="shared" si="83"/>
        <v>39</v>
      </c>
      <c r="Q55" s="22">
        <f t="shared" si="84"/>
        <v>39</v>
      </c>
      <c r="R55" s="21">
        <f t="shared" si="84"/>
        <v>0</v>
      </c>
      <c r="S55" s="19">
        <f t="shared" si="85"/>
        <v>44</v>
      </c>
      <c r="T55" s="23">
        <f t="shared" si="59"/>
        <v>0.97777777777777775</v>
      </c>
      <c r="U55" s="62">
        <f>COUNTIFS(ШТАТ!U:U,"",ШТАТ!AM:AM,"ЗРБатр",ШТАТ!AJ:AJ,"о")</f>
        <v>0</v>
      </c>
      <c r="V55" s="24">
        <f>COUNTIFS(ШТАТ!U:U,"",ШТАТ!AM:AM,"ЗРБатр",ШТАТ!AJ:AJ,"п")</f>
        <v>0</v>
      </c>
      <c r="W55" s="103">
        <f t="shared" si="60"/>
        <v>0</v>
      </c>
      <c r="X55" s="62">
        <f>COUNTIFS(ШТАТ!U:U,"",ШТАТ!AM:AM,"ЗРБатр",ШТАТ!AK:AK,3,ШТАТ!AJ:AJ,"к/с")</f>
        <v>0</v>
      </c>
      <c r="Y55" s="24">
        <v>0</v>
      </c>
      <c r="Z55" s="25">
        <f t="shared" si="86"/>
        <v>1</v>
      </c>
      <c r="AA55" s="63">
        <f>COUNTIFS(ШТАТ!U:U,"",ШТАТ!AM:AM,"ЗРБатр",ШТАТ!AK:AK,4,ШТАТ!AJ:AJ,"к/с")</f>
        <v>1</v>
      </c>
      <c r="AB55" s="62">
        <f>COUNTIFS(ШТАТ!U:U,"",ШТАТ!AM:AM,"ЗРБатр",ШТАТ!AK:AK,4,ШТАТ!AJ:AJ,"с/с")</f>
        <v>0</v>
      </c>
      <c r="AC55" s="25">
        <f t="shared" si="87"/>
        <v>1</v>
      </c>
      <c r="AD55" s="21">
        <f t="shared" si="88"/>
        <v>1</v>
      </c>
      <c r="AE55" s="21">
        <f t="shared" si="58"/>
        <v>0</v>
      </c>
      <c r="AF55" s="19">
        <f t="shared" si="68"/>
        <v>1</v>
      </c>
      <c r="AG55" s="62"/>
      <c r="AH55" s="24">
        <f>COUNTIFS(ШТАТ!AM:AM,$B55,ШТАТ!$U:$U,"МП")</f>
        <v>0</v>
      </c>
      <c r="AI55" s="62">
        <f>COUNTIFS(ШТАТ!AM:AM,"ЗРБатр",ШТАТ!U:U,"осв-ие")</f>
        <v>0</v>
      </c>
      <c r="AJ55" s="24">
        <f>COUNTIFS(ШТАТ!AM:AM,"ЗРБатр",ШТАТ!U:U,"госп")</f>
        <v>0</v>
      </c>
      <c r="AK55" s="27">
        <f t="shared" si="89"/>
        <v>43</v>
      </c>
      <c r="AL55" s="62">
        <f>COUNTIFS(ШТАТ!AM:AM,"ЗРБатр",ШТАТ!W:W,"Барсуковка")</f>
        <v>0</v>
      </c>
      <c r="AM55" s="24">
        <f>COUNTIFS(ШТАТ!$AL:$AL,$B55,ШТАТ!$W:$W,"Павенково")</f>
        <v>0</v>
      </c>
      <c r="AN55" s="18">
        <v>0</v>
      </c>
      <c r="AO55" s="62">
        <f>COUNTIFS(ШТАТ!AM:AM,"ЗРБатр",ШТАТ!W:W,"полигон Чехово")</f>
        <v>0</v>
      </c>
      <c r="AP55" s="60">
        <f>COUNTIFS(ШТАТ!AM:AM,"ЗРБатр",ШТАТ!X:X,"Такелажные работы")</f>
        <v>0</v>
      </c>
      <c r="AQ55" s="18">
        <f>COUNTIFS(ШТАТ!AM:AM,"ЗРБатр",ШТАТ!X:X,"Усиление объектов")</f>
        <v>0</v>
      </c>
      <c r="AR55" s="60">
        <f>COUNTIFS(ШТАТ!AM:AM,"ЗРБатр",ШТАТ!U:U,"полигон")-SUM(AL55:AO55)</f>
        <v>0</v>
      </c>
      <c r="AS55" s="62"/>
      <c r="AT55" s="24">
        <f>COUNTIFS(ШТАТ!AM:AM,"ЗРБатр",ШТАТ!X:X,"САР")</f>
        <v>0</v>
      </c>
      <c r="AU55" s="62">
        <f>COUNTIFS(ШТАТ!AM:AM,"ЗРБатр",ШТАТ!X:X,"Выполнение специальных задач")</f>
        <v>0</v>
      </c>
      <c r="AV55" s="24">
        <f>COUNTIFS(ШТАТ!AM:AM,"ЗРБатр",ШТАТ!X:X,"Переподготовка")</f>
        <v>0</v>
      </c>
      <c r="AW55" s="62">
        <f>COUNTIFS(ШТАТ!AM:AM,"ЗРБатр",ШТАТ!X:X,"Усиление объектов")</f>
        <v>0</v>
      </c>
      <c r="AX55" s="24"/>
      <c r="AY55" s="24"/>
      <c r="AZ55" s="62">
        <f>COUNTIFS(ШТАТ!AM:AM,"ЗРБатр",ШТАТ!W:W,"г. Белгород")</f>
        <v>43</v>
      </c>
      <c r="BA55" s="62">
        <f>COUNTIFS(ШТАТ!AM:AM,"ЗРБатр",ШТАТ!W:W,"в/ч 38838")</f>
        <v>0</v>
      </c>
      <c r="BB55" s="62">
        <f>COUNTIFS(ШТАТ!AM:AM,"ЗРБатр",ШТАТ!W:W,"в/ч 90151")</f>
        <v>0</v>
      </c>
      <c r="BC55" s="62"/>
      <c r="BD55" s="26">
        <f>COUNTIFS(ШТАТ!AM:AM,$B55,ШТАТ!$U:$U,"ком-ка")-SUM(AS55:BC55)-AP55-AQ55</f>
        <v>0</v>
      </c>
      <c r="BE55" s="62">
        <f>COUNTIFS(ШТАТ!AM:AM,"ЗРБатр",ШТАТ!U:U,"отпуск")</f>
        <v>0</v>
      </c>
      <c r="BF55" s="22"/>
      <c r="BG55" s="24">
        <f>COUNTIFS(ШТАТ!AM:AM,B55,ШТАТ!U:U,"СОЧ")</f>
        <v>0</v>
      </c>
      <c r="BH55" s="28">
        <f t="shared" ref="BH55:BH62" si="90">SUM(AG55:AJ55)+SUM(BE55:BG55)+AK55</f>
        <v>43</v>
      </c>
      <c r="BI55" s="29" t="e">
        <f>#REF!-#REF!</f>
        <v>#REF!</v>
      </c>
      <c r="BJ55" s="19" t="e">
        <f t="shared" si="17"/>
        <v>#REF!</v>
      </c>
    </row>
    <row r="56" spans="1:62" ht="106.5" customHeight="1" thickBot="1" x14ac:dyDescent="0.3">
      <c r="A56" s="16"/>
      <c r="B56" s="65" t="s">
        <v>662</v>
      </c>
      <c r="C56" s="18">
        <f>COUNTIFS(ШТАТ!AM:AM,"ИСР",ШТАТ!AK:AK,1)</f>
        <v>3</v>
      </c>
      <c r="D56" s="18">
        <f>COUNTIFS(ШТАТ!AM:AM,"ИСР",ШТАТ!AK:AK,2)</f>
        <v>1</v>
      </c>
      <c r="E56" s="18">
        <f>COUNTIFS(ШТАТ!AM:AM,"ИСР",ШТАТ!AK:AK,3)</f>
        <v>10</v>
      </c>
      <c r="F56" s="18">
        <f>COUNTIFS(ШТАТ!AM:AM,"ИСР",ШТАТ!AK:AK,4)</f>
        <v>53</v>
      </c>
      <c r="G56" s="19">
        <f t="shared" si="80"/>
        <v>67</v>
      </c>
      <c r="H56" s="18">
        <f>COUNTIFS(ШТАТ!AM:AM,"ИСР",ШТАТ!AJ:AJ,"о")</f>
        <v>2</v>
      </c>
      <c r="I56" s="18">
        <f>COUNTIFS(ШТАТ!AM:AM,"ИСР",ШТАТ!AJ:AJ,"п")</f>
        <v>1</v>
      </c>
      <c r="J56" s="19">
        <f t="shared" si="81"/>
        <v>3</v>
      </c>
      <c r="K56" s="61">
        <f>COUNTIFS(ШТАТ!AM:AM,"ИСР",ШТАТ!AK:AK,3,ШТАТ!AJ:AJ,"к/с")</f>
        <v>3</v>
      </c>
      <c r="L56" s="21">
        <v>0</v>
      </c>
      <c r="M56" s="19">
        <f t="shared" si="82"/>
        <v>53</v>
      </c>
      <c r="N56" s="22">
        <f>COUNTIFS(ШТАТ!AM:AM,"ИСР",ШТАТ!AK:AK,4,ШТАТ!AJ:AJ,"к/с")</f>
        <v>8</v>
      </c>
      <c r="O56" s="22">
        <f>COUNTIFS(ШТАТ!AM:AM,"ИСР",ШТАТ!AK:AK,4,ШТАТ!AJ:AJ,"с/с")</f>
        <v>45</v>
      </c>
      <c r="P56" s="19">
        <f t="shared" si="83"/>
        <v>56</v>
      </c>
      <c r="Q56" s="22">
        <f t="shared" si="84"/>
        <v>11</v>
      </c>
      <c r="R56" s="21">
        <f t="shared" si="84"/>
        <v>45</v>
      </c>
      <c r="S56" s="19">
        <f t="shared" si="85"/>
        <v>59</v>
      </c>
      <c r="T56" s="23">
        <f t="shared" si="59"/>
        <v>0.88059701492537312</v>
      </c>
      <c r="U56" s="62">
        <f>COUNTIFS(ШТАТ!U:U,"",ШТАТ!AM:AM,"ИСР",ШТАТ!AJ:AJ,"о")</f>
        <v>0</v>
      </c>
      <c r="V56" s="24">
        <f>COUNTIFS(ШТАТ!U:U,"",ШТАТ!AM:AM,"ИСР",ШТАТ!AJ:AJ,"п")</f>
        <v>0</v>
      </c>
      <c r="W56" s="103">
        <f t="shared" si="60"/>
        <v>1</v>
      </c>
      <c r="X56" s="62">
        <f>COUNTIFS(ШТАТ!U:U,"",ШТАТ!AM:AM,"ИСР",ШТАТ!AK:AK,3,ШТАТ!AJ:AJ,"к/с")</f>
        <v>1</v>
      </c>
      <c r="Y56" s="24">
        <v>0</v>
      </c>
      <c r="Z56" s="25">
        <f t="shared" si="86"/>
        <v>35</v>
      </c>
      <c r="AA56" s="63">
        <f>COUNTIFS(ШТАТ!U:U,"",ШТАТ!AM:AM,"ИСР",ШТАТ!AK:AK,4,ШТАТ!AJ:AJ,"к/с")</f>
        <v>2</v>
      </c>
      <c r="AB56" s="62">
        <f>COUNTIFS(ШТАТ!U:U,"",ШТАТ!AM:AM,"ИСР",ШТАТ!AK:AK,4,ШТАТ!AJ:AJ,"с/с")</f>
        <v>33</v>
      </c>
      <c r="AC56" s="25">
        <f t="shared" si="87"/>
        <v>36</v>
      </c>
      <c r="AD56" s="21">
        <f t="shared" si="88"/>
        <v>3</v>
      </c>
      <c r="AE56" s="21">
        <f t="shared" si="58"/>
        <v>33</v>
      </c>
      <c r="AF56" s="19">
        <f t="shared" si="68"/>
        <v>36</v>
      </c>
      <c r="AG56" s="62"/>
      <c r="AH56" s="24">
        <f>COUNTIFS(ШТАТ!AM:AM,$B56,ШТАТ!$U:$U,"МП")</f>
        <v>1</v>
      </c>
      <c r="AI56" s="62">
        <f>COUNTIFS(ШТАТ!AM:AM,"ИСР",ШТАТ!U:U,"осв-ие")</f>
        <v>0</v>
      </c>
      <c r="AJ56" s="24">
        <f>COUNTIFS(ШТАТ!AM:AM,"ИСР",ШТАТ!U:U,"госп")</f>
        <v>1</v>
      </c>
      <c r="AK56" s="27">
        <f t="shared" si="89"/>
        <v>20</v>
      </c>
      <c r="AL56" s="62">
        <f>COUNTIFS(ШТАТ!AM:AM,"ИСР",ШТАТ!W:W,"Барсуковка")</f>
        <v>0</v>
      </c>
      <c r="AM56" s="24">
        <f>COUNTIFS(ШТАТ!$AL:$AL,$B56,ШТАТ!$W:$W,"Павенково")</f>
        <v>0</v>
      </c>
      <c r="AN56" s="18">
        <v>0</v>
      </c>
      <c r="AO56" s="62">
        <f>COUNTIFS(ШТАТ!AM:AM,"ИСР",ШТАТ!W:W,"полигон Чехово")</f>
        <v>0</v>
      </c>
      <c r="AP56" s="60">
        <f>COUNTIFS(ШТАТ!AM:AM,"ИСР",ШТАТ!X:X,"Такелажные работы")</f>
        <v>8</v>
      </c>
      <c r="AQ56" s="18">
        <f>COUNTIFS(ШТАТ!AM:AM,"ИСР",ШТАТ!X:X,"Усиление объектов")</f>
        <v>0</v>
      </c>
      <c r="AR56" s="60">
        <f>COUNTIFS(ШТАТ!AM:AM,"ИСР",ШТАТ!U:U,"полигон")-SUM(AL56:AO56)</f>
        <v>0</v>
      </c>
      <c r="AS56" s="62"/>
      <c r="AT56" s="24">
        <f>COUNTIFS(ШТАТ!AM:AM,"ИСР",ШТАТ!X:X,"САР")</f>
        <v>0</v>
      </c>
      <c r="AU56" s="62">
        <f>COUNTIFS(ШТАТ!AM:AM,"ИСР",ШТАТ!X:X,"Выполнение специальных задач")</f>
        <v>3</v>
      </c>
      <c r="AV56" s="24">
        <f>COUNTIFS(ШТАТ!AM:AM,"ИСР",ШТАТ!X:X,"Переподготовка")</f>
        <v>0</v>
      </c>
      <c r="AW56" s="62">
        <f>COUNTIFS(ШТАТ!AM:AM,"ИСР",ШТАТ!X:X,"Усиление объектов")</f>
        <v>0</v>
      </c>
      <c r="AX56" s="24">
        <v>0</v>
      </c>
      <c r="AY56" s="24"/>
      <c r="AZ56" s="62">
        <f>COUNTIFS(ШТАТ!AM:AM,"ИСР",ШТАТ!W:W,"г. Белгород")</f>
        <v>7</v>
      </c>
      <c r="BA56" s="62">
        <f>COUNTIFS(ШТАТ!AM:AM,"ИСР",ШТАТ!W:W,"в/ч 38838")</f>
        <v>1</v>
      </c>
      <c r="BB56" s="62">
        <f>COUNTIFS(ШТАТ!AM:AM,"ИСР",ШТАТ!W:W,"в/ч 90151")</f>
        <v>0</v>
      </c>
      <c r="BC56" s="62"/>
      <c r="BD56" s="26">
        <f>COUNTIFS(ШТАТ!AM:AM,$B56,ШТАТ!$U:$U,"ком-ка")-SUM(AS56:BC56)-AP56-AQ56</f>
        <v>1</v>
      </c>
      <c r="BE56" s="62">
        <f>COUNTIFS(ШТАТ!AM:AM,"ИСР",ШТАТ!U:U,"отпуск")</f>
        <v>0</v>
      </c>
      <c r="BF56" s="22"/>
      <c r="BG56" s="24">
        <f>COUNTIFS(ШТАТ!AM:AM,B56,ШТАТ!U:U,"СОЧ")</f>
        <v>1</v>
      </c>
      <c r="BH56" s="28">
        <f>SUM(AG56:AJ56)+SUM(BE56:BG56)+AK56</f>
        <v>23</v>
      </c>
      <c r="BI56" s="29" t="e">
        <f>#REF!-#REF!</f>
        <v>#REF!</v>
      </c>
      <c r="BJ56" s="19" t="e">
        <f>SUM(BH56:BI56)</f>
        <v>#REF!</v>
      </c>
    </row>
    <row r="57" spans="1:62" ht="60" customHeight="1" thickBot="1" x14ac:dyDescent="0.3">
      <c r="A57" s="16">
        <v>15</v>
      </c>
      <c r="B57" s="65" t="s">
        <v>707</v>
      </c>
      <c r="C57" s="18">
        <f>COUNTIFS(ШТАТ!AM:AM,"ВРХБЗ",ШТАТ!AK:AK,1)</f>
        <v>1</v>
      </c>
      <c r="D57" s="18">
        <f>COUNTIFS(ШТАТ!AM:AM,"ВРХБЗ",ШТАТ!AK:AK,2)</f>
        <v>0</v>
      </c>
      <c r="E57" s="18">
        <f>COUNTIFS(ШТАТ!AM:AM,"ВРХБЗ",ШТАТ!AK:AK,3)</f>
        <v>3</v>
      </c>
      <c r="F57" s="18">
        <f>COUNTIFS(ШТАТ!AM:AM,"ВРХБЗ",ШТАТ!AK:AK,4)</f>
        <v>8</v>
      </c>
      <c r="G57" s="19">
        <f t="shared" si="80"/>
        <v>12</v>
      </c>
      <c r="H57" s="18">
        <f>COUNTIFS(ШТАТ!AM:AM,"ВРХБЗ",ШТАТ!AJ:AJ,"о")</f>
        <v>0</v>
      </c>
      <c r="I57" s="18">
        <f>COUNTIFS(ШТАТ!AM:AM,"ВРХБЗ",ШТАТ!AJ:AJ,"п")</f>
        <v>0</v>
      </c>
      <c r="J57" s="19">
        <f t="shared" si="81"/>
        <v>1</v>
      </c>
      <c r="K57" s="61">
        <f>COUNTIFS(ШТАТ!AM:AM,"ВРХБЗ",ШТАТ!AK:AK,3,ШТАТ!AJ:AJ,"к/с")</f>
        <v>1</v>
      </c>
      <c r="L57" s="21">
        <v>0</v>
      </c>
      <c r="M57" s="19">
        <f t="shared" si="82"/>
        <v>8</v>
      </c>
      <c r="N57" s="22">
        <f>COUNTIFS(ШТАТ!AM:AM,"ВРХБЗ",ШТАТ!AK:AK,4,ШТАТ!AJ:AJ,"к/с")</f>
        <v>1</v>
      </c>
      <c r="O57" s="22">
        <f>COUNTIFS(ШТАТ!AM:AM,"ВРХБЗ",ШТАТ!AK:AK,4,ШТАТ!AJ:AJ,"с/с")</f>
        <v>7</v>
      </c>
      <c r="P57" s="19">
        <f t="shared" si="83"/>
        <v>9</v>
      </c>
      <c r="Q57" s="22">
        <f t="shared" si="84"/>
        <v>2</v>
      </c>
      <c r="R57" s="21">
        <f t="shared" si="84"/>
        <v>7</v>
      </c>
      <c r="S57" s="19">
        <f t="shared" si="85"/>
        <v>9</v>
      </c>
      <c r="T57" s="23">
        <f t="shared" si="59"/>
        <v>0.75</v>
      </c>
      <c r="U57" s="62">
        <f>COUNTIFS(ШТАТ!U:U,"",ШТАТ!AM:AM,"ВРХБЗ",ШТАТ!AJ:AJ,"о")</f>
        <v>0</v>
      </c>
      <c r="V57" s="24">
        <f>COUNTIFS(ШТАТ!U:U,"",ШТАТ!AM:AM,"ВРХБЗ",ШТАТ!AJ:AJ,"п")</f>
        <v>0</v>
      </c>
      <c r="W57" s="103">
        <f t="shared" si="60"/>
        <v>0</v>
      </c>
      <c r="X57" s="62">
        <f>COUNTIFS(ШТАТ!U:U,"",ШТАТ!AM:AM,"ВРХБЗ",ШТАТ!AK:AK,3,ШТАТ!AJ:AJ,"к/с")</f>
        <v>0</v>
      </c>
      <c r="Y57" s="24">
        <v>0</v>
      </c>
      <c r="Z57" s="25">
        <f t="shared" si="86"/>
        <v>3</v>
      </c>
      <c r="AA57" s="63">
        <f>COUNTIFS(ШТАТ!U:U,"",ШТАТ!AM:AM,"ВРХБЗ",ШТАТ!AK:AK,4,ШТАТ!AJ:AJ,"к/с")</f>
        <v>1</v>
      </c>
      <c r="AB57" s="62">
        <f>COUNTIFS(ШТАТ!U:U,"",ШТАТ!AM:AM,"ВРХБЗ",ШТАТ!AK:AK,4,ШТАТ!AJ:AJ,"с/с")</f>
        <v>2</v>
      </c>
      <c r="AC57" s="25">
        <f t="shared" si="87"/>
        <v>2</v>
      </c>
      <c r="AD57" s="21"/>
      <c r="AE57" s="21">
        <f t="shared" si="58"/>
        <v>2</v>
      </c>
      <c r="AF57" s="19">
        <f t="shared" si="68"/>
        <v>2</v>
      </c>
      <c r="AG57" s="62"/>
      <c r="AH57" s="24">
        <f>COUNTIFS(ШТАТ!AM:AM,$B57,ШТАТ!$U:$U,"МП")</f>
        <v>0</v>
      </c>
      <c r="AI57" s="62">
        <f>COUNTIFS(ШТАТ!AM:AM,"ВРХБЗ",ШТАТ!U:U,"осв-ие")</f>
        <v>0</v>
      </c>
      <c r="AJ57" s="24">
        <f>COUNTIFS(ШТАТ!AM:AM,"ВРХБЗ",ШТАТ!U:U,"госп")</f>
        <v>0</v>
      </c>
      <c r="AK57" s="27">
        <f t="shared" si="89"/>
        <v>6</v>
      </c>
      <c r="AL57" s="62">
        <f>COUNTIFS(ШТАТ!AM:AM,"ВРХБЗ",ШТАТ!W:W,"Барсуковка")</f>
        <v>0</v>
      </c>
      <c r="AM57" s="24">
        <f>COUNTIFS(ШТАТ!$AL:$AL,$B57,ШТАТ!$W:$W,"Павенково")</f>
        <v>0</v>
      </c>
      <c r="AN57" s="18"/>
      <c r="AO57" s="62">
        <f>COUNTIFS(ШТАТ!AM:AM,"ВРХБЗ",ШТАТ!W:W,"полигон Чехово")</f>
        <v>0</v>
      </c>
      <c r="AP57" s="60">
        <f>COUNTIFS(ШТАТ!AM:AM,"ВРХБЗ",ШТАТ!X:X,"Такелажные работы")</f>
        <v>4</v>
      </c>
      <c r="AQ57" s="18">
        <f>COUNTIFS(ШТАТ!AM:AM,"ВРХБЗ",ШТАТ!X:X,"Усиление объектов")</f>
        <v>0</v>
      </c>
      <c r="AR57" s="60">
        <f>COUNTIFS(ШТАТ!AM:AM,"ВРХБЗ",ШТАТ!U:U,"полигон")-SUM(AL57:AO57)</f>
        <v>0</v>
      </c>
      <c r="AS57" s="62"/>
      <c r="AT57" s="24">
        <f>COUNTIFS(ШТАТ!AM:AM,"ВРХБЗ",ШТАТ!X:X,"САР")</f>
        <v>0</v>
      </c>
      <c r="AU57" s="62">
        <f>COUNTIFS(ШТАТ!AM:AM,"ВРХБЗ",ШТАТ!X:X,"Выполнение специальных задач")</f>
        <v>0</v>
      </c>
      <c r="AV57" s="24">
        <f>COUNTIFS(ШТАТ!AM:AM,"ВРХБЗ",ШТАТ!X:X,"Переподготовка")</f>
        <v>0</v>
      </c>
      <c r="AW57" s="62">
        <f>COUNTIFS(ШТАТ!AM:AM,"ВРХБЗ",ШТАТ!X:X,"Усиление объектов")</f>
        <v>0</v>
      </c>
      <c r="AX57" s="24"/>
      <c r="AY57" s="24"/>
      <c r="AZ57" s="62">
        <f>COUNTIFS(ШТАТ!AM:AM,"ВРХБЗ",ШТАТ!W:W,"г. Белгород")</f>
        <v>0</v>
      </c>
      <c r="BA57" s="62">
        <f>COUNTIFS(ШТАТ!AM:AM,"ВРХБЗ",ШТАТ!W:W,"в/ч 38838")</f>
        <v>0</v>
      </c>
      <c r="BB57" s="62">
        <f>COUNTIFS(ШТАТ!AM:AM,"ВРХБЗ",ШТАТ!W:W,"в/ч 90151")</f>
        <v>2</v>
      </c>
      <c r="BC57" s="62"/>
      <c r="BD57" s="26">
        <f>COUNTIFS(ШТАТ!AM:AM,$B57,ШТАТ!$U:$U,"ком-ка")-SUM(AS57:BC57)-AP57-AQ57</f>
        <v>0</v>
      </c>
      <c r="BE57" s="62">
        <f>COUNTIFS(ШТАТ!AM:AM,"ВРХБЗ",ШТАТ!U:U,"отпуск")</f>
        <v>0</v>
      </c>
      <c r="BF57" s="22"/>
      <c r="BG57" s="24">
        <f>COUNTIFS(ШТАТ!AM:AM,B57,ШТАТ!U:U,"СОЧ")</f>
        <v>0</v>
      </c>
      <c r="BH57" s="28">
        <f t="shared" si="90"/>
        <v>6</v>
      </c>
      <c r="BI57" s="29" t="e">
        <f>#REF!-#REF!</f>
        <v>#REF!</v>
      </c>
      <c r="BJ57" s="19" t="e">
        <f t="shared" si="17"/>
        <v>#REF!</v>
      </c>
    </row>
    <row r="58" spans="1:62" ht="71.25" customHeight="1" thickBot="1" x14ac:dyDescent="0.3">
      <c r="A58" s="16">
        <v>18</v>
      </c>
      <c r="B58" s="65" t="s">
        <v>723</v>
      </c>
      <c r="C58" s="18">
        <f>COUNTIFS(ШТАТ!AM:AM,"РУ",ШТАТ!AK:AK,1)</f>
        <v>4</v>
      </c>
      <c r="D58" s="18">
        <f>COUNTIFS(ШТАТ!AM:AM,"РУ",ШТАТ!AK:AK,2)</f>
        <v>7</v>
      </c>
      <c r="E58" s="18">
        <f>COUNTIFS(ШТАТ!AM:AM,"РУ",ШТАТ!AK:AK,3)</f>
        <v>7</v>
      </c>
      <c r="F58" s="18">
        <f>COUNTIFS(ШТАТ!AM:AM,"РУ",ШТАТ!AK:AK,4)</f>
        <v>66</v>
      </c>
      <c r="G58" s="19">
        <f t="shared" si="80"/>
        <v>84</v>
      </c>
      <c r="H58" s="18">
        <f>COUNTIFS(ШТАТ!AM:AM,"РУ",ШТАТ!AJ:AJ,"о")</f>
        <v>4</v>
      </c>
      <c r="I58" s="18">
        <f>COUNTIFS(ШТАТ!AM:AM,"РУ",ШТАТ!AJ:AJ,"п")</f>
        <v>5</v>
      </c>
      <c r="J58" s="19">
        <f t="shared" si="81"/>
        <v>3</v>
      </c>
      <c r="K58" s="61">
        <f>COUNTIFS(ШТАТ!AM:AM,"РУ",ШТАТ!AK:AK,3,ШТАТ!AJ:AJ,"к/с")</f>
        <v>3</v>
      </c>
      <c r="L58" s="21">
        <v>0</v>
      </c>
      <c r="M58" s="19">
        <f t="shared" si="82"/>
        <v>62</v>
      </c>
      <c r="N58" s="22">
        <f>COUNTIFS(ШТАТ!AM:AM,"РУ",ШТАТ!AK:AK,4,ШТАТ!AJ:AJ,"к/с")</f>
        <v>6</v>
      </c>
      <c r="O58" s="22">
        <f>COUNTIFS(ШТАТ!AM:AM,"РУ",ШТАТ!AK:AK,4,ШТАТ!AJ:AJ,"с/с")</f>
        <v>56</v>
      </c>
      <c r="P58" s="19">
        <f t="shared" si="83"/>
        <v>65</v>
      </c>
      <c r="Q58" s="22">
        <f t="shared" si="84"/>
        <v>9</v>
      </c>
      <c r="R58" s="21">
        <f t="shared" si="84"/>
        <v>56</v>
      </c>
      <c r="S58" s="19">
        <f t="shared" si="85"/>
        <v>74</v>
      </c>
      <c r="T58" s="23">
        <f t="shared" si="59"/>
        <v>0.88095238095238093</v>
      </c>
      <c r="U58" s="62">
        <f>COUNTIFS(ШТАТ!U:U,"",ШТАТ!AM:AM,"РУ",ШТАТ!AJ:AJ,"о")</f>
        <v>3</v>
      </c>
      <c r="V58" s="24">
        <f>COUNTIFS(ШТАТ!U:U,"",ШТАТ!AM:AM,"РУ",ШТАТ!AJ:AJ,"п")</f>
        <v>1</v>
      </c>
      <c r="W58" s="103">
        <f t="shared" si="60"/>
        <v>0</v>
      </c>
      <c r="X58" s="62">
        <f>COUNTIFS(ШТАТ!U:U,"",ШТАТ!AM:AM,"РУ",ШТАТ!AK:AK,3,ШТАТ!AJ:AJ,"к/с")</f>
        <v>0</v>
      </c>
      <c r="Y58" s="24">
        <v>0</v>
      </c>
      <c r="Z58" s="25">
        <f t="shared" si="86"/>
        <v>51</v>
      </c>
      <c r="AA58" s="63">
        <f>COUNTIFS(ШТАТ!U:U,"",ШТАТ!AM:AM,"РУ",ШТАТ!AK:AK,4,ШТАТ!AJ:AJ,"к/с")</f>
        <v>1</v>
      </c>
      <c r="AB58" s="62">
        <f>COUNTIFS(ШТАТ!U:U,"",ШТАТ!AM:AM,"РУ",ШТАТ!AK:AK,4,ШТАТ!AJ:AJ,"с/с")</f>
        <v>50</v>
      </c>
      <c r="AC58" s="106">
        <f>SUM(AD58:AE58)</f>
        <v>51</v>
      </c>
      <c r="AD58" s="21">
        <f t="shared" si="88"/>
        <v>1</v>
      </c>
      <c r="AE58" s="21">
        <f t="shared" si="58"/>
        <v>50</v>
      </c>
      <c r="AF58" s="19">
        <f t="shared" si="68"/>
        <v>55</v>
      </c>
      <c r="AG58" s="62"/>
      <c r="AH58" s="24">
        <f>COUNTIFS(ШТАТ!AM:AM,$B58,ШТАТ!$U:$U,"МП")</f>
        <v>2</v>
      </c>
      <c r="AI58" s="62">
        <f>COUNTIFS(ШТАТ!AM:AM,"РУ",ШТАТ!U:U,"осв-ие")</f>
        <v>0</v>
      </c>
      <c r="AJ58" s="24">
        <f>COUNTIFS(ШТАТ!AM:AM,"РУ",ШТАТ!U:U,"госп")</f>
        <v>2</v>
      </c>
      <c r="AK58" s="27">
        <f t="shared" si="89"/>
        <v>14</v>
      </c>
      <c r="AL58" s="62">
        <f>COUNTIFS(ШТАТ!AM:AM,"РУ",ШТАТ!W:W,"Барсуковка")</f>
        <v>0</v>
      </c>
      <c r="AM58" s="24">
        <f>COUNTIFS(ШТАТ!$AL:$AL,$B58,ШТАТ!$W:$W,"Павенково")</f>
        <v>0</v>
      </c>
      <c r="AN58" s="18">
        <v>0</v>
      </c>
      <c r="AO58" s="62">
        <f>COUNTIFS(ШТАТ!AM:AM,"РУ",ШТАТ!W:W,"полигон Чехово")</f>
        <v>0</v>
      </c>
      <c r="AP58" s="60">
        <f>COUNTIFS(ШТАТ!AM:AM,"РУ",ШТАТ!X:X,"Такелажные работы")</f>
        <v>0</v>
      </c>
      <c r="AQ58" s="18">
        <f>COUNTIFS(ШТАТ!AM:AM,"РУ",ШТАТ!X:X,"Усиление объектов")</f>
        <v>0</v>
      </c>
      <c r="AR58" s="60">
        <f>COUNTIFS(ШТАТ!AM:AM,"РУ",ШТАТ!U:U,"полигон")-SUM(AL58:AO58)</f>
        <v>0</v>
      </c>
      <c r="AS58" s="62"/>
      <c r="AT58" s="24">
        <f>COUNTIFS(ШТАТ!AM:AM,"РУ",ШТАТ!X:X,"САР")</f>
        <v>0</v>
      </c>
      <c r="AU58" s="62">
        <f>COUNTIFS(ШТАТ!AM:AM,"РУ",ШТАТ!X:X,"Выполнение специальных задач")</f>
        <v>5</v>
      </c>
      <c r="AV58" s="24">
        <f>COUNTIFS(ШТАТ!AM:AM,"РУ",ШТАТ!X:X,"Переподготовка")</f>
        <v>0</v>
      </c>
      <c r="AW58" s="62">
        <f>COUNTIFS(ШТАТ!AM:AM,"РУ",ШТАТ!X:X,"Усиление объектов")</f>
        <v>0</v>
      </c>
      <c r="AX58" s="24">
        <v>0</v>
      </c>
      <c r="AY58" s="24"/>
      <c r="AZ58" s="62">
        <f>COUNTIFS(ШТАТ!AM:AM,"РУ",ШТАТ!W:W,"г. Белгород")</f>
        <v>5</v>
      </c>
      <c r="BA58" s="62">
        <f>COUNTIFS(ШТАТ!AM:AM,"РУ",ШТАТ!W:W,"в/ч 38838")</f>
        <v>0</v>
      </c>
      <c r="BB58" s="62">
        <f>COUNTIFS(ШТАТ!AM:AM,"РУ",ШТАТ!W:W,"в/ч 90151")</f>
        <v>0</v>
      </c>
      <c r="BC58" s="62"/>
      <c r="BD58" s="26">
        <f>COUNTIFS(ШТАТ!AM:AM,$B58,ШТАТ!$U:$U,"ком-ка")-SUM(AS58:BC58)-AP58-AQ58</f>
        <v>4</v>
      </c>
      <c r="BE58" s="62">
        <f>COUNTIFS(ШТАТ!AM:AM,"РУ",ШТАТ!U:U,"отпуск")</f>
        <v>1</v>
      </c>
      <c r="BF58" s="22"/>
      <c r="BG58" s="24">
        <f>COUNTIFS(ШТАТ!AM:AM,B58,ШТАТ!U:U,"СОЧ")</f>
        <v>0</v>
      </c>
      <c r="BH58" s="28">
        <f t="shared" si="90"/>
        <v>19</v>
      </c>
      <c r="BI58" s="29" t="e">
        <f>#REF!-#REF!</f>
        <v>#REF!</v>
      </c>
      <c r="BJ58" s="19" t="e">
        <f t="shared" si="17"/>
        <v>#REF!</v>
      </c>
    </row>
    <row r="59" spans="1:62" ht="71.25" customHeight="1" thickBot="1" x14ac:dyDescent="0.3">
      <c r="A59" s="16"/>
      <c r="B59" s="59" t="s">
        <v>784</v>
      </c>
      <c r="C59" s="18">
        <f>COUNTIFS(ШТАТ!AM:AM,B59,ШТАТ!AK:AK,1)</f>
        <v>1</v>
      </c>
      <c r="D59" s="18">
        <f>COUNTIFS(ШТАТ!AM:AM,B59,ШТАТ!AK:AK,2)</f>
        <v>0</v>
      </c>
      <c r="E59" s="18">
        <f>COUNTIFS(ШТАТ!AM:AM,B59,ШТАТ!AK:AK,3)</f>
        <v>2</v>
      </c>
      <c r="F59" s="18">
        <f>COUNTIFS(ШТАТ!AM:AM,B59,ШТАТ!AK:AK,4)</f>
        <v>5</v>
      </c>
      <c r="G59" s="19">
        <f t="shared" si="80"/>
        <v>8</v>
      </c>
      <c r="H59" s="18">
        <f>COUNTIFS(ШТАТ!AM:AM,"ВУНА",ШТАТ!AJ:AJ,"о")</f>
        <v>1</v>
      </c>
      <c r="I59" s="18">
        <f>COUNTIFS(ШТАТ!AM:AM,"ВУНА",ШТАТ!AJ:AJ,"п")</f>
        <v>0</v>
      </c>
      <c r="J59" s="19">
        <f t="shared" si="81"/>
        <v>1</v>
      </c>
      <c r="K59" s="61">
        <f>COUNTIFS(ШТАТ!AM:AM,"ВУНА",ШТАТ!AK:AK,3,ШТАТ!AJ:AJ,"к/с")</f>
        <v>1</v>
      </c>
      <c r="L59" s="21"/>
      <c r="M59" s="19">
        <f t="shared" si="82"/>
        <v>2</v>
      </c>
      <c r="N59" s="22">
        <f>COUNTIFS(ШТАТ!AM:AM,"ВУНА",ШТАТ!AK:AK,4,ШТАТ!AJ:AJ,"к/с")</f>
        <v>0</v>
      </c>
      <c r="O59" s="22">
        <f>COUNTIFS(ШТАТ!AM:AM,"ВУНА",ШТАТ!AK:AK,4,ШТАТ!AJ:AJ,"с/с")</f>
        <v>2</v>
      </c>
      <c r="P59" s="19">
        <f t="shared" si="83"/>
        <v>3</v>
      </c>
      <c r="Q59" s="22">
        <f t="shared" si="84"/>
        <v>1</v>
      </c>
      <c r="R59" s="21">
        <f t="shared" si="84"/>
        <v>2</v>
      </c>
      <c r="S59" s="19">
        <f t="shared" si="85"/>
        <v>4</v>
      </c>
      <c r="T59" s="23">
        <f t="shared" si="59"/>
        <v>0.5</v>
      </c>
      <c r="U59" s="62">
        <f>COUNTIFS(ШТАТ!U:U,"",ШТАТ!AM:AM,"ВУНА",ШТАТ!AJ:AJ,"о")</f>
        <v>1</v>
      </c>
      <c r="V59" s="24">
        <f>COUNTIFS(ШТАТ!U:U,"",ШТАТ!AM:AM,"ВУНА",ШТАТ!AJ:AJ,"п")</f>
        <v>0</v>
      </c>
      <c r="W59" s="103">
        <f t="shared" si="60"/>
        <v>0</v>
      </c>
      <c r="X59" s="62">
        <f>COUNTIFS(ШТАТ!U:U,"",ШТАТ!AM:AM,"ВУНА",ШТАТ!AK:AK,3,ШТАТ!AJ:AJ,"к/с")</f>
        <v>0</v>
      </c>
      <c r="Y59" s="24"/>
      <c r="Z59" s="25">
        <f t="shared" si="86"/>
        <v>2</v>
      </c>
      <c r="AA59" s="63">
        <f>COUNTIFS(ШТАТ!U:U,"",ШТАТ!AM:AM,"ВУНА",ШТАТ!AK:AK,4,ШТАТ!AJ:AJ,"к/с")</f>
        <v>0</v>
      </c>
      <c r="AB59" s="62">
        <f>COUNTIFS(ШТАТ!U:U,"",ШТАТ!AM:AM,"ВУНА",ШТАТ!AK:AK,4,ШТАТ!AJ:AJ,"с/с")</f>
        <v>2</v>
      </c>
      <c r="AC59" s="106"/>
      <c r="AD59" s="21">
        <f t="shared" si="88"/>
        <v>0</v>
      </c>
      <c r="AE59" s="21">
        <f t="shared" si="58"/>
        <v>2</v>
      </c>
      <c r="AF59" s="19">
        <f t="shared" si="68"/>
        <v>1</v>
      </c>
      <c r="AG59" s="62"/>
      <c r="AH59" s="24">
        <f>COUNTIFS(ШТАТ!AM:AM,$B59,ШТАТ!$U:$U,"МП")</f>
        <v>0</v>
      </c>
      <c r="AI59" s="62">
        <f>COUNTIFS(ШТАТ!AM:AM,"ВУНА",ШТАТ!U:U,"осв-ие")</f>
        <v>0</v>
      </c>
      <c r="AJ59" s="24">
        <f>COUNTIFS(ШТАТ!AM:AM,"ВУНА",ШТАТ!U:U,"госп")</f>
        <v>0</v>
      </c>
      <c r="AK59" s="27">
        <f t="shared" si="89"/>
        <v>1</v>
      </c>
      <c r="AL59" s="62">
        <f>COUNTIFS(ШТАТ!AM:AM,"ВУНА",ШТАТ!W:W,"Барсуковка")</f>
        <v>0</v>
      </c>
      <c r="AM59" s="24">
        <f>COUNTIFS(ШТАТ!$AL:$AL,$B59,ШТАТ!$W:$W,"Павенково")</f>
        <v>0</v>
      </c>
      <c r="AN59" s="18"/>
      <c r="AO59" s="62">
        <f>COUNTIFS(ШТАТ!AM:AM,"ВУНА",ШТАТ!W:W,"полигон Чехово")</f>
        <v>0</v>
      </c>
      <c r="AP59" s="60">
        <f>COUNTIFS(ШТАТ!AM:AM,"ВУНА",ШТАТ!X:X,"Такелажные работы")</f>
        <v>0</v>
      </c>
      <c r="AQ59" s="18">
        <f>COUNTIFS(ШТАТ!AM:AM,"ВУНА",ШТАТ!X:X,"Усиление объектов")</f>
        <v>0</v>
      </c>
      <c r="AR59" s="60">
        <f>COUNTIFS(ШТАТ!AM:AM,"ВУНА",ШТАТ!U:U,"полигон")-SUM(AL59:AO59)</f>
        <v>0</v>
      </c>
      <c r="AS59" s="62"/>
      <c r="AT59" s="24">
        <f>COUNTIFS(ШТАТ!AM:AM,"ВУНА",ШТАТ!X:X,"САР")</f>
        <v>0</v>
      </c>
      <c r="AU59" s="62">
        <f>COUNTIFS(ШТАТ!AM:AM,"ВУНА",ШТАТ!X:X,"Выполнение специальных задач")</f>
        <v>1</v>
      </c>
      <c r="AV59" s="24">
        <f>COUNTIFS(ШТАТ!AM:AM,"ВУНА",ШТАТ!X:X,"Переподготовка")</f>
        <v>0</v>
      </c>
      <c r="AW59" s="62">
        <f>COUNTIFS(ШТАТ!AM:AM,"ВУНА",ШТАТ!X:X,"Усиление объектов")</f>
        <v>0</v>
      </c>
      <c r="AX59" s="24"/>
      <c r="AY59" s="24"/>
      <c r="AZ59" s="62">
        <f>COUNTIFS(ШТАТ!AM:AM,"ВУНА",ШТАТ!W:W,"г. Белгород")</f>
        <v>0</v>
      </c>
      <c r="BA59" s="62">
        <f>COUNTIFS(ШТАТ!AM:AM,"ВУНА",ШТАТ!W:W,"в/ч 38838")</f>
        <v>0</v>
      </c>
      <c r="BB59" s="62">
        <f>COUNTIFS(ШТАТ!AM:AM,"ВУНА",ШТАТ!W:W,"в/ч 90151")</f>
        <v>0</v>
      </c>
      <c r="BC59" s="62"/>
      <c r="BD59" s="26">
        <f>COUNTIFS(ШТАТ!AM:AM,$B59,ШТАТ!$U:$U,"ком-ка")-SUM(AS59:BC59)-AP59-AQ59</f>
        <v>0</v>
      </c>
      <c r="BE59" s="62">
        <f>COUNTIFS(ШТАТ!AM:AM,"ВУНА",ШТАТ!U:U,"отпуск")</f>
        <v>0</v>
      </c>
      <c r="BF59" s="22"/>
      <c r="BG59" s="24">
        <f>COUNTIFS(ШТАТ!AM:AM,B59,ШТАТ!U:U,"СОЧ")</f>
        <v>0</v>
      </c>
      <c r="BH59" s="28">
        <f t="shared" si="90"/>
        <v>1</v>
      </c>
      <c r="BI59" s="29" t="e">
        <f>#REF!-#REF!</f>
        <v>#REF!</v>
      </c>
      <c r="BJ59" s="19" t="e">
        <f t="shared" si="17"/>
        <v>#REF!</v>
      </c>
    </row>
    <row r="60" spans="1:62" ht="71.25" customHeight="1" thickBot="1" x14ac:dyDescent="0.3">
      <c r="A60" s="16"/>
      <c r="B60" s="59" t="s">
        <v>3483</v>
      </c>
      <c r="C60" s="18">
        <f>COUNTIFS(ШТАТ!$AM:$AM,$B60,ШТАТ!$AK:$AK,1)</f>
        <v>2</v>
      </c>
      <c r="D60" s="18">
        <f>COUNTIFS(ШТАТ!$AM:$AM,$B60,ШТАТ!$AK:$AK,2)</f>
        <v>5</v>
      </c>
      <c r="E60" s="18">
        <f>COUNTIFS(ШТАТ!$AM:$AM,$B60,ШТАТ!$AK:$AK,3)</f>
        <v>11</v>
      </c>
      <c r="F60" s="18">
        <f>COUNTIFS(ШТАТ!$AM:$AM,$B60,ШТАТ!$AK:$AK,4)</f>
        <v>55</v>
      </c>
      <c r="G60" s="19">
        <f t="shared" si="80"/>
        <v>73</v>
      </c>
      <c r="H60" s="18">
        <f>COUNTIFS(ШТАТ!$AM:$AM,$B60,ШТАТ!$AJ:$AJ,"о")</f>
        <v>2</v>
      </c>
      <c r="I60" s="18">
        <f>COUNTIFS(ШТАТ!$AM:$AM,$B60,ШТАТ!$AJ:$AJ,"п")</f>
        <v>3</v>
      </c>
      <c r="J60" s="19">
        <f t="shared" si="81"/>
        <v>5</v>
      </c>
      <c r="K60" s="61">
        <f>COUNTIFS(ШТАТ!$AM:$AM,$B60,ШТАТ!$AK:$AK,3,ШТАТ!$AJ:$AJ,"к/с")</f>
        <v>5</v>
      </c>
      <c r="L60" s="21">
        <v>0</v>
      </c>
      <c r="M60" s="19">
        <f t="shared" si="82"/>
        <v>54</v>
      </c>
      <c r="N60" s="22">
        <f>COUNTIFS(ШТАТ!AM:AM,B60,ШТАТ!AK:AK,4,ШТАТ!AJ:AJ,"к/с")</f>
        <v>11</v>
      </c>
      <c r="O60" s="22">
        <f>COUNTIFS(ШТАТ!AM:AM,B60,ШТАТ!AK:AK,4,ШТАТ!AJ:AJ,"с/с")</f>
        <v>43</v>
      </c>
      <c r="P60" s="19">
        <f t="shared" si="83"/>
        <v>59</v>
      </c>
      <c r="Q60" s="22">
        <f t="shared" si="84"/>
        <v>16</v>
      </c>
      <c r="R60" s="21">
        <f t="shared" si="84"/>
        <v>43</v>
      </c>
      <c r="S60" s="19">
        <f t="shared" si="85"/>
        <v>64</v>
      </c>
      <c r="T60" s="23">
        <f t="shared" si="59"/>
        <v>0.87671232876712324</v>
      </c>
      <c r="U60" s="62">
        <f>COUNTIFS(ШТАТ!U:U,"",ШТАТ!AM:AM,B60,ШТАТ!AJ:AJ,"о")</f>
        <v>0</v>
      </c>
      <c r="V60" s="24">
        <f>COUNTIFS(ШТАТ!U:U,"",ШТАТ!AM:AM,B60,ШТАТ!AJ:AJ,"п")</f>
        <v>2</v>
      </c>
      <c r="W60" s="103">
        <f t="shared" si="60"/>
        <v>3</v>
      </c>
      <c r="X60" s="62">
        <f>COUNTIFS(ШТАТ!U:U,"",ШТАТ!AM:AM,"Рем.Р",ШТАТ!AK:AK,3,ШТАТ!AJ:AJ,"к/с")</f>
        <v>3</v>
      </c>
      <c r="Y60" s="24">
        <v>0</v>
      </c>
      <c r="Z60" s="25">
        <f t="shared" si="86"/>
        <v>43</v>
      </c>
      <c r="AA60" s="63">
        <f>COUNTIFS(ШТАТ!U:U,"",ШТАТ!AM:AM,"Рем.Р",ШТАТ!AK:AK,4,ШТАТ!AJ:AJ,"к/с")</f>
        <v>2</v>
      </c>
      <c r="AB60" s="62">
        <f>COUNTIFS(ШТАТ!U:U,"",ШТАТ!AM:AM,"Рем.Р",ШТАТ!AK:AK,4,ШТАТ!AJ:AJ,"с/с")</f>
        <v>41</v>
      </c>
      <c r="AC60" s="106">
        <f>SUM(AD60:AE60)</f>
        <v>46</v>
      </c>
      <c r="AD60" s="21">
        <f t="shared" si="88"/>
        <v>5</v>
      </c>
      <c r="AE60" s="21">
        <f t="shared" si="58"/>
        <v>41</v>
      </c>
      <c r="AF60" s="19">
        <f t="shared" si="68"/>
        <v>48</v>
      </c>
      <c r="AG60" s="62"/>
      <c r="AH60" s="24">
        <f>COUNTIFS(ШТАТ!AM:AM,$B60,ШТАТ!$U:$U,"МП")</f>
        <v>1</v>
      </c>
      <c r="AI60" s="62">
        <f>COUNTIFS(ШТАТ!AM:AM,"Рем.Р",ШТАТ!U:U,"осв-ие")</f>
        <v>0</v>
      </c>
      <c r="AJ60" s="24">
        <f>COUNTIFS(ШТАТ!AM:AM,"Рем.Р",ШТАТ!U:U,"госп")</f>
        <v>1</v>
      </c>
      <c r="AK60" s="27">
        <f t="shared" si="89"/>
        <v>14</v>
      </c>
      <c r="AL60" s="62">
        <f>COUNTIFS(ШТАТ!AM:AM,"Рем.Р",ШТАТ!W:W,"Барсуковка")</f>
        <v>0</v>
      </c>
      <c r="AM60" s="24">
        <f>COUNTIFS(ШТАТ!$AL:$AL,$B60,ШТАТ!$W:$W,"Павенково")</f>
        <v>0</v>
      </c>
      <c r="AN60" s="18"/>
      <c r="AO60" s="62">
        <f>COUNTIFS(ШТАТ!AM:AM,"Рем.Р",ШТАТ!W:W,"полигон Чехово")</f>
        <v>0</v>
      </c>
      <c r="AP60" s="60">
        <f>COUNTIFS(ШТАТ!AM:AM,"Рем.Р",ШТАТ!X:X,"Такелажные работы")</f>
        <v>0</v>
      </c>
      <c r="AQ60" s="18">
        <f>COUNTIFS(ШТАТ!AM:AM,"Рем.Р",ШТАТ!X:X,"Усиление объектов")</f>
        <v>0</v>
      </c>
      <c r="AR60" s="60">
        <f>COUNTIFS(ШТАТ!AM:AM,"Рем.Р",ШТАТ!U:U,"полигон")-SUM(AL60:AO60)</f>
        <v>0</v>
      </c>
      <c r="AS60" s="62"/>
      <c r="AT60" s="24">
        <f>COUNTIFS(ШТАТ!AM:AM,"Рем.Р",ШТАТ!X:X,"САР")</f>
        <v>0</v>
      </c>
      <c r="AU60" s="62">
        <f>COUNTIFS(ШТАТ!AM:AM,"Рем.Р",ШТАТ!X:X,"Выполнение специальных задач")</f>
        <v>2</v>
      </c>
      <c r="AV60" s="24">
        <f>COUNTIFS(ШТАТ!AM:AM,"Рем.Р",ШТАТ!X:X,"Переподготовка")</f>
        <v>0</v>
      </c>
      <c r="AW60" s="62">
        <f>COUNTIFS(ШТАТ!AM:AM,"Рем.Р",ШТАТ!X:X,"Усиление объектов")</f>
        <v>0</v>
      </c>
      <c r="AX60" s="24"/>
      <c r="AY60" s="24"/>
      <c r="AZ60" s="62">
        <f>COUNTIFS(ШТАТ!AM:AM,"Рем.Р",ШТАТ!W:W,"г. Белгород")</f>
        <v>9</v>
      </c>
      <c r="BA60" s="62">
        <f>COUNTIFS(ШТАТ!AM:AM,"Рем.Р",ШТАТ!W:W,"в/ч 38838")</f>
        <v>0</v>
      </c>
      <c r="BB60" s="62">
        <f>COUNTIFS(ШТАТ!AM:AM,"Рем.Р",ШТАТ!W:W,"в/ч 90151")</f>
        <v>0</v>
      </c>
      <c r="BC60" s="62"/>
      <c r="BD60" s="26">
        <f>COUNTIFS(ШТАТ!AM:AM,$B60,ШТАТ!$U:$U,"ком-ка")-SUM(AS60:BC60)-AP60-AQ60</f>
        <v>3</v>
      </c>
      <c r="BE60" s="62">
        <f>COUNTIFS(ШТАТ!AM:AM,"Рем.Р",ШТАТ!U:U,"отпуск")</f>
        <v>1</v>
      </c>
      <c r="BF60" s="22"/>
      <c r="BG60" s="24">
        <f>COUNTIFS(ШТАТ!AM:AM,B60,ШТАТ!U:U,"СОЧ")</f>
        <v>0</v>
      </c>
      <c r="BH60" s="28">
        <f t="shared" si="90"/>
        <v>17</v>
      </c>
      <c r="BI60" s="29" t="e">
        <f>#REF!-#REF!</f>
        <v>#REF!</v>
      </c>
      <c r="BJ60" s="19" t="e">
        <f t="shared" si="17"/>
        <v>#REF!</v>
      </c>
    </row>
    <row r="61" spans="1:62" ht="71.25" customHeight="1" thickBot="1" x14ac:dyDescent="0.3">
      <c r="A61" s="16"/>
      <c r="B61" s="59" t="s">
        <v>929</v>
      </c>
      <c r="C61" s="18">
        <f>COUNTIFS(ШТАТ!AM:AM," ВО П",ШТАТ!AK:AK,1)</f>
        <v>0</v>
      </c>
      <c r="D61" s="18">
        <f>COUNTIFS(ШТАТ!AM:AM," ВО П",ШТАТ!AK:AK,2)</f>
        <v>1</v>
      </c>
      <c r="E61" s="18">
        <f>COUNTIFS(ШТАТ!AM:AM," ВО П",ШТАТ!AK:AK,3)</f>
        <v>2</v>
      </c>
      <c r="F61" s="18">
        <f>COUNTIFS(ШТАТ!AM:AM," ВО П",ШТАТ!AK:AK,4)</f>
        <v>16</v>
      </c>
      <c r="G61" s="19">
        <f t="shared" si="80"/>
        <v>19</v>
      </c>
      <c r="H61" s="18">
        <f>COUNTIFS(ШТАТ!AM:AM," ВО П",ШТАТ!AJ:AJ,"о")</f>
        <v>0</v>
      </c>
      <c r="I61" s="18">
        <f>COUNTIFS(ШТАТ!AM:AM," ВО П",ШТАТ!AJ:AJ,"п")</f>
        <v>1</v>
      </c>
      <c r="J61" s="19"/>
      <c r="K61" s="61">
        <f>COUNTIFS(ШТАТ!AM:AM," ВО П",ШТАТ!AK:AK,3,ШТАТ!AJ:AJ,"к/с")</f>
        <v>1</v>
      </c>
      <c r="L61" s="21">
        <v>0</v>
      </c>
      <c r="M61" s="19">
        <f t="shared" si="82"/>
        <v>12</v>
      </c>
      <c r="N61" s="22">
        <f>COUNTIFS(ШТАТ!AM:AM," ВО П",ШТАТ!AK:AK,4,ШТАТ!AJ:AJ,"к/с")</f>
        <v>12</v>
      </c>
      <c r="O61" s="22">
        <f>COUNTIFS(ШТАТ!AM:AM," ВО П",ШТАТ!AK:AK,4,ШТАТ!AJ:AJ,"с/с")</f>
        <v>0</v>
      </c>
      <c r="P61" s="19">
        <f t="shared" si="83"/>
        <v>13</v>
      </c>
      <c r="Q61" s="22">
        <f t="shared" si="84"/>
        <v>13</v>
      </c>
      <c r="R61" s="21">
        <f t="shared" si="84"/>
        <v>0</v>
      </c>
      <c r="S61" s="19">
        <f t="shared" si="85"/>
        <v>13</v>
      </c>
      <c r="T61" s="23">
        <f t="shared" si="59"/>
        <v>0.68421052631578949</v>
      </c>
      <c r="U61" s="62">
        <f>COUNTIFS(ШТАТ!U:U,"",ШТАТ!AM:AM," ВО П",ШТАТ!AJ:AJ,"о")</f>
        <v>0</v>
      </c>
      <c r="V61" s="24">
        <f>COUNTIFS(ШТАТ!U:U,"",ШТАТ!AM:AM," ВО П",ШТАТ!AJ:AJ,"п")</f>
        <v>0</v>
      </c>
      <c r="W61" s="103">
        <f t="shared" si="60"/>
        <v>0</v>
      </c>
      <c r="X61" s="62">
        <f>COUNTIFS(ШТАТ!U:U,"",ШТАТ!AM:AM," ВО П",ШТАТ!AK:AK,3,ШТАТ!AJ:AJ,"к/с")</f>
        <v>0</v>
      </c>
      <c r="Y61" s="24">
        <v>0</v>
      </c>
      <c r="Z61" s="25">
        <f t="shared" si="86"/>
        <v>2</v>
      </c>
      <c r="AA61" s="63">
        <f>COUNTIFS(ШТАТ!U:U,"",ШТАТ!AM:AM," ВО П",ШТАТ!AK:AK,4,ШТАТ!AJ:AJ,"к/с")</f>
        <v>2</v>
      </c>
      <c r="AB61" s="62">
        <f>COUNTIFS(ШТАТ!U:U,"",ШТАТ!AM:AM," ВО П",ШТАТ!AK:AK,4,ШТАТ!AJ:AJ,"с/с")</f>
        <v>0</v>
      </c>
      <c r="AC61" s="106">
        <f>SUM(AD61:AE61)</f>
        <v>2</v>
      </c>
      <c r="AD61" s="21">
        <f t="shared" si="88"/>
        <v>2</v>
      </c>
      <c r="AE61" s="21">
        <f t="shared" si="58"/>
        <v>0</v>
      </c>
      <c r="AF61" s="19">
        <f t="shared" si="68"/>
        <v>2</v>
      </c>
      <c r="AG61" s="62"/>
      <c r="AH61" s="24">
        <f>COUNTIFS(ШТАТ!AM:AM,$B61,ШТАТ!$U:$U,"МП")</f>
        <v>0</v>
      </c>
      <c r="AI61" s="62">
        <f>COUNTIFS(ШТАТ!AM:AM," ВО П",ШТАТ!U:U,"осв-ие")</f>
        <v>0</v>
      </c>
      <c r="AJ61" s="24">
        <f>COUNTIFS(ШТАТ!AM:AM," ВО П",ШТАТ!U:U,"госп")</f>
        <v>0</v>
      </c>
      <c r="AK61" s="27">
        <f t="shared" si="89"/>
        <v>12</v>
      </c>
      <c r="AL61" s="62">
        <f>COUNTIFS(ШТАТ!AM:AM,"ВО П",ШТАТ!W:W,"Барсуковка")</f>
        <v>0</v>
      </c>
      <c r="AM61" s="24">
        <f>COUNTIFS(ШТАТ!$AL:$AL,$B61,ШТАТ!$W:$W,"Павенково")</f>
        <v>0</v>
      </c>
      <c r="AN61" s="18"/>
      <c r="AO61" s="62">
        <f>COUNTIFS(ШТАТ!AM:AM,"ВО П",ШТАТ!W:W,"полигон Чехово")</f>
        <v>0</v>
      </c>
      <c r="AP61" s="60">
        <f>COUNTIFS(ШТАТ!AM:AM,"ВО П",ШТАТ!X:X,"Такелажные работы")</f>
        <v>0</v>
      </c>
      <c r="AQ61" s="18">
        <f>COUNTIFS(ШТАТ!AM:AM,"ВО П",ШТАТ!X:X,"Усиление объектов")</f>
        <v>0</v>
      </c>
      <c r="AR61" s="60">
        <f>COUNTIFS(ШТАТ!AM:AM," ВО П",ШТАТ!U:U,"полигон")-SUM(AL61:AO61)</f>
        <v>0</v>
      </c>
      <c r="AS61" s="62"/>
      <c r="AT61" s="24">
        <f>COUNTIFS(ШТАТ!AM:AM,"ВО П",ШТАТ!X:X,"САР")</f>
        <v>0</v>
      </c>
      <c r="AU61" s="62">
        <f>COUNTIFS(ШТАТ!AM:AM,"ВО П",ШТАТ!X:X,"Выполнение специальных задач")</f>
        <v>0</v>
      </c>
      <c r="AV61" s="24">
        <f>COUNTIFS(ШТАТ!AM:AM,"ВО П",ШТАТ!X:X,"Переподготовка")</f>
        <v>0</v>
      </c>
      <c r="AW61" s="62">
        <f>COUNTIFS(ШТАТ!AM:AM,"ВО П",ШТАТ!X:X,"Усиление объектов")</f>
        <v>0</v>
      </c>
      <c r="AX61" s="24"/>
      <c r="AY61" s="24"/>
      <c r="AZ61" s="62">
        <f>COUNTIFS(ШТАТ!AM:AM,"ВО П",ШТАТ!W:W,"г. Белгород")</f>
        <v>0</v>
      </c>
      <c r="BA61" s="62">
        <f>COUNTIFS(ШТАТ!AM:AM,"ВО П",ШТАТ!W:W,"в/ч 38838")</f>
        <v>0</v>
      </c>
      <c r="BB61" s="62">
        <f>COUNTIFS(ШТАТ!AM:AM,"ВО П",ШТАТ!W:W,"в/ч 90151")</f>
        <v>0</v>
      </c>
      <c r="BC61" s="62"/>
      <c r="BD61" s="26">
        <f>COUNTIFS(ШТАТ!AM:AM,$B61,ШТАТ!$U:$U,"ком-ка")-SUM(AS61:BC61)-AP61-AQ61</f>
        <v>12</v>
      </c>
      <c r="BE61" s="62">
        <f>COUNTIFS(ШТАТ!AM:AM," ВО П",ШТАТ!U:U,"отпуск")</f>
        <v>0</v>
      </c>
      <c r="BF61" s="22"/>
      <c r="BG61" s="24">
        <f>COUNTIFS(ШТАТ!AM:AM,B61,ШТАТ!U:U,"СОЧ")</f>
        <v>0</v>
      </c>
      <c r="BH61" s="28">
        <f t="shared" si="90"/>
        <v>12</v>
      </c>
      <c r="BI61" s="29" t="e">
        <f>#REF!-#REF!</f>
        <v>#REF!</v>
      </c>
      <c r="BJ61" s="19" t="e">
        <f t="shared" si="17"/>
        <v>#REF!</v>
      </c>
    </row>
    <row r="62" spans="1:62" ht="212.25" customHeight="1" thickBot="1" x14ac:dyDescent="0.3">
      <c r="A62" s="16">
        <v>19</v>
      </c>
      <c r="B62" s="59" t="s">
        <v>848</v>
      </c>
      <c r="C62" s="18">
        <f>COUNTIFS(ШТАТ!AM:AM,"МП п",ШТАТ!AK:AK,1)</f>
        <v>2</v>
      </c>
      <c r="D62" s="18">
        <f>COUNTIFS(ШТАТ!AM:AM,"МП п",ШТАТ!AK:AK,2)</f>
        <v>1</v>
      </c>
      <c r="E62" s="18">
        <f>COUNTIFS(ШТАТ!AM:AM,"МП п",ШТАТ!AK:AK,3)</f>
        <v>1</v>
      </c>
      <c r="F62" s="18">
        <f>COUNTIFS(ШТАТ!AM:AM,"МП п",ШТАТ!AK:AK,4)</f>
        <v>9</v>
      </c>
      <c r="G62" s="19">
        <f t="shared" si="80"/>
        <v>13</v>
      </c>
      <c r="H62" s="18">
        <f>COUNTIFS(ШТАТ!AM:AM,"МП п",ШТАТ!AJ:AJ,"о")</f>
        <v>1</v>
      </c>
      <c r="I62" s="18">
        <f>COUNTIFS(ШТАТ!AM:AM,"МП п",ШТАТ!AJ:AJ,"п")</f>
        <v>1</v>
      </c>
      <c r="J62" s="19">
        <f>SUM(K62:L62)</f>
        <v>0</v>
      </c>
      <c r="K62" s="61">
        <f>COUNTIFS(ШТАТ!AM:AM,"МП п",ШТАТ!AK:AK,3,ШТАТ!AJ:AJ,"к/с")</f>
        <v>0</v>
      </c>
      <c r="L62" s="21">
        <v>0</v>
      </c>
      <c r="M62" s="19">
        <f>N62+O62</f>
        <v>9</v>
      </c>
      <c r="N62" s="22">
        <f>COUNTIFS(ШТАТ!AM:AM,"МП п",ШТАТ!AK:AK,4,ШТАТ!AJ:AJ,"к/с")</f>
        <v>6</v>
      </c>
      <c r="O62" s="22">
        <f>COUNTIFS(ШТАТ!AM:AM,"МП п",ШТАТ!AK:AK,4,ШТАТ!AJ:AJ,"с/с")</f>
        <v>3</v>
      </c>
      <c r="P62" s="19">
        <f t="shared" si="83"/>
        <v>9</v>
      </c>
      <c r="Q62" s="22">
        <f t="shared" si="84"/>
        <v>6</v>
      </c>
      <c r="R62" s="21">
        <f t="shared" si="84"/>
        <v>3</v>
      </c>
      <c r="S62" s="19">
        <f t="shared" si="85"/>
        <v>11</v>
      </c>
      <c r="T62" s="23">
        <f t="shared" si="59"/>
        <v>0.84615384615384615</v>
      </c>
      <c r="U62" s="62">
        <f>COUNTIFS(ШТАТ!U:U,"",ШТАТ!AM:AM,"МП п",ШТАТ!AJ:AJ,"о")</f>
        <v>1</v>
      </c>
      <c r="V62" s="24">
        <f>COUNTIFS(ШТАТ!U:U,"",ШТАТ!AM:AM,"МП п",ШТАТ!AJ:AJ,"п")</f>
        <v>1</v>
      </c>
      <c r="W62" s="103">
        <f t="shared" si="60"/>
        <v>0</v>
      </c>
      <c r="X62" s="62">
        <f>COUNTIFS(ШТАТ!U:U,"",ШТАТ!AM:AM,"МП п",ШТАТ!AK:AK,3,ШТАТ!AJ:AJ,"к/с")</f>
        <v>0</v>
      </c>
      <c r="Y62" s="24">
        <v>0</v>
      </c>
      <c r="Z62" s="25">
        <f t="shared" si="86"/>
        <v>5</v>
      </c>
      <c r="AA62" s="63">
        <f>COUNTIFS(ШТАТ!U:U,"",ШТАТ!AM:AM,"МП п",ШТАТ!AK:AK,4,ШТАТ!AJ:AJ,"к/с")</f>
        <v>3</v>
      </c>
      <c r="AB62" s="62">
        <f>COUNTIFS(ШТАТ!U:U,"",ШТАТ!AM:AM,"МП п",ШТАТ!AK:AK,4,ШТАТ!AJ:AJ,"с/с")</f>
        <v>2</v>
      </c>
      <c r="AC62" s="25">
        <f t="shared" si="87"/>
        <v>5</v>
      </c>
      <c r="AD62" s="21">
        <f t="shared" si="88"/>
        <v>3</v>
      </c>
      <c r="AE62" s="21">
        <f t="shared" si="58"/>
        <v>2</v>
      </c>
      <c r="AF62" s="19">
        <f>SUM(U62,V62,AC62)</f>
        <v>7</v>
      </c>
      <c r="AG62" s="62"/>
      <c r="AH62" s="24">
        <f>COUNTIFS(ШТАТ!AM:AM,$B62,ШТАТ!$U:$U,"МП")</f>
        <v>1</v>
      </c>
      <c r="AI62" s="62">
        <f>COUNTIFS(ШТАТ!AM:AM,"МП п",ШТАТ!U:U,"осв-ие")</f>
        <v>0</v>
      </c>
      <c r="AJ62" s="24">
        <f>COUNTIFS(ШТАТ!AM:AM,"МП п",ШТАТ!U:U,"госп")</f>
        <v>0</v>
      </c>
      <c r="AK62" s="27">
        <f t="shared" si="89"/>
        <v>3</v>
      </c>
      <c r="AL62" s="62">
        <f>COUNTIFS(ШТАТ!AM:AM,"МП п",ШТАТ!W:W,"Барсуковка")</f>
        <v>0</v>
      </c>
      <c r="AM62" s="24">
        <f>COUNTIFS(ШТАТ!$AL:$AL,$B62,ШТАТ!$W:$W,"Павенково")</f>
        <v>0</v>
      </c>
      <c r="AN62" s="18">
        <v>0</v>
      </c>
      <c r="AO62" s="62">
        <f>COUNTIFS(ШТАТ!AM:AM,"МП п",ШТАТ!W:W,"полигон Чехово")</f>
        <v>0</v>
      </c>
      <c r="AP62" s="60">
        <f>COUNTIFS(ШТАТ!AM:AM,"МП п",ШТАТ!X:X,"Такелажные работы")</f>
        <v>0</v>
      </c>
      <c r="AQ62" s="18">
        <f>COUNTIFS(ШТАТ!AM:AM,"МП п",ШТАТ!X:X,"Усиление объектов")</f>
        <v>0</v>
      </c>
      <c r="AR62" s="60">
        <f>COUNTIFS(ШТАТ!AM:AM,"МП п",ШТАТ!U:U,"полигон")-SUM(AL62:AO62)</f>
        <v>0</v>
      </c>
      <c r="AS62" s="62"/>
      <c r="AT62" s="24">
        <f>COUNTIFS(ШТАТ!AM:AM,"МП п",ШТАТ!X:X,"САР")</f>
        <v>0</v>
      </c>
      <c r="AU62" s="62">
        <f>COUNTIFS(ШТАТ!AM:AM,"МП п",ШТАТ!X:X,"Выполнение специальных задач")</f>
        <v>2</v>
      </c>
      <c r="AV62" s="24">
        <f>COUNTIFS(ШТАТ!AM:AM,"МП п",ШТАТ!X:X,"Переподготовка")</f>
        <v>0</v>
      </c>
      <c r="AW62" s="62">
        <f>COUNTIFS(ШТАТ!AM:AM,"МП п",ШТАТ!X:X,"Усиление объектов")</f>
        <v>0</v>
      </c>
      <c r="AX62" s="24">
        <v>0</v>
      </c>
      <c r="AY62" s="24"/>
      <c r="AZ62" s="62">
        <f>COUNTIFS(ШТАТ!AM:AM,"МП п",ШТАТ!W:W,"г. Белгород")</f>
        <v>1</v>
      </c>
      <c r="BA62" s="62">
        <f>COUNTIFS(ШТАТ!AM:AM,"МП п",ШТАТ!W:W,"в/ч 38838")</f>
        <v>0</v>
      </c>
      <c r="BB62" s="62">
        <f>COUNTIFS(ШТАТ!AM:AM,"МП п",ШТАТ!W:W,"в/ч 90151")</f>
        <v>0</v>
      </c>
      <c r="BC62" s="62"/>
      <c r="BD62" s="26">
        <f>COUNTIFS(ШТАТ!AM:AM,$B62,ШТАТ!$U:$U,"ком-ка")-SUM(AS62:BC62)-AP62-AQ62</f>
        <v>0</v>
      </c>
      <c r="BE62" s="62">
        <f>COUNTIFS(ШТАТ!AM:AM,"МП п",ШТАТ!U:U,"отпуск")</f>
        <v>0</v>
      </c>
      <c r="BF62" s="22">
        <v>0</v>
      </c>
      <c r="BG62" s="24">
        <f>COUNTIFS(ШТАТ!AM:AM,B62,ШТАТ!U:U,"СОЧ")</f>
        <v>0</v>
      </c>
      <c r="BH62" s="28">
        <f t="shared" si="90"/>
        <v>4</v>
      </c>
      <c r="BI62" s="29" t="e">
        <f>#REF!-#REF!</f>
        <v>#REF!</v>
      </c>
      <c r="BJ62" s="19" t="e">
        <f>SUM(BH62:BI62)</f>
        <v>#REF!</v>
      </c>
    </row>
    <row r="63" spans="1:62" ht="71.25" customHeight="1" thickBot="1" x14ac:dyDescent="0.3">
      <c r="A63" s="16">
        <v>20</v>
      </c>
      <c r="B63" s="66" t="s">
        <v>914</v>
      </c>
      <c r="C63" s="68">
        <f>SUM(C12+C23+C34+C45+C53+C54+C55+C56+C57+C58+C62+C60+C61+C59)</f>
        <v>150</v>
      </c>
      <c r="D63" s="68">
        <f>SUM(D12+D23+D34+D45+D53+D54+D55+D56+D57+D58+D62+D60+D61+D59)</f>
        <v>61</v>
      </c>
      <c r="E63" s="68">
        <f>SUM(E12+E23+E34+E45+E53+E54+E55+E56+E57+E58+E62+E60+E61+E59)</f>
        <v>250</v>
      </c>
      <c r="F63" s="68">
        <f>SUM(F12+F23+F34+F45+F53+F54+F55+F56+F57+F58+F62+F60+F61+F59)</f>
        <v>1357</v>
      </c>
      <c r="G63" s="68">
        <f>SUM(G12+G23+G34+G45+G53+G54+G55+G56+G57+G58+G62+G60+G61+G59)</f>
        <v>1818</v>
      </c>
      <c r="H63" s="68">
        <f>SUM(H12+H23+H34+H45+H53+H54+H55+H56+H57+H59+H62+H60+H61)+H58</f>
        <v>139</v>
      </c>
      <c r="I63" s="68">
        <f>SUM(I12+I23+I34+I45+I53+I54+I55+I56+I57+I59+I62+I60+I61)+I58</f>
        <v>43</v>
      </c>
      <c r="J63" s="68">
        <f t="shared" ref="J63:S63" si="91">SUM(J12+J23+J34+J45+J53+J54+J55+J56+J57+J59+J62+J60+J61)+J58</f>
        <v>185</v>
      </c>
      <c r="K63" s="68">
        <f t="shared" si="91"/>
        <v>143</v>
      </c>
      <c r="L63" s="68">
        <f t="shared" si="91"/>
        <v>43</v>
      </c>
      <c r="M63" s="68">
        <f t="shared" si="91"/>
        <v>1249</v>
      </c>
      <c r="N63" s="68">
        <f t="shared" si="91"/>
        <v>638</v>
      </c>
      <c r="O63" s="68">
        <f t="shared" si="91"/>
        <v>611</v>
      </c>
      <c r="P63" s="68">
        <f t="shared" si="91"/>
        <v>1435</v>
      </c>
      <c r="Q63" s="68">
        <f t="shared" si="91"/>
        <v>781</v>
      </c>
      <c r="R63" s="68">
        <f t="shared" si="91"/>
        <v>654</v>
      </c>
      <c r="S63" s="68">
        <f t="shared" si="91"/>
        <v>1616</v>
      </c>
      <c r="T63" s="100">
        <f t="shared" si="59"/>
        <v>0.88888888888888884</v>
      </c>
      <c r="U63" s="68">
        <f>U12+U23+U34+U45+U53+U54+U55+U56+U57+U58+U60+U61+U62</f>
        <v>45</v>
      </c>
      <c r="V63" s="68">
        <f>V12+V23+V34+V45+V53+V54+V55+V56+V57+V58+V60+V61+V62</f>
        <v>17</v>
      </c>
      <c r="W63" s="68">
        <f t="shared" ref="W63:AE63" si="92">W12+W23+W34+W45+W53+W54+W55+W56+W57+W58+W60+W61+W62</f>
        <v>25</v>
      </c>
      <c r="X63" s="68">
        <f t="shared" si="92"/>
        <v>21</v>
      </c>
      <c r="Y63" s="68">
        <f t="shared" si="92"/>
        <v>4</v>
      </c>
      <c r="Z63" s="68">
        <f t="shared" si="92"/>
        <v>274</v>
      </c>
      <c r="AA63" s="68">
        <f>AA12+AA23+AA34+AA45+AA53+AA54+AA55+AA56+AA57+AA58+AA60+AA61+AA62</f>
        <v>81</v>
      </c>
      <c r="AB63" s="68">
        <f t="shared" si="92"/>
        <v>193</v>
      </c>
      <c r="AC63" s="68">
        <f>AC12+AC23+AC34+AC45+AC53+AC54+AC55+AC56+AC57+AC58+AC60+AC61+AC62</f>
        <v>298</v>
      </c>
      <c r="AD63" s="68">
        <f t="shared" si="92"/>
        <v>101</v>
      </c>
      <c r="AE63" s="68">
        <f t="shared" si="92"/>
        <v>197</v>
      </c>
      <c r="AF63" s="68">
        <f>AF12+AF23+AF34+AF45+AF53+AF54+AF55+AF56+AF57+AF58+AF60+AF61+AF62</f>
        <v>360</v>
      </c>
      <c r="AG63" s="68">
        <f>SUM(AG12+AG23+AG34+AG45+AG53+AG54+AG55+AG56+AG57+AG58+AG62+AG60+AG61)</f>
        <v>0</v>
      </c>
      <c r="AH63" s="68">
        <f t="shared" ref="AH63:BB63" si="93">SUM(AH12+AH23+AH34+AH45+AH53+AH54+AH55+AH56+AH57+AH58+AH62+AH60+AH61)</f>
        <v>6</v>
      </c>
      <c r="AI63" s="68">
        <f t="shared" si="93"/>
        <v>5</v>
      </c>
      <c r="AJ63" s="68">
        <f t="shared" si="93"/>
        <v>20</v>
      </c>
      <c r="AK63" s="68">
        <f>SUM(AK12+AK23+AK34+AK45+AK53+AK54+AK55+AK56+AK57+AK58+AK62+AK60+AK61)</f>
        <v>1153</v>
      </c>
      <c r="AL63" s="68">
        <f t="shared" si="93"/>
        <v>1</v>
      </c>
      <c r="AM63" s="68">
        <f t="shared" si="93"/>
        <v>1</v>
      </c>
      <c r="AN63" s="68">
        <f t="shared" si="93"/>
        <v>0</v>
      </c>
      <c r="AO63" s="68">
        <f t="shared" si="93"/>
        <v>0</v>
      </c>
      <c r="AP63" s="68">
        <f t="shared" si="93"/>
        <v>13</v>
      </c>
      <c r="AQ63" s="68">
        <f t="shared" si="93"/>
        <v>23</v>
      </c>
      <c r="AR63" s="68">
        <f t="shared" si="93"/>
        <v>45</v>
      </c>
      <c r="AS63" s="68">
        <f t="shared" si="93"/>
        <v>0</v>
      </c>
      <c r="AT63" s="68">
        <f t="shared" si="93"/>
        <v>2</v>
      </c>
      <c r="AU63" s="68">
        <f>SUM(AU12+AU23+AU34+AU45+AU53+AU54+AU55+AU56+AU57+AU58+AU62+AU60+AU61)</f>
        <v>162</v>
      </c>
      <c r="AV63" s="68">
        <f t="shared" si="93"/>
        <v>1</v>
      </c>
      <c r="AW63" s="68">
        <f t="shared" si="93"/>
        <v>50</v>
      </c>
      <c r="AX63" s="68">
        <f>SUM(AX12+AX23+AX34+AX45+AX53+AX54+AX55+AX56+AX57+AX58+AX62+AX60+AX61)</f>
        <v>0</v>
      </c>
      <c r="AY63" s="68">
        <f t="shared" si="93"/>
        <v>0</v>
      </c>
      <c r="AZ63" s="68">
        <f t="shared" si="93"/>
        <v>473</v>
      </c>
      <c r="BA63" s="68">
        <f t="shared" si="93"/>
        <v>231</v>
      </c>
      <c r="BB63" s="68">
        <f t="shared" si="93"/>
        <v>6</v>
      </c>
      <c r="BC63" s="68">
        <f t="shared" ref="BC63:BI63" si="94">SUM(BC12+BC23+BC34+BC45+BC53+BC54+BC55+BC56+BC57+BC58+BC62+BC60+BC61)</f>
        <v>0</v>
      </c>
      <c r="BD63" s="68">
        <f t="shared" si="94"/>
        <v>145</v>
      </c>
      <c r="BE63" s="68">
        <f t="shared" si="94"/>
        <v>18</v>
      </c>
      <c r="BF63" s="68">
        <f t="shared" si="94"/>
        <v>0</v>
      </c>
      <c r="BG63" s="68">
        <f t="shared" si="94"/>
        <v>50</v>
      </c>
      <c r="BH63" s="68">
        <f t="shared" si="94"/>
        <v>1252</v>
      </c>
      <c r="BI63" s="68" t="e">
        <f t="shared" si="94"/>
        <v>#REF!</v>
      </c>
      <c r="BJ63" s="68" t="e">
        <f>SUM(BJ12+BJ23+BJ34+BJ45+BJ53+BJ54+BJ55+BJ56+BJ57+BJ58+BJ62+BJ60+BJ61+BJ59)</f>
        <v>#REF!</v>
      </c>
    </row>
    <row r="64" spans="1:62" ht="71.25" customHeight="1" thickBot="1" x14ac:dyDescent="0.3">
      <c r="A64" s="16">
        <v>21</v>
      </c>
      <c r="B64" s="69" t="s">
        <v>1422</v>
      </c>
      <c r="C64" s="69">
        <f>COUNTIFS(ШТАТ!AM:AM,"ШТУ",ШТАТ!AL:AL,"Упр. ШТУ",ШТАТ!AK:AK,1)</f>
        <v>3</v>
      </c>
      <c r="D64" s="69">
        <f>COUNTIFS(ШТАТ!AM:AM,"ШТУ",ШТАТ!AL:AL,"Упр. ШТУ",ШТАТ!AK:AK,2)</f>
        <v>0</v>
      </c>
      <c r="E64" s="69">
        <f>COUNTIFS(ШТАТ!AM:AM,"ШТУ",ШТАТ!AL:AL,"Упр. ШТУ",ШТАТ!AK:AK,3)</f>
        <v>0</v>
      </c>
      <c r="F64" s="69">
        <f>COUNTIFS(ШТАТ!AM:AM,"ШТУ",ШТАТ!AL:AL,"Упр. ШТУ",ШТАТ!AK:AK,4)</f>
        <v>1</v>
      </c>
      <c r="G64" s="69">
        <f t="shared" ref="G64:G74" si="95">SUM(C64:F64)</f>
        <v>4</v>
      </c>
      <c r="H64" s="70">
        <v>3</v>
      </c>
      <c r="I64" s="70">
        <f>COUNTIFS(ШТАТ!AM:AM,"ШТУ",ШТАТ!AL:AL,"Упр. ШТУ",ШТАТ!AJ:AJ,"п")</f>
        <v>0</v>
      </c>
      <c r="J64" s="71">
        <f t="shared" ref="J64:J74" si="96">SUM(K64:L64)</f>
        <v>0</v>
      </c>
      <c r="K64" s="72">
        <v>0</v>
      </c>
      <c r="L64" s="73">
        <v>0</v>
      </c>
      <c r="M64" s="71">
        <f t="shared" si="82"/>
        <v>1</v>
      </c>
      <c r="N64" s="74">
        <v>1</v>
      </c>
      <c r="O64" s="74">
        <f>COUNTIFS(ШТАТ!AM:AM,"ШТУ",ШТАТ!AL:AL,"Упр. ШТУ",ШТАТ!AK:AK,4,ШТАТ!AJ:AJ,"с/с")</f>
        <v>0</v>
      </c>
      <c r="P64" s="71">
        <f t="shared" ref="P64:P74" si="97">SUM(Q64:R64)</f>
        <v>1</v>
      </c>
      <c r="Q64" s="74">
        <f>K64+N64</f>
        <v>1</v>
      </c>
      <c r="R64" s="73">
        <f>L64+O64</f>
        <v>0</v>
      </c>
      <c r="S64" s="71">
        <f t="shared" ref="S64:S74" si="98">SUM(H64:J64,M64)</f>
        <v>4</v>
      </c>
      <c r="T64" s="75">
        <f t="shared" si="59"/>
        <v>1</v>
      </c>
      <c r="U64" s="76">
        <f>COUNTIFS(ШТАТ!U:U,"",ШТАТ!AM:AM,"ШТУ",ШТАТ!AL:AL,"Упр. ШТУ",ШТАТ!AJ:AJ,"о")</f>
        <v>0</v>
      </c>
      <c r="V64" s="76">
        <f>COUNTIFS(ШТАТ!U:U,"",ШТАТ!AM:AM,"ШТУ",ШТАТ!AL:AL,B64,ШТАТ!AJ:AJ,"п")</f>
        <v>0</v>
      </c>
      <c r="W64" s="76">
        <f t="shared" si="60"/>
        <v>0</v>
      </c>
      <c r="X64" s="76">
        <f>COUNTIFS(ШТАТ!U:U,"",ШТАТ!AM:AM,"ШТУ",ШТАТ!AL:AL,B64,ШТАТ!AK:AK,3,ШТАТ!AJ:AJ,"к/с")</f>
        <v>0</v>
      </c>
      <c r="Y64" s="76"/>
      <c r="Z64" s="77">
        <f>SUM(AA64:AB64)</f>
        <v>0</v>
      </c>
      <c r="AA64" s="78">
        <f>COUNTIFS(ШТАТ!U:U,"",ШТАТ!AM:AM,"ШТУ",ШТАТ!AL:AL,B64,ШТАТ!AK:AK,4,ШТАТ!AJ:AJ,"к/с")</f>
        <v>0</v>
      </c>
      <c r="AB64" s="76">
        <f>COUNTIFS(ШТАТ!U:U,"",ШТАТ!AM:AM,"ШТУ",ШТАТ!AL:AL,B64,ШТАТ!AK:AK,4,ШТАТ!AJ:AJ,"с/с")</f>
        <v>0</v>
      </c>
      <c r="AC64" s="71">
        <f t="shared" ref="AC64:AC74" si="99">SUM(AD64:AE64)</f>
        <v>0</v>
      </c>
      <c r="AD64" s="74">
        <f t="shared" si="88"/>
        <v>0</v>
      </c>
      <c r="AE64" s="73">
        <f t="shared" si="58"/>
        <v>0</v>
      </c>
      <c r="AF64" s="71">
        <f t="shared" ref="AF64:AF74" si="100">SUM(U64,V64,AC64)</f>
        <v>0</v>
      </c>
      <c r="AG64" s="76"/>
      <c r="AH64" s="76">
        <f>COUNTIFS(ШТАТ!$AL:$AL,$B64,ШТАТ!$U:$U,"МП")</f>
        <v>0</v>
      </c>
      <c r="AI64" s="76">
        <f>COUNTIFS(ШТАТ!AM:AM,"ШТУ",ШТАТ!AL:AL,B64,ШТАТ!U:U,"осв-ие")</f>
        <v>0</v>
      </c>
      <c r="AJ64" s="76">
        <f>COUNTIFS(ШТАТ!AL:AL,B64,ШТАТ!U:U,"госп")</f>
        <v>0</v>
      </c>
      <c r="AK64" s="79">
        <f>SUM(AL64:BD64)</f>
        <v>3</v>
      </c>
      <c r="AL64" s="76"/>
      <c r="AM64" s="76">
        <f>COUNTIFS(ШТАТ!$AL:$AL,$B64,ШТАТ!$W:$W,"Павенково")</f>
        <v>0</v>
      </c>
      <c r="AN64" s="70"/>
      <c r="AO64" s="76"/>
      <c r="AP64" s="70"/>
      <c r="AQ64" s="70">
        <f>COUNTIFS(ШТАТ!AM:AM,"ШТУ",ШТАТ!AL:AL,B64,ШТАТ!X:X,"Усиление объектов")</f>
        <v>0</v>
      </c>
      <c r="AR64" s="1131">
        <f>COUNTIFS(ШТАТ!AL:AL,B64,ШТАТ!U:U,"полигон")-SUM(AL64:AO64)</f>
        <v>0</v>
      </c>
      <c r="AS64" s="76"/>
      <c r="AT64" s="76"/>
      <c r="AU64" s="76">
        <f>COUNTIFS(ШТАТ!AM:AM,"ШТУ",ШТАТ!AL:AL,B64,ШТАТ!X:X,"Выполнение специальных задач")</f>
        <v>3</v>
      </c>
      <c r="AV64" s="76"/>
      <c r="AW64" s="76"/>
      <c r="AX64" s="76"/>
      <c r="AY64" s="76"/>
      <c r="AZ64" s="76">
        <f>COUNTIFS(ШТАТ!AM:AM,"ШТУ",ШТАТ!AL:AL,B64,ШТАТ!W:W,"г. Белгород")</f>
        <v>0</v>
      </c>
      <c r="BA64" s="76"/>
      <c r="BB64" s="76"/>
      <c r="BC64" s="76"/>
      <c r="BD64" s="70">
        <f>COUNTIFS(ШТАТ!$AL:$AL,$B64,ШТАТ!$U:$U,"ком-ка")-SUM(AS64:BC64)-AP64-AQ64</f>
        <v>0</v>
      </c>
      <c r="BE64" s="76">
        <f>COUNTIFS(ШТАТ!AM:AM,"ШТУ",ШТАТ!AL:AL,B64,ШТАТ!U:U,"отпуск")</f>
        <v>0</v>
      </c>
      <c r="BF64" s="74"/>
      <c r="BG64" s="76">
        <f>COUNTIFS(ШТАТ!AM:AM,"ШТУ",ШТАТ!AL:AL,B64,ШТАТ!U:U,"СОЧ")</f>
        <v>1</v>
      </c>
      <c r="BH64" s="80">
        <f>SUM(AG64:AJ64)+SUM(BE64:BG64)+AK64</f>
        <v>4</v>
      </c>
      <c r="BI64" s="81"/>
      <c r="BJ64" s="71">
        <f>SUM(BH64:BI64)</f>
        <v>4</v>
      </c>
    </row>
    <row r="65" spans="1:62" ht="36" thickBot="1" x14ac:dyDescent="0.3">
      <c r="A65" s="16">
        <v>22</v>
      </c>
      <c r="B65" s="69" t="s">
        <v>558</v>
      </c>
      <c r="C65" s="69">
        <f>COUNTIFS(ШТАТ!AM:AM,"ШТУ",ШТАТ!AL:AL,"мср",ШТАТ!AK:AK,1)</f>
        <v>5</v>
      </c>
      <c r="D65" s="69">
        <f>COUNTIFS(ШТАТ!AM:AM,"ШТУ",ШТАТ!AL:AL,"мср",ШТАТ!AK:AK,2)</f>
        <v>3</v>
      </c>
      <c r="E65" s="69">
        <f>COUNTIFS(ШТАТ!AM:AM,"ШТУ",ШТАТ!AL:AL,"мср",ШТАТ!AK:AK,3)</f>
        <v>10</v>
      </c>
      <c r="F65" s="69">
        <f>COUNTIFS(ШТАТ!AM:AM,"ШТУ",ШТАТ!AL:AL,"мср",ШТАТ!AK:AK,4)</f>
        <v>75</v>
      </c>
      <c r="G65" s="69">
        <f t="shared" si="95"/>
        <v>93</v>
      </c>
      <c r="H65" s="70">
        <v>5</v>
      </c>
      <c r="I65" s="70">
        <f>COUNTIFS(ШТАТ!AM:AM,"ШТУ",ШТАТ!AL:AL,"мср",ШТАТ!AJ:AJ,"п")</f>
        <v>2</v>
      </c>
      <c r="J65" s="71">
        <f t="shared" si="96"/>
        <v>3</v>
      </c>
      <c r="K65" s="72">
        <v>3</v>
      </c>
      <c r="L65" s="73">
        <v>0</v>
      </c>
      <c r="M65" s="71">
        <f>N65+O65</f>
        <v>8</v>
      </c>
      <c r="N65" s="74">
        <v>8</v>
      </c>
      <c r="O65" s="74">
        <f>COUNTIFS(ШТАТ!AM:AM,"ШТУ",ШТАТ!AL:AL,"мср",ШТАТ!AK:AK,4,ШТАТ!AJ:AJ,"с/с")</f>
        <v>0</v>
      </c>
      <c r="P65" s="71">
        <f t="shared" si="97"/>
        <v>11</v>
      </c>
      <c r="Q65" s="74">
        <f>K65+N65</f>
        <v>11</v>
      </c>
      <c r="R65" s="73">
        <f>L65+O65</f>
        <v>0</v>
      </c>
      <c r="S65" s="71">
        <f t="shared" si="98"/>
        <v>18</v>
      </c>
      <c r="T65" s="75">
        <f t="shared" si="59"/>
        <v>0.19354838709677419</v>
      </c>
      <c r="U65" s="76">
        <f>COUNTIFS(ШТАТ!U:U,"",ШТАТ!AM:AM,"ШТУ",ШТАТ!AL:AL,"мср",ШТАТ!AJ:AJ,"о")</f>
        <v>0</v>
      </c>
      <c r="V65" s="76">
        <f>COUNTIFS(ШТАТ!U:U,"",ШТАТ!AM:AM,"ШТУ",ШТАТ!AL:AL,B65,ШТАТ!AJ:AJ,"п")</f>
        <v>1</v>
      </c>
      <c r="W65" s="76">
        <f t="shared" si="60"/>
        <v>0</v>
      </c>
      <c r="X65" s="76">
        <f>COUNTIFS(ШТАТ!U:U,"",ШТАТ!AM:AM,"ШТУ",ШТАТ!AL:AL,B65,ШТАТ!AK:AK,3,ШТАТ!AJ:AJ,"к/с")</f>
        <v>0</v>
      </c>
      <c r="Y65" s="76"/>
      <c r="Z65" s="77">
        <f t="shared" ref="Z65:Z74" si="101">SUM(AA65:AB65)</f>
        <v>0</v>
      </c>
      <c r="AA65" s="78">
        <f>COUNTIFS(ШТАТ!U:U,"",ШТАТ!AM:AM,"ШТУ",ШТАТ!AL:AL,B65,ШТАТ!AK:AK,4,ШТАТ!AJ:AJ,"к/с")</f>
        <v>0</v>
      </c>
      <c r="AB65" s="76">
        <f>COUNTIFS(ШТАТ!U:U,"",ШТАТ!AM:AM,"ШТУ",ШТАТ!AL:AL,B65,ШТАТ!AK:AK,4,ШТАТ!AJ:AJ,"с/с")</f>
        <v>0</v>
      </c>
      <c r="AC65" s="71">
        <f t="shared" si="99"/>
        <v>0</v>
      </c>
      <c r="AD65" s="74">
        <f t="shared" si="88"/>
        <v>0</v>
      </c>
      <c r="AE65" s="73">
        <f t="shared" si="58"/>
        <v>0</v>
      </c>
      <c r="AF65" s="71">
        <f t="shared" si="100"/>
        <v>1</v>
      </c>
      <c r="AG65" s="76"/>
      <c r="AH65" s="76">
        <f>COUNTIFS(ШТАТ!$AL:$AL,$B65,ШТАТ!$U:$U,"МП")</f>
        <v>0</v>
      </c>
      <c r="AI65" s="76">
        <f>COUNTIFS(ШТАТ!AM:AM,"ШТУ",ШТАТ!AL:AL,B65,ШТАТ!U:U,"осв-ие")</f>
        <v>0</v>
      </c>
      <c r="AJ65" s="76">
        <f>COUNTIFS(ШТАТ!AL:AL,B65,ШТАТ!U:U,"госп")</f>
        <v>1</v>
      </c>
      <c r="AK65" s="79">
        <f t="shared" ref="AK65:AK74" si="102">SUM(AL65:BD65)</f>
        <v>71</v>
      </c>
      <c r="AL65" s="76"/>
      <c r="AM65" s="76">
        <f>COUNTIFS(ШТАТ!$AL:$AL,$B65,ШТАТ!$W:$W,"Павенково")</f>
        <v>0</v>
      </c>
      <c r="AN65" s="70"/>
      <c r="AO65" s="76"/>
      <c r="AP65" s="70"/>
      <c r="AQ65" s="70">
        <f>COUNTIFS(ШТАТ!AM:AM,"ШТУ",ШТАТ!AL:AL,B65,ШТАТ!X:X,"Усиление объектов")</f>
        <v>0</v>
      </c>
      <c r="AR65" s="1131">
        <f>COUNTIFS(ШТАТ!AL:AL,B65,ШТАТ!U:U,"полигон")-SUM(AL65:AO65)</f>
        <v>0</v>
      </c>
      <c r="AS65" s="76"/>
      <c r="AT65" s="76"/>
      <c r="AU65" s="76">
        <f>COUNTIFS(ШТАТ!AM:AM,"ШТУ",ШТАТ!AL:AL,B65,ШТАТ!X:X,"Выполнение специальных задач")</f>
        <v>6</v>
      </c>
      <c r="AV65" s="76"/>
      <c r="AW65" s="76"/>
      <c r="AX65" s="76"/>
      <c r="AY65" s="76"/>
      <c r="AZ65" s="76">
        <f>COUNTIFS(ШТАТ!AM:AM,"ШТУ",ШТАТ!AL:AL,B65,ШТАТ!W:W,"г. Белгород")</f>
        <v>64</v>
      </c>
      <c r="BA65" s="76"/>
      <c r="BB65" s="76"/>
      <c r="BC65" s="76"/>
      <c r="BD65" s="70">
        <f>COUNTIFS(ШТАТ!$AL:$AL,$B65,ШТАТ!$U:$U,"ком-ка")-SUM(AS65:BC65)-AP65-AQ65</f>
        <v>1</v>
      </c>
      <c r="BE65" s="76">
        <f>COUNTIFS(ШТАТ!AM:AM,"ШТУ",ШТАТ!AL:AL,B65,ШТАТ!U:U,"отпуск")</f>
        <v>1</v>
      </c>
      <c r="BF65" s="74"/>
      <c r="BG65" s="76">
        <f>COUNTIFS(ШТАТ!AM:AM,"ШТУ",ШТАТ!AL:AL,B65,ШТАТ!U:U,"СОЧ")</f>
        <v>3</v>
      </c>
      <c r="BH65" s="80">
        <f t="shared" ref="BH65:BH73" si="103">SUM(AG65:AJ65)+SUM(BE65:BG65)+AK65</f>
        <v>76</v>
      </c>
      <c r="BI65" s="81"/>
      <c r="BJ65" s="71">
        <f t="shared" ref="BJ65:BJ74" si="104">SUM(BH65:BI65)</f>
        <v>76</v>
      </c>
    </row>
    <row r="66" spans="1:62" ht="71.25" customHeight="1" thickBot="1" x14ac:dyDescent="0.3">
      <c r="A66" s="16">
        <v>23</v>
      </c>
      <c r="B66" s="69" t="s">
        <v>573</v>
      </c>
      <c r="C66" s="69">
        <f>COUNTIFS(ШТАТ!AM:AM,"ШТУ",ШТАТ!AL:AL,"грв",ШТАТ!AK:AK,1)</f>
        <v>0</v>
      </c>
      <c r="D66" s="69">
        <f>COUNTIFS(ШТАТ!AM:AM,"ШТУ",ШТАТ!AL:AL,"грв",ШТАТ!AK:AK,2)</f>
        <v>0</v>
      </c>
      <c r="E66" s="69">
        <f>COUNTIFS(ШТАТ!AM:AM,"ШТУ",ШТАТ!AL:AL,"грв",ШТАТ!AK:AK,3)</f>
        <v>1</v>
      </c>
      <c r="F66" s="69">
        <f>COUNTIFS(ШТАТ!AM:AM,"ШТУ",ШТАТ!AL:AL,"грв",ШТАТ!AK:AK,4)</f>
        <v>5</v>
      </c>
      <c r="G66" s="69">
        <f t="shared" si="95"/>
        <v>6</v>
      </c>
      <c r="H66" s="70">
        <v>0</v>
      </c>
      <c r="I66" s="70">
        <f>COUNTIFS(ШТАТ!AM:AM,"ШТУ",ШТАТ!AL:AL,"грв",ШТАТ!AJ:AJ,"п")</f>
        <v>0</v>
      </c>
      <c r="J66" s="71">
        <f t="shared" si="96"/>
        <v>0</v>
      </c>
      <c r="K66" s="72">
        <v>0</v>
      </c>
      <c r="L66" s="73">
        <v>0</v>
      </c>
      <c r="M66" s="71">
        <f t="shared" si="82"/>
        <v>0</v>
      </c>
      <c r="N66" s="74">
        <v>0</v>
      </c>
      <c r="O66" s="74">
        <f>COUNTIFS(ШТАТ!AM:AM,"ШТУ",ШТАТ!AL:AL,"грв",ШТАТ!AK:AK,4,ШТАТ!AJ:AJ,"с/с")</f>
        <v>0</v>
      </c>
      <c r="P66" s="71">
        <f t="shared" si="97"/>
        <v>0</v>
      </c>
      <c r="Q66" s="74">
        <f t="shared" ref="Q66:R74" si="105">K66+N66</f>
        <v>0</v>
      </c>
      <c r="R66" s="73">
        <f t="shared" si="105"/>
        <v>0</v>
      </c>
      <c r="S66" s="71">
        <f t="shared" si="98"/>
        <v>0</v>
      </c>
      <c r="T66" s="75">
        <f t="shared" si="59"/>
        <v>0</v>
      </c>
      <c r="U66" s="76">
        <f>COUNTIFS(ШТАТ!U:U,"",ШТАТ!AM:AM,"ШТУ",ШТАТ!AL:AL,"грв",ШТАТ!AJ:AJ,"о")</f>
        <v>0</v>
      </c>
      <c r="V66" s="76">
        <f>COUNTIFS(ШТАТ!U:U,"",ШТАТ!AM:AM,"ШТУ",ШТАТ!AL:AL,B66,ШТАТ!AJ:AJ,"п")</f>
        <v>0</v>
      </c>
      <c r="W66" s="76">
        <f t="shared" si="60"/>
        <v>1</v>
      </c>
      <c r="X66" s="76">
        <f>COUNTIFS(ШТАТ!U:U,"",ШТАТ!AM:AM,"ШТУ",ШТАТ!AL:AL,B66,ШТАТ!AK:AK,3,ШТАТ!AJ:AJ,"к/с")</f>
        <v>1</v>
      </c>
      <c r="Y66" s="76"/>
      <c r="Z66" s="77">
        <f t="shared" si="101"/>
        <v>0</v>
      </c>
      <c r="AA66" s="78">
        <f>COUNTIFS(ШТАТ!U:U,"",ШТАТ!AM:AM,"ШТУ",ШТАТ!AL:AL,B66,ШТАТ!AK:AK,4,ШТАТ!AJ:AJ,"к/с")</f>
        <v>0</v>
      </c>
      <c r="AB66" s="76">
        <f>COUNTIFS(ШТАТ!U:U,"",ШТАТ!AM:AM,"ШТУ",ШТАТ!AL:AL,B66,ШТАТ!AK:AK,4,ШТАТ!AJ:AJ,"с/с")</f>
        <v>0</v>
      </c>
      <c r="AC66" s="71">
        <f t="shared" si="99"/>
        <v>1</v>
      </c>
      <c r="AD66" s="74">
        <f t="shared" si="88"/>
        <v>1</v>
      </c>
      <c r="AE66" s="73">
        <f t="shared" si="58"/>
        <v>0</v>
      </c>
      <c r="AF66" s="71">
        <f t="shared" si="100"/>
        <v>1</v>
      </c>
      <c r="AG66" s="76"/>
      <c r="AH66" s="76">
        <f>COUNTIFS(ШТАТ!$AL:$AL,$B66,ШТАТ!$U:$U,"МП")</f>
        <v>0</v>
      </c>
      <c r="AI66" s="76">
        <f>COUNTIFS(ШТАТ!AM:AM,"ШТУ",ШТАТ!AL:AL,B66,ШТАТ!U:U,"осв-ие")</f>
        <v>0</v>
      </c>
      <c r="AJ66" s="76">
        <f>COUNTIFS(ШТАТ!AL:AL,B66,ШТАТ!U:U,"госп")</f>
        <v>0</v>
      </c>
      <c r="AK66" s="79">
        <f t="shared" si="102"/>
        <v>5</v>
      </c>
      <c r="AL66" s="76"/>
      <c r="AM66" s="76">
        <f>COUNTIFS(ШТАТ!$AL:$AL,$B66,ШТАТ!$W:$W,"Павенково")</f>
        <v>0</v>
      </c>
      <c r="AN66" s="70"/>
      <c r="AO66" s="76"/>
      <c r="AP66" s="70"/>
      <c r="AQ66" s="70">
        <f>COUNTIFS(ШТАТ!AM:AM,"ШТУ",ШТАТ!AL:AL,B66,ШТАТ!X:X,"Усиление объектов")</f>
        <v>0</v>
      </c>
      <c r="AR66" s="1131">
        <f>COUNTIFS(ШТАТ!AL:AL,B66,ШТАТ!U:U,"полигон")-SUM(AL66:AO66)</f>
        <v>0</v>
      </c>
      <c r="AS66" s="76"/>
      <c r="AT66" s="76"/>
      <c r="AU66" s="76">
        <f>COUNTIFS(ШТАТ!AM:AM,"ШТУ",ШТАТ!AL:AL,B66,ШТАТ!X:X,"Выполнение специальных задач")</f>
        <v>1</v>
      </c>
      <c r="AV66" s="76"/>
      <c r="AW66" s="76"/>
      <c r="AX66" s="76"/>
      <c r="AY66" s="76"/>
      <c r="AZ66" s="76">
        <f>COUNTIFS(ШТАТ!AM:AM,"ШТУ",ШТАТ!AL:AL,B66,ШТАТ!W:W,"г. Белгород")</f>
        <v>4</v>
      </c>
      <c r="BA66" s="76"/>
      <c r="BB66" s="76"/>
      <c r="BC66" s="76"/>
      <c r="BD66" s="70">
        <f>COUNTIFS(ШТАТ!$AL:$AL,$B66,ШТАТ!$U:$U,"ком-ка")-SUM(AS66:BC66)-AP66-AQ66</f>
        <v>0</v>
      </c>
      <c r="BE66" s="76">
        <f>COUNTIFS(ШТАТ!AM:AM,"ШТУ",ШТАТ!AL:AL,B66,ШТАТ!U:U,"отпуск")</f>
        <v>0</v>
      </c>
      <c r="BF66" s="74"/>
      <c r="BG66" s="76">
        <f>COUNTIFS(ШТАТ!AM:AM,"ШТУ",ШТАТ!AL:AL,B66,ШТАТ!U:U,"СОЧ")</f>
        <v>0</v>
      </c>
      <c r="BH66" s="80">
        <f t="shared" si="103"/>
        <v>5</v>
      </c>
      <c r="BI66" s="81"/>
      <c r="BJ66" s="71">
        <f t="shared" si="104"/>
        <v>5</v>
      </c>
    </row>
    <row r="67" spans="1:62" ht="36" thickBot="1" x14ac:dyDescent="0.3">
      <c r="A67" s="16">
        <v>24</v>
      </c>
      <c r="B67" s="69" t="s">
        <v>575</v>
      </c>
      <c r="C67" s="69">
        <f>COUNTIFS(ШТАТ!AM:AM,"ШТУ",ШТАТ!AL:AL,"опур",ШТАТ!AK:AK,1)</f>
        <v>0</v>
      </c>
      <c r="D67" s="69">
        <f>COUNTIFS(ШТАТ!AM:AM,"ШТУ",ШТАТ!AL:AL,"опур",ШТАТ!AK:AK,2)</f>
        <v>0</v>
      </c>
      <c r="E67" s="69">
        <f>COUNTIFS(ШТАТ!AM:AM,"ШТУ",ШТАТ!AL:AL,"опур",ШТАТ!AK:AK,3)</f>
        <v>1</v>
      </c>
      <c r="F67" s="69">
        <f>COUNTIFS(ШТАТ!AM:AM,"ШТУ",ШТАТ!AL:AL,"опур",ШТАТ!AK:AK,4)</f>
        <v>2</v>
      </c>
      <c r="G67" s="69">
        <f t="shared" si="95"/>
        <v>3</v>
      </c>
      <c r="H67" s="70">
        <v>0</v>
      </c>
      <c r="I67" s="70">
        <f>COUNTIFS(ШТАТ!AM:AM,"ШТУ",ШТАТ!AL:AL,"опур",ШТАТ!AJ:AJ,"п")</f>
        <v>0</v>
      </c>
      <c r="J67" s="71">
        <f t="shared" si="96"/>
        <v>0</v>
      </c>
      <c r="K67" s="72">
        <v>0</v>
      </c>
      <c r="L67" s="73">
        <v>0</v>
      </c>
      <c r="M67" s="71">
        <f t="shared" si="82"/>
        <v>0</v>
      </c>
      <c r="N67" s="74">
        <v>0</v>
      </c>
      <c r="O67" s="74">
        <f>COUNTIFS(ШТАТ!AM:AM,"ШТУ",ШТАТ!AL:AL,"опур",ШТАТ!AK:AK,4,ШТАТ!AJ:AJ,"с/с")</f>
        <v>0</v>
      </c>
      <c r="P67" s="71">
        <f t="shared" si="97"/>
        <v>0</v>
      </c>
      <c r="Q67" s="74">
        <f t="shared" si="105"/>
        <v>0</v>
      </c>
      <c r="R67" s="73">
        <f t="shared" si="105"/>
        <v>0</v>
      </c>
      <c r="S67" s="71">
        <f t="shared" si="98"/>
        <v>0</v>
      </c>
      <c r="T67" s="75">
        <f t="shared" si="59"/>
        <v>0</v>
      </c>
      <c r="U67" s="76">
        <f>COUNTIFS(ШТАТ!U:U,"",ШТАТ!AM:AM,"ШТУ",ШТАТ!AL:AL,"опур",ШТАТ!AJ:AJ,"о")</f>
        <v>0</v>
      </c>
      <c r="V67" s="76">
        <f>COUNTIFS(ШТАТ!U:U,"",ШТАТ!AM:AM,"ШТУ",ШТАТ!AL:AL,B67,ШТАТ!AJ:AJ,"п")</f>
        <v>0</v>
      </c>
      <c r="W67" s="76">
        <f t="shared" si="60"/>
        <v>0</v>
      </c>
      <c r="X67" s="76">
        <f>COUNTIFS(ШТАТ!U:U,"",ШТАТ!AM:AM,"ШТУ",ШТАТ!AL:AL,B67,ШТАТ!AK:AK,3,ШТАТ!AJ:AJ,"к/с")</f>
        <v>0</v>
      </c>
      <c r="Y67" s="76"/>
      <c r="Z67" s="77">
        <f t="shared" si="101"/>
        <v>0</v>
      </c>
      <c r="AA67" s="78">
        <f>COUNTIFS(ШТАТ!U:U,"",ШТАТ!AM:AM,"ШТУ",ШТАТ!AL:AL,B67,ШТАТ!AK:AK,4,ШТАТ!AJ:AJ,"к/с")</f>
        <v>0</v>
      </c>
      <c r="AB67" s="76">
        <f>COUNTIFS(ШТАТ!U:U,"",ШТАТ!AM:AM,"ШТУ",ШТАТ!AL:AL,B67,ШТАТ!AK:AK,4,ШТАТ!AJ:AJ,"с/с")</f>
        <v>0</v>
      </c>
      <c r="AC67" s="71">
        <f t="shared" si="99"/>
        <v>0</v>
      </c>
      <c r="AD67" s="74">
        <f t="shared" si="88"/>
        <v>0</v>
      </c>
      <c r="AE67" s="73">
        <f t="shared" si="58"/>
        <v>0</v>
      </c>
      <c r="AF67" s="71">
        <f t="shared" si="100"/>
        <v>0</v>
      </c>
      <c r="AG67" s="76"/>
      <c r="AH67" s="76">
        <f>COUNTIFS(ШТАТ!$AL:$AL,$B67,ШТАТ!$U:$U,"МП")</f>
        <v>0</v>
      </c>
      <c r="AI67" s="76">
        <f>COUNTIFS(ШТАТ!AM:AM,"ШТУ",ШТАТ!AL:AL,B67,ШТАТ!U:U,"осв-ие")</f>
        <v>0</v>
      </c>
      <c r="AJ67" s="76">
        <f>COUNTIFS(ШТАТ!AL:AL,B67,ШТАТ!U:U,"госп")</f>
        <v>0</v>
      </c>
      <c r="AK67" s="79">
        <f t="shared" si="102"/>
        <v>3</v>
      </c>
      <c r="AL67" s="76"/>
      <c r="AM67" s="76">
        <f>COUNTIFS(ШТАТ!$AL:$AL,$B67,ШТАТ!$W:$W,"Павенково")</f>
        <v>0</v>
      </c>
      <c r="AN67" s="70"/>
      <c r="AO67" s="76"/>
      <c r="AP67" s="70"/>
      <c r="AQ67" s="70">
        <f>COUNTIFS(ШТАТ!AM:AM,"ШТУ",ШТАТ!AL:AL,B67,ШТАТ!X:X,"Усиление объектов")</f>
        <v>0</v>
      </c>
      <c r="AR67" s="1131">
        <f>COUNTIFS(ШТАТ!AL:AL,B67,ШТАТ!U:U,"полигон")-SUM(AL67:AO67)</f>
        <v>0</v>
      </c>
      <c r="AS67" s="76"/>
      <c r="AT67" s="76"/>
      <c r="AU67" s="76">
        <f>COUNTIFS(ШТАТ!AM:AM,"ШТУ",ШТАТ!AL:AL,B67,ШТАТ!X:X,"Выполнение специальных задач")</f>
        <v>0</v>
      </c>
      <c r="AV67" s="76"/>
      <c r="AW67" s="76"/>
      <c r="AX67" s="76"/>
      <c r="AY67" s="76"/>
      <c r="AZ67" s="76">
        <f>COUNTIFS(ШТАТ!AM:AM,"ШТУ",ШТАТ!AL:AL,B67,ШТАТ!W:W,"г. Белгород")</f>
        <v>3</v>
      </c>
      <c r="BA67" s="76"/>
      <c r="BB67" s="76"/>
      <c r="BC67" s="76"/>
      <c r="BD67" s="70">
        <f>COUNTIFS(ШТАТ!$AL:$AL,$B67,ШТАТ!$U:$U,"ком-ка")-SUM(AS67:BC67)-AP67-AQ67</f>
        <v>0</v>
      </c>
      <c r="BE67" s="76">
        <f>COUNTIFS(ШТАТ!AM:AM,"ШТУ",ШТАТ!AL:AL,B67,ШТАТ!U:U,"отпуск")</f>
        <v>0</v>
      </c>
      <c r="BF67" s="74"/>
      <c r="BG67" s="76">
        <f>COUNTIFS(ШТАТ!AM:AM,"ШТУ",ШТАТ!AL:AL,B67,ШТАТ!U:U,"СОЧ")</f>
        <v>0</v>
      </c>
      <c r="BH67" s="80">
        <f t="shared" si="103"/>
        <v>3</v>
      </c>
      <c r="BI67" s="81"/>
      <c r="BJ67" s="71">
        <f t="shared" si="104"/>
        <v>3</v>
      </c>
    </row>
    <row r="68" spans="1:62" ht="36" thickBot="1" x14ac:dyDescent="0.3">
      <c r="A68" s="16">
        <v>25</v>
      </c>
      <c r="B68" s="69" t="s">
        <v>577</v>
      </c>
      <c r="C68" s="69">
        <f>COUNTIFS(ШТАТ!AM:AM,"ШТУ",ШТАТ!AL:AL,"ого",ШТАТ!AK:AK,1)</f>
        <v>0</v>
      </c>
      <c r="D68" s="69">
        <f>COUNTIFS(ШТАТ!AM:AM,"ШТУ",ШТАТ!AL:AL,"ого",ШТАТ!AK:AK,2)</f>
        <v>0</v>
      </c>
      <c r="E68" s="69">
        <f>COUNTIFS(ШТАТ!AM:AM,"ШТУ",ШТАТ!AL:AL,"ого",ШТАТ!AK:AK,3)</f>
        <v>1</v>
      </c>
      <c r="F68" s="69">
        <f>COUNTIFS(ШТАТ!AM:AM,"ШТУ",ШТАТ!AL:AL,"ого",ШТАТ!AK:AK,4)</f>
        <v>3</v>
      </c>
      <c r="G68" s="69">
        <f t="shared" si="95"/>
        <v>4</v>
      </c>
      <c r="H68" s="70">
        <v>0</v>
      </c>
      <c r="I68" s="70">
        <f>COUNTIFS(ШТАТ!AM:AM,"ШТУ",ШТАТ!AL:AL,"ого",ШТАТ!AJ:AJ,"п")</f>
        <v>0</v>
      </c>
      <c r="J68" s="71">
        <f t="shared" si="96"/>
        <v>0</v>
      </c>
      <c r="K68" s="72">
        <v>0</v>
      </c>
      <c r="L68" s="73">
        <v>0</v>
      </c>
      <c r="M68" s="71">
        <f t="shared" si="82"/>
        <v>1</v>
      </c>
      <c r="N68" s="74">
        <v>1</v>
      </c>
      <c r="O68" s="74">
        <f>COUNTIFS(ШТАТ!AM:AM,"ШТУ",ШТАТ!AL:AL,"ого",ШТАТ!AK:AK,4,ШТАТ!AJ:AJ,"с/с")</f>
        <v>0</v>
      </c>
      <c r="P68" s="71">
        <f t="shared" si="97"/>
        <v>1</v>
      </c>
      <c r="Q68" s="74">
        <f t="shared" si="105"/>
        <v>1</v>
      </c>
      <c r="R68" s="73">
        <f t="shared" si="105"/>
        <v>0</v>
      </c>
      <c r="S68" s="71">
        <f t="shared" si="98"/>
        <v>1</v>
      </c>
      <c r="T68" s="75">
        <f t="shared" si="59"/>
        <v>0.25</v>
      </c>
      <c r="U68" s="76">
        <f>COUNTIFS(ШТАТ!U:U,"",ШТАТ!AM:AM,"ШТУ",ШТАТ!AL:AL,"ого",ШТАТ!AJ:AJ,"о")</f>
        <v>0</v>
      </c>
      <c r="V68" s="76">
        <f>COUNTIFS(ШТАТ!U:U,"",ШТАТ!AM:AM,"ШТУ",ШТАТ!AL:AL,B68,ШТАТ!AJ:AJ,"п")</f>
        <v>0</v>
      </c>
      <c r="W68" s="76">
        <f t="shared" si="60"/>
        <v>0</v>
      </c>
      <c r="X68" s="76">
        <f>COUNTIFS(ШТАТ!U:U,"",ШТАТ!AM:AM,"ШТУ",ШТАТ!AL:AL,B68,ШТАТ!AK:AK,3,ШТАТ!AJ:AJ,"к/с")</f>
        <v>0</v>
      </c>
      <c r="Y68" s="76"/>
      <c r="Z68" s="77">
        <f t="shared" si="101"/>
        <v>0</v>
      </c>
      <c r="AA68" s="78">
        <f>COUNTIFS(ШТАТ!U:U,"",ШТАТ!AM:AM,"ШТУ",ШТАТ!AL:AL,B68,ШТАТ!AK:AK,4,ШТАТ!AJ:AJ,"к/с")</f>
        <v>0</v>
      </c>
      <c r="AB68" s="76">
        <f>COUNTIFS(ШТАТ!U:U,"",ШТАТ!AM:AM,"ШТУ",ШТАТ!AL:AL,B68,ШТАТ!AK:AK,4,ШТАТ!AJ:AJ,"с/с")</f>
        <v>0</v>
      </c>
      <c r="AC68" s="71">
        <f t="shared" si="99"/>
        <v>0</v>
      </c>
      <c r="AD68" s="74">
        <f t="shared" si="88"/>
        <v>0</v>
      </c>
      <c r="AE68" s="73">
        <f t="shared" si="58"/>
        <v>0</v>
      </c>
      <c r="AF68" s="71">
        <f t="shared" si="100"/>
        <v>0</v>
      </c>
      <c r="AG68" s="76"/>
      <c r="AH68" s="76">
        <f>COUNTIFS(ШТАТ!$AL:$AL,$B68,ШТАТ!$U:$U,"МП")</f>
        <v>0</v>
      </c>
      <c r="AI68" s="76">
        <f>COUNTIFS(ШТАТ!AM:AM,"ШТУ",ШТАТ!AL:AL,B68,ШТАТ!U:U,"осв-ие")</f>
        <v>0</v>
      </c>
      <c r="AJ68" s="76">
        <f>COUNTIFS(ШТАТ!AL:AL,B68,ШТАТ!U:U,"госп")</f>
        <v>0</v>
      </c>
      <c r="AK68" s="79">
        <f t="shared" si="102"/>
        <v>4</v>
      </c>
      <c r="AL68" s="76"/>
      <c r="AM68" s="76">
        <f>COUNTIFS(ШТАТ!$AL:$AL,$B68,ШТАТ!$W:$W,"Павенково")</f>
        <v>0</v>
      </c>
      <c r="AN68" s="70"/>
      <c r="AO68" s="76"/>
      <c r="AP68" s="70"/>
      <c r="AQ68" s="70">
        <f>COUNTIFS(ШТАТ!AM:AM,"ШТУ",ШТАТ!AL:AL,B68,ШТАТ!X:X,"Усиление объектов")</f>
        <v>0</v>
      </c>
      <c r="AR68" s="1131">
        <f>COUNTIFS(ШТАТ!AL:AL,B68,ШТАТ!U:U,"полигон")-SUM(AL68:AO68)</f>
        <v>0</v>
      </c>
      <c r="AS68" s="76"/>
      <c r="AT68" s="76"/>
      <c r="AU68" s="76">
        <f>COUNTIFS(ШТАТ!AM:AM,"ШТУ",ШТАТ!AL:AL,B68,ШТАТ!X:X,"Выполнение специальных задач")</f>
        <v>1</v>
      </c>
      <c r="AV68" s="76"/>
      <c r="AW68" s="76"/>
      <c r="AX68" s="76"/>
      <c r="AY68" s="76"/>
      <c r="AZ68" s="76">
        <f>COUNTIFS(ШТАТ!AM:AM,"ШТУ",ШТАТ!AL:AL,B68,ШТАТ!W:W,"г. Белгород")</f>
        <v>3</v>
      </c>
      <c r="BA68" s="76"/>
      <c r="BB68" s="76"/>
      <c r="BC68" s="76"/>
      <c r="BD68" s="70">
        <f>COUNTIFS(ШТАТ!$AL:$AL,$B68,ШТАТ!$U:$U,"ком-ка")-SUM(AS68:BC68)-AP68-AQ68</f>
        <v>0</v>
      </c>
      <c r="BE68" s="76">
        <f>COUNTIFS(ШТАТ!AM:AM,"ШТУ",ШТАТ!AL:AL,B68,ШТАТ!U:U,"отпуск")</f>
        <v>0</v>
      </c>
      <c r="BF68" s="74"/>
      <c r="BG68" s="76">
        <f>COUNTIFS(ШТАТ!AM:AM,"ШТУ",ШТАТ!AL:AL,B68,ШТАТ!U:U,"СОЧ")</f>
        <v>0</v>
      </c>
      <c r="BH68" s="80">
        <f t="shared" si="103"/>
        <v>4</v>
      </c>
      <c r="BI68" s="81"/>
      <c r="BJ68" s="71">
        <f t="shared" si="104"/>
        <v>4</v>
      </c>
    </row>
    <row r="69" spans="1:62" ht="36" thickBot="1" x14ac:dyDescent="0.3">
      <c r="A69" s="16">
        <v>26</v>
      </c>
      <c r="B69" s="69" t="s">
        <v>581</v>
      </c>
      <c r="C69" s="69">
        <f>COUNTIFS(ШТАТ!AM:AM,"ШТУ",ШТАТ!AL:AL,"мв",ШТАТ!AK:AK,1)</f>
        <v>1</v>
      </c>
      <c r="D69" s="69">
        <f>COUNTIFS(ШТАТ!AM:AM,"ШТУ",ШТАТ!AL:AL,"мв",ШТАТ!AK:AK,2)</f>
        <v>0</v>
      </c>
      <c r="E69" s="69">
        <f>COUNTIFS(ШТАТ!AM:AM,"ШТУ",ШТАТ!AL:AL,"мв",ШТАТ!AK:AK,3)</f>
        <v>4</v>
      </c>
      <c r="F69" s="69">
        <f>COUNTIFS(ШТАТ!AM:AM,"ШТУ",ШТАТ!AL:AL,"мв",ШТАТ!AK:AK,4)</f>
        <v>12</v>
      </c>
      <c r="G69" s="69">
        <f t="shared" si="95"/>
        <v>17</v>
      </c>
      <c r="H69" s="70">
        <v>1</v>
      </c>
      <c r="I69" s="70">
        <f>COUNTIFS(ШТАТ!AM:AM,"ШТУ",ШТАТ!AL:AL,"мв",ШТАТ!AJ:AJ,"п")</f>
        <v>0</v>
      </c>
      <c r="J69" s="71">
        <f t="shared" si="96"/>
        <v>2</v>
      </c>
      <c r="K69" s="72">
        <v>2</v>
      </c>
      <c r="L69" s="73">
        <v>0</v>
      </c>
      <c r="M69" s="71">
        <f t="shared" si="82"/>
        <v>3</v>
      </c>
      <c r="N69" s="74">
        <v>3</v>
      </c>
      <c r="O69" s="74">
        <f>COUNTIFS(ШТАТ!AM:AM,"ШТУ",ШТАТ!AL:AL,"мв",ШТАТ!AK:AK,4,ШТАТ!AJ:AJ,"с/с")</f>
        <v>0</v>
      </c>
      <c r="P69" s="71">
        <f t="shared" si="97"/>
        <v>5</v>
      </c>
      <c r="Q69" s="74">
        <f t="shared" si="105"/>
        <v>5</v>
      </c>
      <c r="R69" s="73">
        <f t="shared" si="105"/>
        <v>0</v>
      </c>
      <c r="S69" s="71">
        <f t="shared" si="98"/>
        <v>6</v>
      </c>
      <c r="T69" s="75">
        <f t="shared" si="59"/>
        <v>0.35294117647058826</v>
      </c>
      <c r="U69" s="76">
        <f>COUNTIFS(ШТАТ!U:U,"",ШТАТ!AM:AM,"ШТУ",ШТАТ!AL:AL,"мв",ШТАТ!AJ:AJ,"о")</f>
        <v>0</v>
      </c>
      <c r="V69" s="76">
        <f>COUNTIFS(ШТАТ!U:U,"",ШТАТ!AM:AM,"ШТУ",ШТАТ!AL:AL,B69,ШТАТ!AJ:AJ,"п")</f>
        <v>0</v>
      </c>
      <c r="W69" s="76">
        <f t="shared" si="60"/>
        <v>0</v>
      </c>
      <c r="X69" s="76">
        <f>COUNTIFS(ШТАТ!U:U,"",ШТАТ!AM:AM,"ШТУ",ШТАТ!AL:AL,B69,ШТАТ!AK:AK,3,ШТАТ!AJ:AJ,"к/с")</f>
        <v>0</v>
      </c>
      <c r="Y69" s="76"/>
      <c r="Z69" s="77">
        <f t="shared" si="101"/>
        <v>0</v>
      </c>
      <c r="AA69" s="78">
        <f>COUNTIFS(ШТАТ!U:U,"",ШТАТ!AM:AM,"ШТУ",ШТАТ!AL:AL,B69,ШТАТ!AK:AK,4,ШТАТ!AJ:AJ,"к/с")</f>
        <v>0</v>
      </c>
      <c r="AB69" s="76">
        <f>COUNTIFS(ШТАТ!U:U,"",ШТАТ!AM:AM,"ШТУ",ШТАТ!AL:AL,B69,ШТАТ!AK:AK,4,ШТАТ!AJ:AJ,"с/с")</f>
        <v>0</v>
      </c>
      <c r="AC69" s="71">
        <f t="shared" si="99"/>
        <v>0</v>
      </c>
      <c r="AD69" s="74">
        <f t="shared" si="88"/>
        <v>0</v>
      </c>
      <c r="AE69" s="73">
        <f t="shared" si="58"/>
        <v>0</v>
      </c>
      <c r="AF69" s="71">
        <f t="shared" si="100"/>
        <v>0</v>
      </c>
      <c r="AG69" s="76"/>
      <c r="AH69" s="76">
        <f>COUNTIFS(ШТАТ!$AL:$AL,$B69,ШТАТ!$U:$U,"МП")</f>
        <v>0</v>
      </c>
      <c r="AI69" s="76">
        <f>COUNTIFS(ШТАТ!AM:AM,"ШТУ",ШТАТ!AL:AL,B69,ШТАТ!U:U,"осв-ие")</f>
        <v>0</v>
      </c>
      <c r="AJ69" s="76">
        <f>COUNTIFS(ШТАТ!AL:AL,B69,ШТАТ!U:U,"госп")</f>
        <v>0</v>
      </c>
      <c r="AK69" s="79">
        <f t="shared" si="102"/>
        <v>16</v>
      </c>
      <c r="AL69" s="76"/>
      <c r="AM69" s="76">
        <f>COUNTIFS(ШТАТ!$AL:$AL,$B69,ШТАТ!$W:$W,"Павенково")</f>
        <v>0</v>
      </c>
      <c r="AN69" s="70"/>
      <c r="AO69" s="76"/>
      <c r="AP69" s="70"/>
      <c r="AQ69" s="70">
        <f>COUNTIFS(ШТАТ!AM:AM,"ШТУ",ШТАТ!AL:AL,B69,ШТАТ!X:X,"Усиление объектов")</f>
        <v>0</v>
      </c>
      <c r="AR69" s="1131">
        <f>COUNTIFS(ШТАТ!AL:AL,B69,ШТАТ!U:U,"полигон")-SUM(AL69:AO69)</f>
        <v>0</v>
      </c>
      <c r="AS69" s="76"/>
      <c r="AT69" s="76"/>
      <c r="AU69" s="76">
        <f>COUNTIFS(ШТАТ!AM:AM,"ШТУ",ШТАТ!AL:AL,B69,ШТАТ!X:X,"Выполнение специальных задач")</f>
        <v>2</v>
      </c>
      <c r="AV69" s="76"/>
      <c r="AW69" s="76"/>
      <c r="AX69" s="76"/>
      <c r="AY69" s="76"/>
      <c r="AZ69" s="76">
        <f>COUNTIFS(ШТАТ!AM:AM,"ШТУ",ШТАТ!AL:AL,B69,ШТАТ!W:W,"г. Белгород")</f>
        <v>14</v>
      </c>
      <c r="BA69" s="76"/>
      <c r="BB69" s="76"/>
      <c r="BC69" s="76"/>
      <c r="BD69" s="70">
        <f>COUNTIFS(ШТАТ!$AL:$AL,$B69,ШТАТ!$U:$U,"ком-ка")-SUM(AS69:BC69)-AP69-AQ69</f>
        <v>0</v>
      </c>
      <c r="BE69" s="76">
        <f>COUNTIFS(ШТАТ!AM:AM,"ШТУ",ШТАТ!AL:AL,B69,ШТАТ!U:U,"отпуск")</f>
        <v>0</v>
      </c>
      <c r="BF69" s="74"/>
      <c r="BG69" s="76">
        <f>COUNTIFS(ШТАТ!AM:AM,"ШТУ",ШТАТ!AL:AL,B69,ШТАТ!U:U,"СОЧ")</f>
        <v>0</v>
      </c>
      <c r="BH69" s="80">
        <f t="shared" si="103"/>
        <v>16</v>
      </c>
      <c r="BI69" s="81"/>
      <c r="BJ69" s="71">
        <f t="shared" si="104"/>
        <v>16</v>
      </c>
    </row>
    <row r="70" spans="1:62" ht="71.25" customHeight="1" thickBot="1" x14ac:dyDescent="0.3">
      <c r="A70" s="16">
        <v>27</v>
      </c>
      <c r="B70" s="69" t="s">
        <v>584</v>
      </c>
      <c r="C70" s="69">
        <f>COUNTIFS(ШТАТ!AM:AM,"ШТУ",ШТАТ!AL:AL,"тв",ШТАТ!AK:AK,1)</f>
        <v>1</v>
      </c>
      <c r="D70" s="69">
        <f>COUNTIFS(ШТАТ!AM:AM,"ШТУ",ШТАТ!AL:AL,"тв",ШТАТ!AK:AK,2)</f>
        <v>0</v>
      </c>
      <c r="E70" s="69">
        <f>COUNTIFS(ШТАТ!AM:AM,"ШТУ",ШТАТ!AL:AL,"тв",ШТАТ!AK:AK,3)</f>
        <v>2</v>
      </c>
      <c r="F70" s="69">
        <f>COUNTIFS(ШТАТ!AM:AM,"ШТУ",ШТАТ!AL:AL,"тв",ШТАТ!AK:AK,4)</f>
        <v>6</v>
      </c>
      <c r="G70" s="69">
        <f t="shared" si="95"/>
        <v>9</v>
      </c>
      <c r="H70" s="70">
        <v>1</v>
      </c>
      <c r="I70" s="70">
        <f>COUNTIFS(ШТАТ!AM:AM,"ШТУ",ШТАТ!AL:AL,"тв",ШТАТ!AJ:AJ,"п")</f>
        <v>0</v>
      </c>
      <c r="J70" s="71">
        <f t="shared" si="96"/>
        <v>0</v>
      </c>
      <c r="K70" s="72">
        <v>0</v>
      </c>
      <c r="L70" s="73">
        <v>0</v>
      </c>
      <c r="M70" s="71">
        <f t="shared" si="82"/>
        <v>1</v>
      </c>
      <c r="N70" s="74">
        <v>1</v>
      </c>
      <c r="O70" s="74">
        <f>COUNTIFS(ШТАТ!AM:AM,"ШТУ",ШТАТ!AL:AL,"тв",ШТАТ!AK:AK,4,ШТАТ!AJ:AJ,"с/с")</f>
        <v>0</v>
      </c>
      <c r="P70" s="71">
        <f t="shared" si="97"/>
        <v>1</v>
      </c>
      <c r="Q70" s="74">
        <f t="shared" si="105"/>
        <v>1</v>
      </c>
      <c r="R70" s="73">
        <f t="shared" si="105"/>
        <v>0</v>
      </c>
      <c r="S70" s="71">
        <f t="shared" si="98"/>
        <v>2</v>
      </c>
      <c r="T70" s="75">
        <f t="shared" si="59"/>
        <v>0.22222222222222221</v>
      </c>
      <c r="U70" s="76">
        <f>COUNTIFS(ШТАТ!U:U,"",ШТАТ!AM:AM,"ШТУ",ШТАТ!AL:AL,"тв",ШТАТ!AJ:AJ,"о")</f>
        <v>0</v>
      </c>
      <c r="V70" s="76">
        <f>COUNTIFS(ШТАТ!U:U,"",ШТАТ!AM:AM,"ШТУ",ШТАТ!AL:AL,B70,ШТАТ!AJ:AJ,"п")</f>
        <v>0</v>
      </c>
      <c r="W70" s="76">
        <f t="shared" si="60"/>
        <v>0</v>
      </c>
      <c r="X70" s="76">
        <f>COUNTIFS(ШТАТ!U:U,"",ШТАТ!AM:AM,"ШТУ",ШТАТ!AL:AL,B70,ШТАТ!AK:AK,3,ШТАТ!AJ:AJ,"к/с")</f>
        <v>0</v>
      </c>
      <c r="Y70" s="76"/>
      <c r="Z70" s="77">
        <f t="shared" si="101"/>
        <v>0</v>
      </c>
      <c r="AA70" s="78">
        <f>COUNTIFS(ШТАТ!U:U,"",ШТАТ!AM:AM,"ШТУ",ШТАТ!AL:AL,B70,ШТАТ!AK:AK,4,ШТАТ!AJ:AJ,"к/с")</f>
        <v>0</v>
      </c>
      <c r="AB70" s="76">
        <f>COUNTIFS(ШТАТ!U:U,"",ШТАТ!AM:AM,"ШТУ",ШТАТ!AL:AL,B70,ШТАТ!AK:AK,4,ШТАТ!AJ:AJ,"с/с")</f>
        <v>0</v>
      </c>
      <c r="AC70" s="71">
        <f t="shared" si="99"/>
        <v>0</v>
      </c>
      <c r="AD70" s="74">
        <f t="shared" si="88"/>
        <v>0</v>
      </c>
      <c r="AE70" s="73">
        <f t="shared" si="58"/>
        <v>0</v>
      </c>
      <c r="AF70" s="71">
        <f t="shared" si="100"/>
        <v>0</v>
      </c>
      <c r="AG70" s="76"/>
      <c r="AH70" s="76">
        <f>COUNTIFS(ШТАТ!$AL:$AL,$B70,ШТАТ!$U:$U,"МП")</f>
        <v>0</v>
      </c>
      <c r="AI70" s="76">
        <f>COUNTIFS(ШТАТ!AM:AM,"ШТУ",ШТАТ!AL:AL,B70,ШТАТ!U:U,"осв-ие")</f>
        <v>0</v>
      </c>
      <c r="AJ70" s="76">
        <f>COUNTIFS(ШТАТ!AL:AL,B70,ШТАТ!U:U,"госп")</f>
        <v>0</v>
      </c>
      <c r="AK70" s="79">
        <f t="shared" si="102"/>
        <v>9</v>
      </c>
      <c r="AL70" s="76"/>
      <c r="AM70" s="76">
        <f>COUNTIFS(ШТАТ!$AL:$AL,$B70,ШТАТ!$W:$W,"Павенково")</f>
        <v>0</v>
      </c>
      <c r="AN70" s="70"/>
      <c r="AO70" s="76"/>
      <c r="AP70" s="70"/>
      <c r="AQ70" s="70">
        <f>COUNTIFS(ШТАТ!AM:AM,"ШТУ",ШТАТ!AL:AL,B70,ШТАТ!X:X,"Усиление объектов")</f>
        <v>0</v>
      </c>
      <c r="AR70" s="1131">
        <f>COUNTIFS(ШТАТ!AL:AL,B70,ШТАТ!U:U,"полигон")-SUM(AL70:AO70)</f>
        <v>0</v>
      </c>
      <c r="AS70" s="76"/>
      <c r="AT70" s="76"/>
      <c r="AU70" s="76">
        <f>COUNTIFS(ШТАТ!AM:AM,"ШТУ",ШТАТ!AL:AL,B70,ШТАТ!X:X,"Выполнение специальных задач")</f>
        <v>1</v>
      </c>
      <c r="AV70" s="76"/>
      <c r="AW70" s="76"/>
      <c r="AX70" s="76"/>
      <c r="AY70" s="76"/>
      <c r="AZ70" s="76">
        <f>COUNTIFS(ШТАТ!AM:AM,"ШТУ",ШТАТ!AL:AL,B70,ШТАТ!W:W,"г. Белгород")</f>
        <v>8</v>
      </c>
      <c r="BA70" s="76"/>
      <c r="BB70" s="76"/>
      <c r="BC70" s="76"/>
      <c r="BD70" s="70">
        <f>COUNTIFS(ШТАТ!$AL:$AL,$B70,ШТАТ!$U:$U,"ком-ка")-SUM(AS70:BC70)-AP70-AQ70</f>
        <v>0</v>
      </c>
      <c r="BE70" s="76">
        <f>COUNTIFS(ШТАТ!AM:AM,"ШТУ",ШТАТ!AL:AL,B70,ШТАТ!U:U,"отпуск")</f>
        <v>0</v>
      </c>
      <c r="BF70" s="74"/>
      <c r="BG70" s="76">
        <f>COUNTIFS(ШТАТ!AM:AM,"ШТУ",ШТАТ!AL:AL,B70,ШТАТ!U:U,"СОЧ")</f>
        <v>0</v>
      </c>
      <c r="BH70" s="80">
        <f t="shared" si="103"/>
        <v>9</v>
      </c>
      <c r="BI70" s="81"/>
      <c r="BJ70" s="71">
        <f t="shared" si="104"/>
        <v>9</v>
      </c>
    </row>
    <row r="71" spans="1:62" ht="36" thickBot="1" x14ac:dyDescent="0.3">
      <c r="A71" s="16">
        <v>28</v>
      </c>
      <c r="B71" s="69" t="s">
        <v>589</v>
      </c>
      <c r="C71" s="69">
        <f>COUNTIFS(ШТАТ!AM:AM,"ШТУ",ШТАТ!AL:AL,"гсав",ШТАТ!AK:AK,1)</f>
        <v>1</v>
      </c>
      <c r="D71" s="69">
        <f>COUNTIFS(ШТАТ!AM:AM,"ШТУ",ШТАТ!AL:AL,"гсав",ШТАТ!AK:AK,2)</f>
        <v>0</v>
      </c>
      <c r="E71" s="69">
        <f>COUNTIFS(ШТАТ!AM:AM,"ШТУ",ШТАТ!AL:AL,"гсав",ШТАТ!AK:AK,3)</f>
        <v>2</v>
      </c>
      <c r="F71" s="69">
        <f>COUNTIFS(ШТАТ!AM:AM,"ШТУ",ШТАТ!AL:AL,"гсав",ШТАТ!AK:AK,4)</f>
        <v>7</v>
      </c>
      <c r="G71" s="69">
        <f t="shared" si="95"/>
        <v>10</v>
      </c>
      <c r="H71" s="70">
        <v>1</v>
      </c>
      <c r="I71" s="70">
        <f>COUNTIFS(ШТАТ!AM:AM,"ШТУ",ШТАТ!AL:AL,"гсав",ШТАТ!AJ:AJ,"п")</f>
        <v>0</v>
      </c>
      <c r="J71" s="71">
        <f t="shared" si="96"/>
        <v>0</v>
      </c>
      <c r="K71" s="72">
        <v>0</v>
      </c>
      <c r="L71" s="73">
        <v>0</v>
      </c>
      <c r="M71" s="71">
        <f t="shared" si="82"/>
        <v>2</v>
      </c>
      <c r="N71" s="74">
        <v>2</v>
      </c>
      <c r="O71" s="74">
        <f>COUNTIFS(ШТАТ!AM:AM,"ШТУ",ШТАТ!AL:AL,"гсав",ШТАТ!AK:AK,4,ШТАТ!AJ:AJ,"с/с")</f>
        <v>0</v>
      </c>
      <c r="P71" s="71">
        <f t="shared" si="97"/>
        <v>2</v>
      </c>
      <c r="Q71" s="74">
        <f t="shared" si="105"/>
        <v>2</v>
      </c>
      <c r="R71" s="73">
        <f t="shared" si="105"/>
        <v>0</v>
      </c>
      <c r="S71" s="71">
        <f t="shared" si="98"/>
        <v>3</v>
      </c>
      <c r="T71" s="75">
        <f t="shared" si="59"/>
        <v>0.3</v>
      </c>
      <c r="U71" s="76">
        <f>COUNTIFS(ШТАТ!U:U,"",ШТАТ!AM:AM,"ШТУ",ШТАТ!AL:AL,"гсав",ШТАТ!AJ:AJ,"о")</f>
        <v>0</v>
      </c>
      <c r="V71" s="76">
        <f>COUNTIFS(ШТАТ!U:U,"",ШТАТ!AM:AM,"ШТУ",ШТАТ!AL:AL,B71,ШТАТ!AJ:AJ,"п")</f>
        <v>0</v>
      </c>
      <c r="W71" s="76">
        <f t="shared" si="60"/>
        <v>0</v>
      </c>
      <c r="X71" s="76">
        <f>COUNTIFS(ШТАТ!U:U,"",ШТАТ!AM:AM,"ШТУ",ШТАТ!AL:AL,B71,ШТАТ!AK:AK,3,ШТАТ!AJ:AJ,"к/с")</f>
        <v>0</v>
      </c>
      <c r="Y71" s="76"/>
      <c r="Z71" s="77">
        <f t="shared" si="101"/>
        <v>1</v>
      </c>
      <c r="AA71" s="78">
        <f>COUNTIFS(ШТАТ!U:U,"",ШТАТ!AM:AM,"ШТУ",ШТАТ!AL:AL,B71,ШТАТ!AK:AK,4,ШТАТ!AJ:AJ,"к/с")</f>
        <v>1</v>
      </c>
      <c r="AB71" s="76">
        <f>COUNTIFS(ШТАТ!U:U,"",ШТАТ!AM:AM,"ШТУ",ШТАТ!AL:AL,B71,ШТАТ!AK:AK,4,ШТАТ!AJ:AJ,"с/с")</f>
        <v>0</v>
      </c>
      <c r="AC71" s="71">
        <f t="shared" si="99"/>
        <v>1</v>
      </c>
      <c r="AD71" s="74">
        <f t="shared" si="88"/>
        <v>1</v>
      </c>
      <c r="AE71" s="73">
        <f t="shared" si="58"/>
        <v>0</v>
      </c>
      <c r="AF71" s="71">
        <f t="shared" si="100"/>
        <v>1</v>
      </c>
      <c r="AG71" s="76"/>
      <c r="AH71" s="76">
        <f>COUNTIFS(ШТАТ!$AL:$AL,$B71,ШТАТ!$U:$U,"МП")</f>
        <v>0</v>
      </c>
      <c r="AI71" s="76">
        <f>COUNTIFS(ШТАТ!AM:AM,"ШТУ",ШТАТ!AL:AL,B71,ШТАТ!U:U,"осв-ие")</f>
        <v>0</v>
      </c>
      <c r="AJ71" s="76">
        <f>COUNTIFS(ШТАТ!AL:AL,B71,ШТАТ!U:U,"госп")</f>
        <v>0</v>
      </c>
      <c r="AK71" s="79">
        <f t="shared" si="102"/>
        <v>8</v>
      </c>
      <c r="AL71" s="76"/>
      <c r="AM71" s="76">
        <f>COUNTIFS(ШТАТ!$AL:$AL,$B71,ШТАТ!$W:$W,"Павенково")</f>
        <v>0</v>
      </c>
      <c r="AN71" s="70"/>
      <c r="AO71" s="76"/>
      <c r="AP71" s="70"/>
      <c r="AQ71" s="70">
        <f>COUNTIFS(ШТАТ!AM:AM,"ШТУ",ШТАТ!AL:AL,B71,ШТАТ!X:X,"Усиление объектов")</f>
        <v>0</v>
      </c>
      <c r="AR71" s="1131">
        <f>COUNTIFS(ШТАТ!AL:AL,B71,ШТАТ!U:U,"полигон")-SUM(AL71:AO71)</f>
        <v>0</v>
      </c>
      <c r="AS71" s="76"/>
      <c r="AT71" s="76"/>
      <c r="AU71" s="76">
        <f>COUNTIFS(ШТАТ!AM:AM,"ШТУ",ШТАТ!AL:AL,B71,ШТАТ!X:X,"Выполнение специальных задач")</f>
        <v>2</v>
      </c>
      <c r="AV71" s="76"/>
      <c r="AW71" s="76"/>
      <c r="AX71" s="76"/>
      <c r="AY71" s="76"/>
      <c r="AZ71" s="76">
        <f>COUNTIFS(ШТАТ!AM:AM,"ШТУ",ШТАТ!AL:AL,B71,ШТАТ!W:W,"г. Белгород")</f>
        <v>6</v>
      </c>
      <c r="BA71" s="76"/>
      <c r="BB71" s="76"/>
      <c r="BC71" s="76"/>
      <c r="BD71" s="70">
        <f>COUNTIFS(ШТАТ!$AL:$AL,$B71,ШТАТ!$U:$U,"ком-ка")-SUM(AS71:BC71)-AP71-AQ71</f>
        <v>0</v>
      </c>
      <c r="BE71" s="76">
        <f>COUNTIFS(ШТАТ!AM:AM,"ШТУ",ШТАТ!AL:AL,B71,ШТАТ!U:U,"отпуск")</f>
        <v>0</v>
      </c>
      <c r="BF71" s="74"/>
      <c r="BG71" s="76">
        <f>COUNTIFS(ШТАТ!AM:AM,"ШТУ",ШТАТ!AL:AL,B71,ШТАТ!U:U,"СОЧ")</f>
        <v>0</v>
      </c>
      <c r="BH71" s="80">
        <f t="shared" si="103"/>
        <v>8</v>
      </c>
      <c r="BI71" s="81"/>
      <c r="BJ71" s="71">
        <f t="shared" si="104"/>
        <v>8</v>
      </c>
    </row>
    <row r="72" spans="1:62" ht="71.25" customHeight="1" thickBot="1" x14ac:dyDescent="0.3">
      <c r="A72" s="16">
        <v>29</v>
      </c>
      <c r="B72" s="69" t="s">
        <v>596</v>
      </c>
      <c r="C72" s="69">
        <f>COUNTIFS(ШТАТ!AM:AM,"ШТУ",ШТАТ!AL:AL,"ро",ШТАТ!AK:AK,1)</f>
        <v>0</v>
      </c>
      <c r="D72" s="69">
        <f>COUNTIFS(ШТАТ!AM:AM,"ШТУ",ШТАТ!AL:AL,"ро",ШТАТ!AK:AK,2)</f>
        <v>0</v>
      </c>
      <c r="E72" s="69">
        <f>COUNTIFS(ШТАТ!AM:AM,"ШТУ",ШТАТ!AL:AL,"ро",ШТАТ!AK:AK,3)</f>
        <v>1</v>
      </c>
      <c r="F72" s="69">
        <f>COUNTIFS(ШТАТ!AM:AM,"ШТУ",ШТАТ!AL:AL,"ро",ШТАТ!AK:AK,4)</f>
        <v>6</v>
      </c>
      <c r="G72" s="69">
        <f t="shared" si="95"/>
        <v>7</v>
      </c>
      <c r="H72" s="70">
        <v>0</v>
      </c>
      <c r="I72" s="70">
        <f>COUNTIFS(ШТАТ!AM:AM,"ШТУ",ШТАТ!AL:AL,"ро",ШТАТ!AJ:AJ,"п")</f>
        <v>0</v>
      </c>
      <c r="J72" s="71">
        <f t="shared" si="96"/>
        <v>1</v>
      </c>
      <c r="K72" s="72">
        <v>1</v>
      </c>
      <c r="L72" s="73">
        <v>0</v>
      </c>
      <c r="M72" s="71">
        <f t="shared" si="82"/>
        <v>0</v>
      </c>
      <c r="N72" s="74">
        <v>0</v>
      </c>
      <c r="O72" s="74">
        <f>COUNTIFS(ШТАТ!AM:AM,"ШТУ",ШТАТ!AL:AL,"ро",ШТАТ!AK:AK,4,ШТАТ!AJ:AJ,"с/с")</f>
        <v>0</v>
      </c>
      <c r="P72" s="71">
        <f t="shared" si="97"/>
        <v>1</v>
      </c>
      <c r="Q72" s="74">
        <f t="shared" si="105"/>
        <v>1</v>
      </c>
      <c r="R72" s="73">
        <f t="shared" si="105"/>
        <v>0</v>
      </c>
      <c r="S72" s="71">
        <f t="shared" si="98"/>
        <v>1</v>
      </c>
      <c r="T72" s="75">
        <f t="shared" si="59"/>
        <v>0.14285714285714285</v>
      </c>
      <c r="U72" s="76">
        <f>COUNTIFS(ШТАТ!U:U,"",ШТАТ!AM:AM,"ШТУ",ШТАТ!AL:AL,"ро",ШТАТ!AJ:AJ,"о")</f>
        <v>0</v>
      </c>
      <c r="V72" s="76">
        <f>COUNTIFS(ШТАТ!U:U,"",ШТАТ!AM:AM,"ШТУ",ШТАТ!AL:AL,B72,ШТАТ!AJ:AJ,"п")</f>
        <v>0</v>
      </c>
      <c r="W72" s="76">
        <f t="shared" si="60"/>
        <v>0</v>
      </c>
      <c r="X72" s="76">
        <f>COUNTIFS(ШТАТ!U:U,"",ШТАТ!AM:AM,"ШТУ",ШТАТ!AL:AL,B72,ШТАТ!AK:AK,3,ШТАТ!AJ:AJ,"к/с")</f>
        <v>0</v>
      </c>
      <c r="Y72" s="76"/>
      <c r="Z72" s="77">
        <f t="shared" si="101"/>
        <v>0</v>
      </c>
      <c r="AA72" s="78">
        <f>COUNTIFS(ШТАТ!U:U,"",ШТАТ!AM:AM,"ШТУ",ШТАТ!AL:AL,B72,ШТАТ!AK:AK,4,ШТАТ!AJ:AJ,"к/с")</f>
        <v>0</v>
      </c>
      <c r="AB72" s="76">
        <f>COUNTIFS(ШТАТ!U:U,"",ШТАТ!AM:AM,"ШТУ",ШТАТ!AL:AL,B72,ШТАТ!AK:AK,4,ШТАТ!AJ:AJ,"с/с")</f>
        <v>0</v>
      </c>
      <c r="AC72" s="71">
        <f t="shared" si="99"/>
        <v>0</v>
      </c>
      <c r="AD72" s="74">
        <f t="shared" si="88"/>
        <v>0</v>
      </c>
      <c r="AE72" s="73">
        <f t="shared" si="58"/>
        <v>0</v>
      </c>
      <c r="AF72" s="71">
        <f t="shared" si="100"/>
        <v>0</v>
      </c>
      <c r="AG72" s="76"/>
      <c r="AH72" s="76">
        <f>COUNTIFS(ШТАТ!$AL:$AL,$B72,ШТАТ!$U:$U,"МП")</f>
        <v>0</v>
      </c>
      <c r="AI72" s="76">
        <f>COUNTIFS(ШТАТ!AM:AM,"ШТУ",ШТАТ!AL:AL,B72,ШТАТ!U:U,"осв-ие")</f>
        <v>0</v>
      </c>
      <c r="AJ72" s="76">
        <f>COUNTIFS(ШТАТ!AL:AL,B72,ШТАТ!U:U,"госп")</f>
        <v>0</v>
      </c>
      <c r="AK72" s="79">
        <f t="shared" si="102"/>
        <v>4</v>
      </c>
      <c r="AL72" s="76"/>
      <c r="AM72" s="76">
        <f>COUNTIFS(ШТАТ!$AL:$AL,$B72,ШТАТ!$W:$W,"Павенково")</f>
        <v>0</v>
      </c>
      <c r="AN72" s="70"/>
      <c r="AO72" s="76"/>
      <c r="AP72" s="70"/>
      <c r="AQ72" s="70">
        <f>COUNTIFS(ШТАТ!AM:AM,"ШТУ",ШТАТ!AL:AL,B72,ШТАТ!X:X,"Усиление объектов")</f>
        <v>0</v>
      </c>
      <c r="AR72" s="1131">
        <f>COUNTIFS(ШТАТ!AL:AL,B72,ШТАТ!U:U,"полигон")-SUM(AL72:AO72)</f>
        <v>0</v>
      </c>
      <c r="AS72" s="76"/>
      <c r="AT72" s="76"/>
      <c r="AU72" s="76">
        <f>COUNTIFS(ШТАТ!AM:AM,"ШТУ",ШТАТ!AL:AL,B72,ШТАТ!X:X,"Выполнение специальных задач")</f>
        <v>1</v>
      </c>
      <c r="AV72" s="76"/>
      <c r="AW72" s="76"/>
      <c r="AX72" s="76"/>
      <c r="AY72" s="76"/>
      <c r="AZ72" s="76">
        <f>COUNTIFS(ШТАТ!AM:AM,"ШТУ",ШТАТ!AL:AL,B72,ШТАТ!W:W,"г. Белгород")</f>
        <v>3</v>
      </c>
      <c r="BA72" s="76"/>
      <c r="BB72" s="76"/>
      <c r="BC72" s="76"/>
      <c r="BD72" s="70">
        <f>COUNTIFS(ШТАТ!$AL:$AL,$B72,ШТАТ!$U:$U,"ком-ка")-SUM(AS72:BC72)-AP72-AQ72</f>
        <v>0</v>
      </c>
      <c r="BE72" s="76">
        <f>COUNTIFS(ШТАТ!AM:AM,"ШТУ",ШТАТ!AL:AL,B72,ШТАТ!U:U,"отпуск")</f>
        <v>0</v>
      </c>
      <c r="BF72" s="74"/>
      <c r="BG72" s="76">
        <f>COUNTIFS(ШТАТ!AM:AM,"ШТУ",ШТАТ!AL:AL,B72,ШТАТ!U:U,"СОЧ")</f>
        <v>0</v>
      </c>
      <c r="BH72" s="80">
        <f t="shared" si="103"/>
        <v>4</v>
      </c>
      <c r="BI72" s="81"/>
      <c r="BJ72" s="71">
        <f t="shared" si="104"/>
        <v>4</v>
      </c>
    </row>
    <row r="73" spans="1:62" ht="71.25" customHeight="1" thickBot="1" x14ac:dyDescent="0.3">
      <c r="A73" s="16">
        <v>30</v>
      </c>
      <c r="B73" s="69" t="s">
        <v>603</v>
      </c>
      <c r="C73" s="69">
        <f>COUNTIFS(ШТАТ!AM:AM,"ШТУ",ШТАТ!AL:AL,"исо",ШТАТ!AK:AK,1)</f>
        <v>0</v>
      </c>
      <c r="D73" s="69">
        <f>COUNTIFS(ШТАТ!AM:AM,"ШТУ",ШТАТ!AL:AL,"исо",ШТАТ!AK:AK,2)</f>
        <v>0</v>
      </c>
      <c r="E73" s="69">
        <f>COUNTIFS(ШТАТ!AM:AM,"ШТУ",ШТАТ!AL:AL,"исо",ШТАТ!AK:AK,3)</f>
        <v>1</v>
      </c>
      <c r="F73" s="69">
        <f>COUNTIFS(ШТАТ!AM:AM,"ШТУ",ШТАТ!AL:AL,"исо",ШТАТ!AK:AK,4)</f>
        <v>4</v>
      </c>
      <c r="G73" s="69">
        <f t="shared" si="95"/>
        <v>5</v>
      </c>
      <c r="H73" s="70">
        <v>0</v>
      </c>
      <c r="I73" s="70">
        <f>COUNTIFS(ШТАТ!AM:AM,"ШТУ",ШТАТ!AL:AL,"исо",ШТАТ!AJ:AJ,"п")</f>
        <v>0</v>
      </c>
      <c r="J73" s="71">
        <f t="shared" si="96"/>
        <v>0</v>
      </c>
      <c r="K73" s="72">
        <v>0</v>
      </c>
      <c r="L73" s="73">
        <v>0</v>
      </c>
      <c r="M73" s="71">
        <f t="shared" si="82"/>
        <v>0</v>
      </c>
      <c r="N73" s="74">
        <v>0</v>
      </c>
      <c r="O73" s="74">
        <f>COUNTIFS(ШТАТ!AM:AM,"ШТУ",ШТАТ!AL:AL,"исо",ШТАТ!AK:AK,4,ШТАТ!AJ:AJ,"с/с")</f>
        <v>0</v>
      </c>
      <c r="P73" s="71">
        <f t="shared" si="97"/>
        <v>0</v>
      </c>
      <c r="Q73" s="74">
        <f t="shared" si="105"/>
        <v>0</v>
      </c>
      <c r="R73" s="73">
        <f t="shared" si="105"/>
        <v>0</v>
      </c>
      <c r="S73" s="71">
        <f t="shared" si="98"/>
        <v>0</v>
      </c>
      <c r="T73" s="75">
        <f t="shared" si="59"/>
        <v>0</v>
      </c>
      <c r="U73" s="76">
        <f>COUNTIFS(ШТАТ!U:U,"",ШТАТ!AM:AM,"ШТУ",ШТАТ!AL:AL,"исо",ШТАТ!AJ:AJ,"о")</f>
        <v>0</v>
      </c>
      <c r="V73" s="76">
        <f>COUNTIFS(ШТАТ!U:U,"",ШТАТ!AM:AM,"ШТУ",ШТАТ!AL:AL,B73,ШТАТ!AJ:AJ,"п")</f>
        <v>0</v>
      </c>
      <c r="W73" s="76">
        <f t="shared" si="60"/>
        <v>0</v>
      </c>
      <c r="X73" s="76">
        <f>COUNTIFS(ШТАТ!U:U,"",ШТАТ!AM:AM,"ШТУ",ШТАТ!AL:AL,B73,ШТАТ!AK:AK,3,ШТАТ!AJ:AJ,"к/с")</f>
        <v>0</v>
      </c>
      <c r="Y73" s="76"/>
      <c r="Z73" s="77">
        <f t="shared" si="101"/>
        <v>1</v>
      </c>
      <c r="AA73" s="78">
        <f>COUNTIFS(ШТАТ!U:U,"",ШТАТ!AM:AM,"ШТУ",ШТАТ!AL:AL,B73,ШТАТ!AK:AK,4,ШТАТ!AJ:AJ,"к/с")</f>
        <v>1</v>
      </c>
      <c r="AB73" s="76">
        <f>COUNTIFS(ШТАТ!U:U,"",ШТАТ!AM:AM,"ШТУ",ШТАТ!AL:AL,B73,ШТАТ!AK:AK,4,ШТАТ!AJ:AJ,"с/с")</f>
        <v>0</v>
      </c>
      <c r="AC73" s="71">
        <f t="shared" si="99"/>
        <v>1</v>
      </c>
      <c r="AD73" s="74">
        <f t="shared" si="88"/>
        <v>1</v>
      </c>
      <c r="AE73" s="73">
        <f t="shared" si="58"/>
        <v>0</v>
      </c>
      <c r="AF73" s="71">
        <f t="shared" si="100"/>
        <v>1</v>
      </c>
      <c r="AG73" s="76"/>
      <c r="AH73" s="76">
        <f>COUNTIFS(ШТАТ!$AL:$AL,$B73,ШТАТ!$U:$U,"МП")</f>
        <v>0</v>
      </c>
      <c r="AI73" s="76">
        <f>COUNTIFS(ШТАТ!AM:AM,"ШТУ",ШТАТ!AL:AL,B73,ШТАТ!U:U,"осв-ие")</f>
        <v>0</v>
      </c>
      <c r="AJ73" s="76">
        <f>COUNTIFS(ШТАТ!AL:AL,B73,ШТАТ!U:U,"госп")</f>
        <v>0</v>
      </c>
      <c r="AK73" s="79">
        <f t="shared" si="102"/>
        <v>3</v>
      </c>
      <c r="AL73" s="76"/>
      <c r="AM73" s="76">
        <f>COUNTIFS(ШТАТ!$AL:$AL,$B73,ШТАТ!$W:$W,"Павенково")</f>
        <v>0</v>
      </c>
      <c r="AN73" s="70"/>
      <c r="AO73" s="76"/>
      <c r="AP73" s="70"/>
      <c r="AQ73" s="70">
        <f>COUNTIFS(ШТАТ!AM:AM,"ШТУ",ШТАТ!AL:AL,B73,ШТАТ!X:X,"Усиление объектов")</f>
        <v>0</v>
      </c>
      <c r="AR73" s="1131">
        <f>COUNTIFS(ШТАТ!AL:AL,B73,ШТАТ!U:U,"полигон")-SUM(AL73:AO73)</f>
        <v>0</v>
      </c>
      <c r="AS73" s="76"/>
      <c r="AT73" s="76"/>
      <c r="AU73" s="76">
        <f>COUNTIFS(ШТАТ!AM:AM,"ШТУ",ШТАТ!AL:AL,B73,ШТАТ!X:X,"Выполнение специальных задач")</f>
        <v>0</v>
      </c>
      <c r="AV73" s="76"/>
      <c r="AW73" s="76"/>
      <c r="AX73" s="76"/>
      <c r="AY73" s="76"/>
      <c r="AZ73" s="76">
        <f>COUNTIFS(ШТАТ!AM:AM,"ШТУ",ШТАТ!AL:AL,B73,ШТАТ!W:W,"г. Белгород")</f>
        <v>3</v>
      </c>
      <c r="BA73" s="76"/>
      <c r="BB73" s="76"/>
      <c r="BC73" s="76"/>
      <c r="BD73" s="70">
        <f>COUNTIFS(ШТАТ!$AL:$AL,$B73,ШТАТ!$U:$U,"ком-ка")-SUM(AS73:BC73)-AP73-AQ73</f>
        <v>0</v>
      </c>
      <c r="BE73" s="76">
        <f>COUNTIFS(ШТАТ!AM:AM,"ШТУ",ШТАТ!AL:AL,B73,ШТАТ!U:U,"отпуск")</f>
        <v>0</v>
      </c>
      <c r="BF73" s="74"/>
      <c r="BG73" s="76">
        <f>COUNTIFS(ШТАТ!AM:AM,"ШТУ",ШТАТ!AL:AL,B73,ШТАТ!U:U,"СОЧ")</f>
        <v>0</v>
      </c>
      <c r="BH73" s="80">
        <f t="shared" si="103"/>
        <v>3</v>
      </c>
      <c r="BI73" s="81"/>
      <c r="BJ73" s="71">
        <f t="shared" si="104"/>
        <v>3</v>
      </c>
    </row>
    <row r="74" spans="1:62" ht="177" customHeight="1" thickBot="1" x14ac:dyDescent="0.3">
      <c r="A74" s="16">
        <v>31</v>
      </c>
      <c r="B74" s="69" t="s">
        <v>607</v>
      </c>
      <c r="C74" s="69">
        <f>COUNTIFS(ШТАТ!AM:AM,"ШТУ",ШТАТ!AL:AL,"МедО",ШТАТ!AK:AK,1)</f>
        <v>0</v>
      </c>
      <c r="D74" s="69">
        <f>COUNTIFS(ШТАТ!AM:AM,"ШТУ",ШТАТ!AL:AL,"МедО",ШТАТ!AK:AK,2)</f>
        <v>0</v>
      </c>
      <c r="E74" s="69">
        <f>COUNTIFS(ШТАТ!AM:AM,"ШТУ",ШТАТ!AL:AL,"МедО",ШТАТ!AK:AK,3)</f>
        <v>1</v>
      </c>
      <c r="F74" s="69">
        <f>COUNTIFS(ШТАТ!AM:AM,"ШТУ",ШТАТ!AL:AL,"МедО",ШТАТ!AK:AK,4)</f>
        <v>2</v>
      </c>
      <c r="G74" s="69">
        <f t="shared" si="95"/>
        <v>3</v>
      </c>
      <c r="H74" s="70">
        <v>0</v>
      </c>
      <c r="I74" s="70">
        <f>COUNTIFS(ШТАТ!AM:AM,"ШТУ",ШТАТ!AL:AL,"МедО",ШТАТ!AJ:AJ,"п")</f>
        <v>0</v>
      </c>
      <c r="J74" s="71">
        <f t="shared" si="96"/>
        <v>0</v>
      </c>
      <c r="K74" s="72">
        <v>0</v>
      </c>
      <c r="L74" s="73">
        <v>0</v>
      </c>
      <c r="M74" s="71">
        <f t="shared" si="82"/>
        <v>0</v>
      </c>
      <c r="N74" s="74">
        <v>0</v>
      </c>
      <c r="O74" s="74">
        <f>COUNTIFS(ШТАТ!AM:AM,"ШТУ",ШТАТ!AL:AL,"МедО",ШТАТ!AK:AK,4,ШТАТ!AJ:AJ,"с/с")</f>
        <v>0</v>
      </c>
      <c r="P74" s="71">
        <f t="shared" si="97"/>
        <v>0</v>
      </c>
      <c r="Q74" s="74">
        <f t="shared" si="105"/>
        <v>0</v>
      </c>
      <c r="R74" s="73">
        <f t="shared" si="105"/>
        <v>0</v>
      </c>
      <c r="S74" s="71">
        <f t="shared" si="98"/>
        <v>0</v>
      </c>
      <c r="T74" s="75">
        <f t="shared" si="59"/>
        <v>0</v>
      </c>
      <c r="U74" s="76">
        <f>COUNTIFS(ШТАТ!U:U,"",ШТАТ!AM:AM,"ШТУ",ШТАТ!AL:AL,"МедО",ШТАТ!AJ:AJ,"о")</f>
        <v>0</v>
      </c>
      <c r="V74" s="76">
        <f>COUNTIFS(ШТАТ!U:U,"",ШТАТ!AM:AM,"ШТУ",ШТАТ!AL:AL,B74,ШТАТ!AJ:AJ,"п")</f>
        <v>0</v>
      </c>
      <c r="W74" s="76">
        <f t="shared" si="60"/>
        <v>0</v>
      </c>
      <c r="X74" s="76">
        <f>COUNTIFS(ШТАТ!U:U,"",ШТАТ!AM:AM,"ШТУ",ШТАТ!AL:AL,B74,ШТАТ!AK:AK,3,ШТАТ!AJ:AJ,"к/с")</f>
        <v>0</v>
      </c>
      <c r="Y74" s="76"/>
      <c r="Z74" s="77">
        <f t="shared" si="101"/>
        <v>0</v>
      </c>
      <c r="AA74" s="78">
        <f>COUNTIFS(ШТАТ!U:U,"",ШТАТ!AM:AM,"ШТУ",ШТАТ!AL:AL,B74,ШТАТ!AK:AK,4,ШТАТ!AJ:AJ,"к/с")</f>
        <v>0</v>
      </c>
      <c r="AB74" s="76">
        <f>COUNTIFS(ШТАТ!U:U,"",ШТАТ!AM:AM,"ШТУ",ШТАТ!AL:AL,B74,ШТАТ!AK:AK,4,ШТАТ!AJ:AJ,"с/с")</f>
        <v>0</v>
      </c>
      <c r="AC74" s="71">
        <f t="shared" si="99"/>
        <v>0</v>
      </c>
      <c r="AD74" s="74">
        <f t="shared" si="88"/>
        <v>0</v>
      </c>
      <c r="AE74" s="73">
        <f t="shared" si="58"/>
        <v>0</v>
      </c>
      <c r="AF74" s="71">
        <f t="shared" si="100"/>
        <v>0</v>
      </c>
      <c r="AG74" s="76"/>
      <c r="AH74" s="76">
        <f>COUNTIFS(ШТАТ!$AL:$AL,$B74,ШТАТ!$U:$U,"МП")</f>
        <v>0</v>
      </c>
      <c r="AI74" s="76">
        <f>COUNTIFS(ШТАТ!AM:AM,"ШТУ",ШТАТ!AL:AL,B74,ШТАТ!U:U,"осв-ие")</f>
        <v>0</v>
      </c>
      <c r="AJ74" s="76">
        <f>COUNTIFS(ШТАТ!AL:AL,B74,ШТАТ!U:U,"госп")</f>
        <v>0</v>
      </c>
      <c r="AK74" s="79">
        <f t="shared" si="102"/>
        <v>1</v>
      </c>
      <c r="AL74" s="76"/>
      <c r="AM74" s="76">
        <f>COUNTIFS(ШТАТ!$AL:$AL,$B74,ШТАТ!$W:$W,"Павенково")</f>
        <v>0</v>
      </c>
      <c r="AN74" s="70"/>
      <c r="AO74" s="76"/>
      <c r="AP74" s="70"/>
      <c r="AQ74" s="70">
        <f>COUNTIFS(ШТАТ!AM:AM,"ШТУ",ШТАТ!AL:AL,B74,ШТАТ!X:X,"Усиление объектов")</f>
        <v>0</v>
      </c>
      <c r="AR74" s="1131">
        <f>COUNTIFS(ШТАТ!AL:AL,B74,ШТАТ!U:U,"полигон")-SUM(AL74:AO74)</f>
        <v>0</v>
      </c>
      <c r="AS74" s="76"/>
      <c r="AT74" s="76"/>
      <c r="AU74" s="76">
        <f>COUNTIFS(ШТАТ!AM:AM,"ШТУ",ШТАТ!AL:AL,B74,ШТАТ!X:X,"Выполнение специальных задач")</f>
        <v>0</v>
      </c>
      <c r="AV74" s="76"/>
      <c r="AW74" s="76"/>
      <c r="AX74" s="76"/>
      <c r="AY74" s="76"/>
      <c r="AZ74" s="76">
        <f>COUNTIFS(ШТАТ!AM:AM,"ШТУ",ШТАТ!AL:AL,B74,ШТАТ!W:W,"г. Белгород")</f>
        <v>1</v>
      </c>
      <c r="BA74" s="76"/>
      <c r="BB74" s="76"/>
      <c r="BC74" s="76"/>
      <c r="BD74" s="70">
        <f>COUNTIFS(ШТАТ!$AL:$AL,$B74,ШТАТ!$U:$U,"ком-ка")-SUM(AS74:BC74)-AP74-AQ74</f>
        <v>0</v>
      </c>
      <c r="BE74" s="76">
        <f>COUNTIFS(ШТАТ!AM:AM,"ШТУ",ШТАТ!AL:AL,B74,ШТАТ!U:U,"отпуск")</f>
        <v>0</v>
      </c>
      <c r="BF74" s="74"/>
      <c r="BG74" s="76">
        <f>COUNTIFS(ШТАТ!AM:AM,"ШТУ",ШТАТ!AL:AL,B74,ШТАТ!U:U,"СОЧ")</f>
        <v>0</v>
      </c>
      <c r="BH74" s="80">
        <f>SUM(AG74:AJ74)+SUM(BE74:BG74)+AK74</f>
        <v>1</v>
      </c>
      <c r="BI74" s="81"/>
      <c r="BJ74" s="71">
        <f t="shared" si="104"/>
        <v>1</v>
      </c>
    </row>
    <row r="75" spans="1:62" ht="71.25" customHeight="1" thickBot="1" x14ac:dyDescent="0.3">
      <c r="A75" s="16">
        <v>32</v>
      </c>
      <c r="B75" s="67" t="s">
        <v>915</v>
      </c>
      <c r="C75" s="67">
        <f t="shared" ref="C75:K75" si="106">SUM(C64:C74)</f>
        <v>11</v>
      </c>
      <c r="D75" s="67">
        <f t="shared" si="106"/>
        <v>3</v>
      </c>
      <c r="E75" s="67">
        <f t="shared" si="106"/>
        <v>24</v>
      </c>
      <c r="F75" s="67">
        <f t="shared" si="106"/>
        <v>123</v>
      </c>
      <c r="G75" s="67">
        <f t="shared" si="106"/>
        <v>161</v>
      </c>
      <c r="H75" s="67">
        <f t="shared" si="106"/>
        <v>11</v>
      </c>
      <c r="I75" s="67">
        <f t="shared" si="106"/>
        <v>2</v>
      </c>
      <c r="J75" s="68">
        <f t="shared" si="106"/>
        <v>6</v>
      </c>
      <c r="K75" s="67">
        <f t="shared" si="106"/>
        <v>6</v>
      </c>
      <c r="L75" s="67">
        <f t="shared" ref="L75:S75" si="107">SUM(L64:L74)</f>
        <v>0</v>
      </c>
      <c r="M75" s="67">
        <f t="shared" si="107"/>
        <v>16</v>
      </c>
      <c r="N75" s="67">
        <f t="shared" si="107"/>
        <v>16</v>
      </c>
      <c r="O75" s="67">
        <f t="shared" si="107"/>
        <v>0</v>
      </c>
      <c r="P75" s="68">
        <f t="shared" si="107"/>
        <v>22</v>
      </c>
      <c r="Q75" s="67">
        <f t="shared" si="107"/>
        <v>22</v>
      </c>
      <c r="R75" s="67">
        <f t="shared" si="107"/>
        <v>0</v>
      </c>
      <c r="S75" s="68">
        <f t="shared" si="107"/>
        <v>35</v>
      </c>
      <c r="T75" s="100">
        <f t="shared" si="59"/>
        <v>0.21739130434782608</v>
      </c>
      <c r="U75" s="67">
        <f t="shared" ref="U75:BI75" si="108">SUM(U64:U74)</f>
        <v>0</v>
      </c>
      <c r="V75" s="67">
        <f>SUM(V64:V74)</f>
        <v>1</v>
      </c>
      <c r="W75" s="67">
        <f t="shared" si="108"/>
        <v>1</v>
      </c>
      <c r="X75" s="67">
        <f t="shared" si="108"/>
        <v>1</v>
      </c>
      <c r="Y75" s="67">
        <f t="shared" si="108"/>
        <v>0</v>
      </c>
      <c r="Z75" s="67">
        <f t="shared" si="108"/>
        <v>2</v>
      </c>
      <c r="AA75" s="67">
        <f t="shared" si="108"/>
        <v>2</v>
      </c>
      <c r="AB75" s="67">
        <f t="shared" si="108"/>
        <v>0</v>
      </c>
      <c r="AC75" s="67">
        <f t="shared" si="108"/>
        <v>3</v>
      </c>
      <c r="AD75" s="67">
        <f t="shared" si="108"/>
        <v>3</v>
      </c>
      <c r="AE75" s="67">
        <f t="shared" si="108"/>
        <v>0</v>
      </c>
      <c r="AF75" s="68">
        <f>SUM(AF64:AF74)</f>
        <v>4</v>
      </c>
      <c r="AG75" s="67">
        <f t="shared" si="108"/>
        <v>0</v>
      </c>
      <c r="AH75" s="67">
        <f t="shared" si="108"/>
        <v>0</v>
      </c>
      <c r="AI75" s="67">
        <f t="shared" si="108"/>
        <v>0</v>
      </c>
      <c r="AJ75" s="67">
        <f t="shared" si="108"/>
        <v>1</v>
      </c>
      <c r="AK75" s="67">
        <f>SUM(AK64:AK74)</f>
        <v>127</v>
      </c>
      <c r="AL75" s="67">
        <f t="shared" si="108"/>
        <v>0</v>
      </c>
      <c r="AM75" s="67">
        <f t="shared" si="108"/>
        <v>0</v>
      </c>
      <c r="AN75" s="67">
        <f t="shared" si="108"/>
        <v>0</v>
      </c>
      <c r="AO75" s="67">
        <f t="shared" si="108"/>
        <v>0</v>
      </c>
      <c r="AP75" s="67">
        <f t="shared" si="108"/>
        <v>0</v>
      </c>
      <c r="AQ75" s="67">
        <f t="shared" si="108"/>
        <v>0</v>
      </c>
      <c r="AR75" s="67">
        <f t="shared" si="108"/>
        <v>0</v>
      </c>
      <c r="AS75" s="67">
        <f t="shared" si="108"/>
        <v>0</v>
      </c>
      <c r="AT75" s="67">
        <f t="shared" si="108"/>
        <v>0</v>
      </c>
      <c r="AU75" s="67">
        <f t="shared" si="108"/>
        <v>17</v>
      </c>
      <c r="AV75" s="67">
        <f t="shared" si="108"/>
        <v>0</v>
      </c>
      <c r="AW75" s="67">
        <f t="shared" si="108"/>
        <v>0</v>
      </c>
      <c r="AX75" s="67">
        <f t="shared" si="108"/>
        <v>0</v>
      </c>
      <c r="AY75" s="67">
        <f t="shared" si="108"/>
        <v>0</v>
      </c>
      <c r="AZ75" s="67">
        <f t="shared" si="108"/>
        <v>109</v>
      </c>
      <c r="BA75" s="67">
        <f t="shared" si="108"/>
        <v>0</v>
      </c>
      <c r="BB75" s="67">
        <f t="shared" si="108"/>
        <v>0</v>
      </c>
      <c r="BC75" s="67"/>
      <c r="BD75" s="67"/>
      <c r="BE75" s="67">
        <f t="shared" si="108"/>
        <v>1</v>
      </c>
      <c r="BF75" s="67">
        <f t="shared" si="108"/>
        <v>0</v>
      </c>
      <c r="BG75" s="67">
        <f t="shared" si="108"/>
        <v>4</v>
      </c>
      <c r="BH75" s="67">
        <f t="shared" si="108"/>
        <v>133</v>
      </c>
      <c r="BI75" s="67">
        <f t="shared" si="108"/>
        <v>0</v>
      </c>
      <c r="BJ75" s="68">
        <f>SUM(BJ64:BJ74)</f>
        <v>133</v>
      </c>
    </row>
    <row r="76" spans="1:62" ht="35.25" customHeight="1" thickBot="1" x14ac:dyDescent="0.3">
      <c r="A76" s="82" t="s">
        <v>917</v>
      </c>
      <c r="B76" s="65" t="s">
        <v>916</v>
      </c>
      <c r="C76" s="18"/>
      <c r="D76" s="18"/>
      <c r="E76" s="18"/>
      <c r="F76" s="18"/>
      <c r="G76" s="19"/>
      <c r="H76" s="18"/>
      <c r="I76" s="18"/>
      <c r="J76" s="19"/>
      <c r="K76" s="61"/>
      <c r="L76" s="21"/>
      <c r="M76" s="19"/>
      <c r="N76" s="22"/>
      <c r="O76" s="22"/>
      <c r="P76" s="19"/>
      <c r="Q76" s="22"/>
      <c r="R76" s="21"/>
      <c r="S76" s="19"/>
      <c r="T76" s="23"/>
      <c r="U76" s="62"/>
      <c r="V76" s="24"/>
      <c r="W76" s="667"/>
      <c r="X76" s="62"/>
      <c r="Y76" s="24"/>
      <c r="Z76" s="25"/>
      <c r="AA76" s="63"/>
      <c r="AB76" s="62"/>
      <c r="AC76" s="25"/>
      <c r="AD76" s="21"/>
      <c r="AE76" s="21"/>
      <c r="AF76" s="19"/>
      <c r="AG76" s="62"/>
      <c r="AH76" s="24"/>
      <c r="AI76" s="62"/>
      <c r="AJ76" s="24"/>
      <c r="AK76" s="27"/>
      <c r="AL76" s="24"/>
      <c r="AM76" s="24"/>
      <c r="AN76" s="18"/>
      <c r="AO76" s="24"/>
      <c r="AP76" s="18"/>
      <c r="AQ76" s="18"/>
      <c r="AR76" s="60"/>
      <c r="AS76" s="24"/>
      <c r="AT76" s="24"/>
      <c r="AU76" s="62"/>
      <c r="AV76" s="24"/>
      <c r="AW76" s="24"/>
      <c r="AX76" s="24"/>
      <c r="AY76" s="24"/>
      <c r="AZ76" s="24"/>
      <c r="BA76" s="24"/>
      <c r="BB76" s="24"/>
      <c r="BC76" s="24"/>
      <c r="BD76" s="26"/>
      <c r="BE76" s="24"/>
      <c r="BF76" s="22"/>
      <c r="BG76" s="24"/>
      <c r="BH76" s="28"/>
      <c r="BI76" s="29"/>
      <c r="BJ76" s="19"/>
    </row>
    <row r="77" spans="1:62" ht="46.5" customHeight="1" thickBot="1" x14ac:dyDescent="0.3">
      <c r="A77" s="82" t="s">
        <v>918</v>
      </c>
      <c r="B77" s="83" t="s">
        <v>1346</v>
      </c>
      <c r="C77" s="84">
        <f t="shared" ref="C77:K77" si="109">C63+C75+C76</f>
        <v>161</v>
      </c>
      <c r="D77" s="84">
        <f t="shared" si="109"/>
        <v>64</v>
      </c>
      <c r="E77" s="84">
        <f t="shared" si="109"/>
        <v>274</v>
      </c>
      <c r="F77" s="84">
        <f t="shared" si="109"/>
        <v>1480</v>
      </c>
      <c r="G77" s="84">
        <f>G63+G75+G76</f>
        <v>1979</v>
      </c>
      <c r="H77" s="84">
        <f>H63+H75+H76</f>
        <v>150</v>
      </c>
      <c r="I77" s="84">
        <f t="shared" si="109"/>
        <v>45</v>
      </c>
      <c r="J77" s="84">
        <f t="shared" si="109"/>
        <v>191</v>
      </c>
      <c r="K77" s="84">
        <f t="shared" si="109"/>
        <v>149</v>
      </c>
      <c r="L77" s="84">
        <f>L12+L23+L34+L45+L53+L54+L55+L56+L57+L58+L60+L61+L62</f>
        <v>43</v>
      </c>
      <c r="M77" s="84">
        <f t="shared" ref="M77:S77" si="110">M63+M75+M76</f>
        <v>1265</v>
      </c>
      <c r="N77" s="84">
        <f t="shared" si="110"/>
        <v>654</v>
      </c>
      <c r="O77" s="84">
        <f t="shared" si="110"/>
        <v>611</v>
      </c>
      <c r="P77" s="84">
        <f t="shared" si="110"/>
        <v>1457</v>
      </c>
      <c r="Q77" s="84">
        <f t="shared" si="110"/>
        <v>803</v>
      </c>
      <c r="R77" s="84">
        <f t="shared" si="110"/>
        <v>654</v>
      </c>
      <c r="S77" s="84">
        <f t="shared" si="110"/>
        <v>1651</v>
      </c>
      <c r="T77" s="99">
        <f>S77/G77</f>
        <v>0.83425972713491658</v>
      </c>
      <c r="U77" s="84">
        <f>U63+U75</f>
        <v>45</v>
      </c>
      <c r="V77" s="670">
        <f t="shared" ref="V77:AD77" si="111">V63+V75</f>
        <v>18</v>
      </c>
      <c r="W77" s="673">
        <f t="shared" si="111"/>
        <v>26</v>
      </c>
      <c r="X77" s="672">
        <f t="shared" si="111"/>
        <v>22</v>
      </c>
      <c r="Y77" s="84">
        <f t="shared" si="111"/>
        <v>4</v>
      </c>
      <c r="Z77" s="84">
        <f t="shared" si="111"/>
        <v>276</v>
      </c>
      <c r="AA77" s="84">
        <f t="shared" si="111"/>
        <v>83</v>
      </c>
      <c r="AB77" s="84">
        <f>AB63+AB75</f>
        <v>193</v>
      </c>
      <c r="AC77" s="84">
        <f t="shared" si="111"/>
        <v>301</v>
      </c>
      <c r="AD77" s="84">
        <f t="shared" si="111"/>
        <v>104</v>
      </c>
      <c r="AE77" s="84">
        <f t="shared" ref="AE77:BI77" si="112">AE63+AE75</f>
        <v>197</v>
      </c>
      <c r="AF77" s="84">
        <f>AF63+AF75</f>
        <v>364</v>
      </c>
      <c r="AG77" s="84">
        <f t="shared" si="112"/>
        <v>0</v>
      </c>
      <c r="AH77" s="84">
        <f t="shared" si="112"/>
        <v>6</v>
      </c>
      <c r="AI77" s="84">
        <f t="shared" si="112"/>
        <v>5</v>
      </c>
      <c r="AJ77" s="84">
        <f t="shared" si="112"/>
        <v>21</v>
      </c>
      <c r="AK77" s="84">
        <f>AK63+AK75</f>
        <v>1280</v>
      </c>
      <c r="AL77" s="84">
        <f t="shared" si="112"/>
        <v>1</v>
      </c>
      <c r="AM77" s="84">
        <f t="shared" si="112"/>
        <v>1</v>
      </c>
      <c r="AN77" s="84">
        <f t="shared" si="112"/>
        <v>0</v>
      </c>
      <c r="AO77" s="84">
        <f t="shared" si="112"/>
        <v>0</v>
      </c>
      <c r="AP77" s="84">
        <f t="shared" si="112"/>
        <v>13</v>
      </c>
      <c r="AQ77" s="84">
        <f t="shared" si="112"/>
        <v>23</v>
      </c>
      <c r="AR77" s="84">
        <f t="shared" si="112"/>
        <v>45</v>
      </c>
      <c r="AS77" s="84">
        <f t="shared" si="112"/>
        <v>0</v>
      </c>
      <c r="AT77" s="84">
        <f t="shared" si="112"/>
        <v>2</v>
      </c>
      <c r="AU77" s="84">
        <f>AU63+AU75</f>
        <v>179</v>
      </c>
      <c r="AV77" s="84">
        <f t="shared" si="112"/>
        <v>1</v>
      </c>
      <c r="AW77" s="84">
        <f t="shared" si="112"/>
        <v>50</v>
      </c>
      <c r="AX77" s="84">
        <f t="shared" si="112"/>
        <v>0</v>
      </c>
      <c r="AY77" s="84">
        <f t="shared" si="112"/>
        <v>0</v>
      </c>
      <c r="AZ77" s="84">
        <f t="shared" si="112"/>
        <v>582</v>
      </c>
      <c r="BA77" s="84">
        <f t="shared" si="112"/>
        <v>231</v>
      </c>
      <c r="BB77" s="84">
        <f t="shared" si="112"/>
        <v>6</v>
      </c>
      <c r="BC77" s="84">
        <f t="shared" si="112"/>
        <v>0</v>
      </c>
      <c r="BD77" s="84">
        <f t="shared" si="112"/>
        <v>145</v>
      </c>
      <c r="BE77" s="84">
        <f t="shared" si="112"/>
        <v>19</v>
      </c>
      <c r="BF77" s="84">
        <f t="shared" si="112"/>
        <v>0</v>
      </c>
      <c r="BG77" s="84">
        <f>BG63+BG75</f>
        <v>54</v>
      </c>
      <c r="BH77" s="84">
        <f>BH63+BH75</f>
        <v>1385</v>
      </c>
      <c r="BI77" s="84" t="e">
        <f t="shared" si="112"/>
        <v>#REF!</v>
      </c>
      <c r="BJ77" s="84" t="e">
        <f>BJ63+BJ75</f>
        <v>#REF!</v>
      </c>
    </row>
    <row r="78" spans="1:62" ht="35.25" thickBot="1" x14ac:dyDescent="0.3">
      <c r="B78" s="85"/>
      <c r="C78" s="86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671"/>
      <c r="W78" s="673"/>
      <c r="X78" s="83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</row>
  </sheetData>
  <mergeCells count="84">
    <mergeCell ref="Y2:Z2"/>
    <mergeCell ref="AT2:BD2"/>
    <mergeCell ref="AT3:BD3"/>
    <mergeCell ref="A6:BI6"/>
    <mergeCell ref="A7:A11"/>
    <mergeCell ref="B7:B11"/>
    <mergeCell ref="C7:G7"/>
    <mergeCell ref="H7:T7"/>
    <mergeCell ref="U7:AF7"/>
    <mergeCell ref="AG7:BJ7"/>
    <mergeCell ref="C8:C11"/>
    <mergeCell ref="D8:D11"/>
    <mergeCell ref="E8:E11"/>
    <mergeCell ref="F8:F11"/>
    <mergeCell ref="G8:G11"/>
    <mergeCell ref="H8:H11"/>
    <mergeCell ref="I8:I11"/>
    <mergeCell ref="J8:L8"/>
    <mergeCell ref="M8:O8"/>
    <mergeCell ref="P8:R8"/>
    <mergeCell ref="J9:J11"/>
    <mergeCell ref="K9:L9"/>
    <mergeCell ref="M9:M11"/>
    <mergeCell ref="N9:O9"/>
    <mergeCell ref="P9:P11"/>
    <mergeCell ref="Q9:R9"/>
    <mergeCell ref="BF8:BF11"/>
    <mergeCell ref="BG8:BG11"/>
    <mergeCell ref="BH8:BH11"/>
    <mergeCell ref="BI8:BI11"/>
    <mergeCell ref="BJ8:BJ11"/>
    <mergeCell ref="BE8:BE11"/>
    <mergeCell ref="AC8:AE8"/>
    <mergeCell ref="AF8:AF11"/>
    <mergeCell ref="AG8:AG11"/>
    <mergeCell ref="AH8:AJ8"/>
    <mergeCell ref="AK8:BD8"/>
    <mergeCell ref="AC9:AC11"/>
    <mergeCell ref="AD9:AE9"/>
    <mergeCell ref="AH9:AH11"/>
    <mergeCell ref="AI9:AI11"/>
    <mergeCell ref="AP9:AP11"/>
    <mergeCell ref="AD10:AD11"/>
    <mergeCell ref="AE10:AE11"/>
    <mergeCell ref="BB9:BB11"/>
    <mergeCell ref="AQ9:AQ11"/>
    <mergeCell ref="AR9:AR11"/>
    <mergeCell ref="W9:W11"/>
    <mergeCell ref="X9:Y9"/>
    <mergeCell ref="Z9:Z11"/>
    <mergeCell ref="T8:T11"/>
    <mergeCell ref="U8:U11"/>
    <mergeCell ref="V8:V11"/>
    <mergeCell ref="Z8:AB8"/>
    <mergeCell ref="AA9:AB9"/>
    <mergeCell ref="Y10:Y11"/>
    <mergeCell ref="AA10:AA11"/>
    <mergeCell ref="AB10:AB11"/>
    <mergeCell ref="W8:Y8"/>
    <mergeCell ref="S8:S11"/>
    <mergeCell ref="BC9:BC11"/>
    <mergeCell ref="BD9:BD11"/>
    <mergeCell ref="K10:K11"/>
    <mergeCell ref="L10:L11"/>
    <mergeCell ref="N10:N11"/>
    <mergeCell ref="O10:O11"/>
    <mergeCell ref="Q10:Q11"/>
    <mergeCell ref="R10:R11"/>
    <mergeCell ref="X10:X11"/>
    <mergeCell ref="AV9:AV11"/>
    <mergeCell ref="AW9:AW11"/>
    <mergeCell ref="AX9:AX11"/>
    <mergeCell ref="AY9:AY11"/>
    <mergeCell ref="AZ9:AZ11"/>
    <mergeCell ref="BA9:BA11"/>
    <mergeCell ref="AS9:AS11"/>
    <mergeCell ref="AT9:AT11"/>
    <mergeCell ref="AU9:AU11"/>
    <mergeCell ref="AJ9:AJ11"/>
    <mergeCell ref="AK9:AK11"/>
    <mergeCell ref="AL9:AL11"/>
    <mergeCell ref="AM9:AM11"/>
    <mergeCell ref="AN9:AN11"/>
    <mergeCell ref="AO9:AO11"/>
  </mergeCells>
  <conditionalFormatting sqref="C35:G40 C42:G44 L54:T62 AI55:AJ62 AL55:AL62 AN55:BC62 BE55:BF62 BH54:BJ62 U35:X40 L12:U12 U13:V22 U24:V33 M44:X44 M42:V43 H78:V78 S46:T46 U46:V51 U52 U64:V74 C54:J62 B75:S75 H53:S53 U55:AG62 H23:BJ23 H34:BJ34 H45:BJ45 U75:BJ75 AB35:AG35 AA36:AG40 AD13:AG22 AD24:AG33 W54:AG54 AG42:AG44 X77:BJ78 AG46:AG52 AG64:AG74 U53:BI53 U63:BJ63 C63:S63">
    <cfRule type="cellIs" dxfId="286" priority="410" operator="lessThanOrEqual">
      <formula>0</formula>
    </cfRule>
  </conditionalFormatting>
  <conditionalFormatting sqref="C78:G78 C45:G45 C46:F52 C12:G12">
    <cfRule type="cellIs" dxfId="285" priority="512" operator="lessThanOrEqual">
      <formula>0</formula>
    </cfRule>
  </conditionalFormatting>
  <conditionalFormatting sqref="A76 C77:G77">
    <cfRule type="cellIs" dxfId="284" priority="492" operator="lessThanOrEqual">
      <formula>0</formula>
    </cfRule>
  </conditionalFormatting>
  <conditionalFormatting sqref="A76 G78 C77:G77">
    <cfRule type="cellIs" dxfId="283" priority="491" operator="lessThanOrEqual">
      <formula>0</formula>
    </cfRule>
  </conditionalFormatting>
  <conditionalFormatting sqref="A77">
    <cfRule type="cellIs" dxfId="282" priority="490" operator="lessThanOrEqual">
      <formula>0</formula>
    </cfRule>
  </conditionalFormatting>
  <conditionalFormatting sqref="A77">
    <cfRule type="cellIs" dxfId="281" priority="489" operator="lessThanOrEqual">
      <formula>0</formula>
    </cfRule>
  </conditionalFormatting>
  <conditionalFormatting sqref="C76:G76">
    <cfRule type="cellIs" dxfId="280" priority="488" operator="lessThanOrEqual">
      <formula>0</formula>
    </cfRule>
  </conditionalFormatting>
  <conditionalFormatting sqref="C76:G76">
    <cfRule type="cellIs" dxfId="279" priority="475" operator="lessThanOrEqual">
      <formula>0</formula>
    </cfRule>
  </conditionalFormatting>
  <conditionalFormatting sqref="C13:G23">
    <cfRule type="cellIs" dxfId="278" priority="409" operator="lessThanOrEqual">
      <formula>0</formula>
    </cfRule>
  </conditionalFormatting>
  <conditionalFormatting sqref="C24:G34">
    <cfRule type="cellIs" dxfId="277" priority="384" operator="lessThanOrEqual">
      <formula>0</formula>
    </cfRule>
  </conditionalFormatting>
  <conditionalFormatting sqref="G46:G52">
    <cfRule type="cellIs" dxfId="276" priority="358" operator="lessThanOrEqual">
      <formula>0</formula>
    </cfRule>
  </conditionalFormatting>
  <conditionalFormatting sqref="C53:G53">
    <cfRule type="cellIs" dxfId="275" priority="357" operator="lessThanOrEqual">
      <formula>0</formula>
    </cfRule>
  </conditionalFormatting>
  <conditionalFormatting sqref="C41:G41">
    <cfRule type="cellIs" dxfId="274" priority="355" operator="lessThanOrEqual">
      <formula>0</formula>
    </cfRule>
  </conditionalFormatting>
  <conditionalFormatting sqref="H35:J40 M35:R40 S36:T40 R41:T41 W42:W43 Z35:Z43 J41 AC41:AD43 BI43:BI44 BJ12:BJ22 BI35:BI40 AF41:AF44 BE35:BF40 AL35:AL40 AN35:BC40 AI35:AJ40">
    <cfRule type="cellIs" dxfId="273" priority="331" operator="lessThanOrEqual">
      <formula>0</formula>
    </cfRule>
  </conditionalFormatting>
  <conditionalFormatting sqref="S35 AN12 BF12 H12:J12 AD12:AF12 AQ12:BB12 R13 Q13:Q21 BI12:BI22 AK12:AK22">
    <cfRule type="cellIs" dxfId="272" priority="353" operator="lessThanOrEqual">
      <formula>0</formula>
    </cfRule>
  </conditionalFormatting>
  <conditionalFormatting sqref="AG12:AI12 AH13:AH22">
    <cfRule type="cellIs" dxfId="271" priority="352" operator="lessThanOrEqual">
      <formula>0</formula>
    </cfRule>
  </conditionalFormatting>
  <conditionalFormatting sqref="AL12:AM12 AO12:AP12 AM13:AM22">
    <cfRule type="cellIs" dxfId="270" priority="351" operator="lessThanOrEqual">
      <formula>0</formula>
    </cfRule>
  </conditionalFormatting>
  <conditionalFormatting sqref="T35 L35:L44">
    <cfRule type="cellIs" dxfId="269" priority="349" operator="lessThanOrEqual">
      <formula>0</formula>
    </cfRule>
  </conditionalFormatting>
  <conditionalFormatting sqref="AW12">
    <cfRule type="cellIs" dxfId="268" priority="348" operator="lessThanOrEqual">
      <formula>0</formula>
    </cfRule>
  </conditionalFormatting>
  <conditionalFormatting sqref="BE12">
    <cfRule type="cellIs" dxfId="267" priority="350" operator="lessThanOrEqual">
      <formula>0</formula>
    </cfRule>
  </conditionalFormatting>
  <conditionalFormatting sqref="U12:Y12 AA12:AB12">
    <cfRule type="cellIs" dxfId="266" priority="347" operator="lessThanOrEqual">
      <formula>0</formula>
    </cfRule>
  </conditionalFormatting>
  <conditionalFormatting sqref="AA35 Y35:Y44">
    <cfRule type="cellIs" dxfId="265" priority="346" operator="lessThanOrEqual">
      <formula>0</formula>
    </cfRule>
  </conditionalFormatting>
  <conditionalFormatting sqref="BG12:BH12 BH13:BH22">
    <cfRule type="cellIs" dxfId="264" priority="345" operator="lessThanOrEqual">
      <formula>0</formula>
    </cfRule>
  </conditionalFormatting>
  <conditionalFormatting sqref="S35 L12:T12 H12:J12 AQ12:AR12 AW12 AN12 AL35 AR35 R13 Q13:Q21 AN35">
    <cfRule type="cellIs" dxfId="263" priority="344" operator="lessThanOrEqual">
      <formula>0</formula>
    </cfRule>
  </conditionalFormatting>
  <conditionalFormatting sqref="AG12:AI12 AH13:AH22">
    <cfRule type="cellIs" dxfId="262" priority="343" operator="lessThanOrEqual">
      <formula>0</formula>
    </cfRule>
  </conditionalFormatting>
  <conditionalFormatting sqref="AL12:AM12 AO12:AP12 AM13:AM22">
    <cfRule type="cellIs" dxfId="261" priority="342" operator="lessThanOrEqual">
      <formula>0</formula>
    </cfRule>
  </conditionalFormatting>
  <conditionalFormatting sqref="T35 L35:L44">
    <cfRule type="cellIs" dxfId="260" priority="341" operator="lessThanOrEqual">
      <formula>0</formula>
    </cfRule>
  </conditionalFormatting>
  <conditionalFormatting sqref="AW12">
    <cfRule type="cellIs" dxfId="259" priority="340" operator="lessThanOrEqual">
      <formula>0</formula>
    </cfRule>
  </conditionalFormatting>
  <conditionalFormatting sqref="BE12">
    <cfRule type="cellIs" dxfId="258" priority="339" operator="lessThanOrEqual">
      <formula>0</formula>
    </cfRule>
  </conditionalFormatting>
  <conditionalFormatting sqref="U12:Y12 AA12:AB12">
    <cfRule type="cellIs" dxfId="257" priority="338" operator="lessThanOrEqual">
      <formula>0</formula>
    </cfRule>
  </conditionalFormatting>
  <conditionalFormatting sqref="AB12 AA35 Y35:Y44">
    <cfRule type="cellIs" dxfId="256" priority="337" operator="lessThanOrEqual">
      <formula>0</formula>
    </cfRule>
  </conditionalFormatting>
  <conditionalFormatting sqref="BG12:BH12 BH13:BH22">
    <cfRule type="cellIs" dxfId="255" priority="336" operator="lessThanOrEqual">
      <formula>0</formula>
    </cfRule>
  </conditionalFormatting>
  <conditionalFormatting sqref="Z12">
    <cfRule type="cellIs" dxfId="254" priority="335" operator="lessThanOrEqual">
      <formula>0</formula>
    </cfRule>
  </conditionalFormatting>
  <conditionalFormatting sqref="Z12">
    <cfRule type="cellIs" dxfId="253" priority="334" operator="lessThanOrEqual">
      <formula>0</formula>
    </cfRule>
  </conditionalFormatting>
  <conditionalFormatting sqref="AC12">
    <cfRule type="cellIs" dxfId="252" priority="333" operator="lessThanOrEqual">
      <formula>0</formula>
    </cfRule>
  </conditionalFormatting>
  <conditionalFormatting sqref="AC12">
    <cfRule type="cellIs" dxfId="251" priority="332" operator="lessThanOrEqual">
      <formula>0</formula>
    </cfRule>
  </conditionalFormatting>
  <conditionalFormatting sqref="T24 L24:L33">
    <cfRule type="cellIs" dxfId="250" priority="304" operator="lessThanOrEqual">
      <formula>0</formula>
    </cfRule>
  </conditionalFormatting>
  <conditionalFormatting sqref="S13 AB13:AB22 AA14:AA22 M13:P13 L22:T22 R14:T21 L14:P21 AP13:BC22 BC12 BE13:BG22 H13:J22 AL13:AL22 AN13:AN22">
    <cfRule type="cellIs" dxfId="249" priority="330" operator="lessThanOrEqual">
      <formula>0</formula>
    </cfRule>
  </conditionalFormatting>
  <conditionalFormatting sqref="AO13:AO22">
    <cfRule type="cellIs" dxfId="248" priority="328" operator="lessThanOrEqual">
      <formula>0</formula>
    </cfRule>
  </conditionalFormatting>
  <conditionalFormatting sqref="L13 T13">
    <cfRule type="cellIs" dxfId="247" priority="327" operator="lessThanOrEqual">
      <formula>0</formula>
    </cfRule>
  </conditionalFormatting>
  <conditionalFormatting sqref="AP13:AP22">
    <cfRule type="cellIs" dxfId="246" priority="325" operator="lessThanOrEqual">
      <formula>0</formula>
    </cfRule>
  </conditionalFormatting>
  <conditionalFormatting sqref="W13:X22">
    <cfRule type="cellIs" dxfId="245" priority="324" operator="lessThanOrEqual">
      <formula>0</formula>
    </cfRule>
  </conditionalFormatting>
  <conditionalFormatting sqref="AA13 Y13:Y22">
    <cfRule type="cellIs" dxfId="244" priority="323" operator="lessThanOrEqual">
      <formula>0</formula>
    </cfRule>
  </conditionalFormatting>
  <conditionalFormatting sqref="S76">
    <cfRule type="cellIs" dxfId="243" priority="248" operator="lessThanOrEqual">
      <formula>0</formula>
    </cfRule>
  </conditionalFormatting>
  <conditionalFormatting sqref="S13 T23 H13:H22 AR13 AP13:AQ22 M22:T22 R14:T21 M13:P21 J13:J22 AL13:AL22 AN13">
    <cfRule type="cellIs" dxfId="242" priority="321" operator="lessThanOrEqual">
      <formula>0</formula>
    </cfRule>
  </conditionalFormatting>
  <conditionalFormatting sqref="AO13:AO22">
    <cfRule type="cellIs" dxfId="241" priority="318" operator="lessThanOrEqual">
      <formula>0</formula>
    </cfRule>
  </conditionalFormatting>
  <conditionalFormatting sqref="L13 T13">
    <cfRule type="cellIs" dxfId="240" priority="317" operator="lessThanOrEqual">
      <formula>0</formula>
    </cfRule>
  </conditionalFormatting>
  <conditionalFormatting sqref="AP13:AP22">
    <cfRule type="cellIs" dxfId="239" priority="316" operator="lessThanOrEqual">
      <formula>0</formula>
    </cfRule>
  </conditionalFormatting>
  <conditionalFormatting sqref="W13:X22">
    <cfRule type="cellIs" dxfId="238" priority="315" operator="lessThanOrEqual">
      <formula>0</formula>
    </cfRule>
  </conditionalFormatting>
  <conditionalFormatting sqref="AA13 Y13:Y22">
    <cfRule type="cellIs" dxfId="237" priority="314" operator="lessThanOrEqual">
      <formula>0</formula>
    </cfRule>
  </conditionalFormatting>
  <conditionalFormatting sqref="P76">
    <cfRule type="cellIs" dxfId="236" priority="239" operator="lessThanOrEqual">
      <formula>0</formula>
    </cfRule>
  </conditionalFormatting>
  <conditionalFormatting sqref="Z13:Z22">
    <cfRule type="cellIs" dxfId="235" priority="312" operator="lessThanOrEqual">
      <formula>0</formula>
    </cfRule>
  </conditionalFormatting>
  <conditionalFormatting sqref="Z13:Z22">
    <cfRule type="cellIs" dxfId="234" priority="311" operator="lessThanOrEqual">
      <formula>0</formula>
    </cfRule>
  </conditionalFormatting>
  <conditionalFormatting sqref="AC13:AC22">
    <cfRule type="cellIs" dxfId="233" priority="310" operator="lessThanOrEqual">
      <formula>0</formula>
    </cfRule>
  </conditionalFormatting>
  <conditionalFormatting sqref="AC13:AC22">
    <cfRule type="cellIs" dxfId="232" priority="309" operator="lessThanOrEqual">
      <formula>0</formula>
    </cfRule>
  </conditionalFormatting>
  <conditionalFormatting sqref="S24 AB24:AB33 AA25:AA33 H24:J33 S25:T33 M24:R33 BI24:BI33 AP24:BC33 BE24:BG33 AL24:AL33 AN24:AN33">
    <cfRule type="cellIs" dxfId="231" priority="307" operator="lessThanOrEqual">
      <formula>0</formula>
    </cfRule>
  </conditionalFormatting>
  <conditionalFormatting sqref="AJ24:AJ33">
    <cfRule type="cellIs" dxfId="230" priority="306" operator="lessThanOrEqual">
      <formula>0</formula>
    </cfRule>
  </conditionalFormatting>
  <conditionalFormatting sqref="AI24:AI33">
    <cfRule type="cellIs" dxfId="229" priority="303" operator="lessThanOrEqual">
      <formula>0</formula>
    </cfRule>
  </conditionalFormatting>
  <conditionalFormatting sqref="AO24:AO33">
    <cfRule type="cellIs" dxfId="228" priority="305" operator="lessThanOrEqual">
      <formula>0</formula>
    </cfRule>
  </conditionalFormatting>
  <conditionalFormatting sqref="AP24:AP33">
    <cfRule type="cellIs" dxfId="227" priority="302" operator="lessThanOrEqual">
      <formula>0</formula>
    </cfRule>
  </conditionalFormatting>
  <conditionalFormatting sqref="W24:X33">
    <cfRule type="cellIs" dxfId="226" priority="301" operator="lessThanOrEqual">
      <formula>0</formula>
    </cfRule>
  </conditionalFormatting>
  <conditionalFormatting sqref="AA24 Y24:Y33">
    <cfRule type="cellIs" dxfId="225" priority="300" operator="lessThanOrEqual">
      <formula>0</formula>
    </cfRule>
  </conditionalFormatting>
  <conditionalFormatting sqref="W76">
    <cfRule type="cellIs" dxfId="224" priority="228" operator="lessThanOrEqual">
      <formula>0</formula>
    </cfRule>
  </conditionalFormatting>
  <conditionalFormatting sqref="S24 T34 AL24:AL33 AR24 AP24:AQ33 H24:H33 J24:J33 S25:T33 M24:R33 AN24">
    <cfRule type="cellIs" dxfId="223" priority="298" operator="lessThanOrEqual">
      <formula>0</formula>
    </cfRule>
  </conditionalFormatting>
  <conditionalFormatting sqref="AJ24:AJ33">
    <cfRule type="cellIs" dxfId="222" priority="297" operator="lessThanOrEqual">
      <formula>0</formula>
    </cfRule>
  </conditionalFormatting>
  <conditionalFormatting sqref="AI24:AI33">
    <cfRule type="cellIs" dxfId="221" priority="296" operator="lessThanOrEqual">
      <formula>0</formula>
    </cfRule>
  </conditionalFormatting>
  <conditionalFormatting sqref="AO24:AO33">
    <cfRule type="cellIs" dxfId="220" priority="295" operator="lessThanOrEqual">
      <formula>0</formula>
    </cfRule>
  </conditionalFormatting>
  <conditionalFormatting sqref="T24 L24:L33">
    <cfRule type="cellIs" dxfId="219" priority="294" operator="lessThanOrEqual">
      <formula>0</formula>
    </cfRule>
  </conditionalFormatting>
  <conditionalFormatting sqref="AP24:AP33">
    <cfRule type="cellIs" dxfId="218" priority="293" operator="lessThanOrEqual">
      <formula>0</formula>
    </cfRule>
  </conditionalFormatting>
  <conditionalFormatting sqref="W24:X33">
    <cfRule type="cellIs" dxfId="217" priority="292" operator="lessThanOrEqual">
      <formula>0</formula>
    </cfRule>
  </conditionalFormatting>
  <conditionalFormatting sqref="AA24 Y24:Y33">
    <cfRule type="cellIs" dxfId="216" priority="291" operator="lessThanOrEqual">
      <formula>0</formula>
    </cfRule>
  </conditionalFormatting>
  <conditionalFormatting sqref="Z76">
    <cfRule type="cellIs" dxfId="215" priority="219" operator="lessThanOrEqual">
      <formula>0</formula>
    </cfRule>
  </conditionalFormatting>
  <conditionalFormatting sqref="Z24:Z33">
    <cfRule type="cellIs" dxfId="214" priority="289" operator="lessThanOrEqual">
      <formula>0</formula>
    </cfRule>
  </conditionalFormatting>
  <conditionalFormatting sqref="Z24:Z33">
    <cfRule type="cellIs" dxfId="213" priority="288" operator="lessThanOrEqual">
      <formula>0</formula>
    </cfRule>
  </conditionalFormatting>
  <conditionalFormatting sqref="AC24:AC33">
    <cfRule type="cellIs" dxfId="212" priority="287" operator="lessThanOrEqual">
      <formula>0</formula>
    </cfRule>
  </conditionalFormatting>
  <conditionalFormatting sqref="AC24:AC33">
    <cfRule type="cellIs" dxfId="211" priority="286" operator="lessThanOrEqual">
      <formula>0</formula>
    </cfRule>
  </conditionalFormatting>
  <conditionalFormatting sqref="H42:J44 T63 X42:X43 AA42:AB43 AE42:AE43 AL42:AL44 BE42:BF44 BE54:BG54 Z44:AE44 AN42:BC44 AN54:BC54 AI42:AJ44 AI54:AL54 AK55:AK62 BG55:BG62">
    <cfRule type="cellIs" dxfId="210" priority="208" operator="lessThanOrEqual">
      <formula>0</formula>
    </cfRule>
  </conditionalFormatting>
  <conditionalFormatting sqref="H46:I52 K46:O46 S47:T52 L47:O52 K47:K51 X46:Y52 AA46:AB52 BE46:BG52 AL46:AL52 AN46:BC52 AI46:AJ52">
    <cfRule type="cellIs" dxfId="209" priority="284" operator="lessThanOrEqual">
      <formula>0</formula>
    </cfRule>
  </conditionalFormatting>
  <conditionalFormatting sqref="N52:O52 T45:T53">
    <cfRule type="cellIs" dxfId="208" priority="283" operator="lessThanOrEqual">
      <formula>0</formula>
    </cfRule>
  </conditionalFormatting>
  <conditionalFormatting sqref="J78">
    <cfRule type="cellIs" dxfId="207" priority="281" operator="lessThanOrEqual">
      <formula>0</formula>
    </cfRule>
  </conditionalFormatting>
  <conditionalFormatting sqref="H76:I76 L76 AL76:AQ76 BJ76 T76 AS76:AT76 AV76:BC76">
    <cfRule type="cellIs" dxfId="206" priority="280" operator="lessThanOrEqual">
      <formula>0</formula>
    </cfRule>
  </conditionalFormatting>
  <conditionalFormatting sqref="AJ76 AH76">
    <cfRule type="cellIs" dxfId="205" priority="279" operator="lessThanOrEqual">
      <formula>0</formula>
    </cfRule>
  </conditionalFormatting>
  <conditionalFormatting sqref="AO76 AL76:AM76">
    <cfRule type="cellIs" dxfId="204" priority="278" operator="lessThanOrEqual">
      <formula>0</formula>
    </cfRule>
  </conditionalFormatting>
  <conditionalFormatting sqref="N76:O76">
    <cfRule type="cellIs" dxfId="203" priority="277" operator="lessThanOrEqual">
      <formula>0</formula>
    </cfRule>
  </conditionalFormatting>
  <conditionalFormatting sqref="BI76">
    <cfRule type="cellIs" dxfId="202" priority="276" operator="lessThanOrEqual">
      <formula>0</formula>
    </cfRule>
  </conditionalFormatting>
  <conditionalFormatting sqref="BE76">
    <cfRule type="cellIs" dxfId="201" priority="275" operator="lessThanOrEqual">
      <formula>0</formula>
    </cfRule>
  </conditionalFormatting>
  <conditionalFormatting sqref="BE76">
    <cfRule type="cellIs" dxfId="200" priority="274" operator="lessThanOrEqual">
      <formula>0</formula>
    </cfRule>
  </conditionalFormatting>
  <conditionalFormatting sqref="V76">
    <cfRule type="cellIs" dxfId="199" priority="273" operator="lessThanOrEqual">
      <formula>0</formula>
    </cfRule>
  </conditionalFormatting>
  <conditionalFormatting sqref="Y76">
    <cfRule type="cellIs" dxfId="198" priority="272" operator="lessThanOrEqual">
      <formula>0</formula>
    </cfRule>
  </conditionalFormatting>
  <conditionalFormatting sqref="BF76">
    <cfRule type="cellIs" dxfId="197" priority="271" operator="lessThanOrEqual">
      <formula>0</formula>
    </cfRule>
  </conditionalFormatting>
  <conditionalFormatting sqref="BG76">
    <cfRule type="cellIs" dxfId="196" priority="270" operator="lessThanOrEqual">
      <formula>0</formula>
    </cfRule>
  </conditionalFormatting>
  <conditionalFormatting sqref="BG76">
    <cfRule type="cellIs" dxfId="195" priority="269" operator="lessThanOrEqual">
      <formula>0</formula>
    </cfRule>
  </conditionalFormatting>
  <conditionalFormatting sqref="H76:I76 AV76:BC76 N76:O76 BJ76 T76">
    <cfRule type="cellIs" dxfId="194" priority="268" operator="lessThanOrEqual">
      <formula>0</formula>
    </cfRule>
  </conditionalFormatting>
  <conditionalFormatting sqref="AJ76 AH76">
    <cfRule type="cellIs" dxfId="193" priority="267" operator="lessThanOrEqual">
      <formula>0</formula>
    </cfRule>
  </conditionalFormatting>
  <conditionalFormatting sqref="AO76 AL76:AM76">
    <cfRule type="cellIs" dxfId="192" priority="266" operator="lessThanOrEqual">
      <formula>0</formula>
    </cfRule>
  </conditionalFormatting>
  <conditionalFormatting sqref="N76:O76">
    <cfRule type="cellIs" dxfId="191" priority="265" operator="lessThanOrEqual">
      <formula>0</formula>
    </cfRule>
  </conditionalFormatting>
  <conditionalFormatting sqref="BI76">
    <cfRule type="cellIs" dxfId="190" priority="264" operator="lessThanOrEqual">
      <formula>0</formula>
    </cfRule>
  </conditionalFormatting>
  <conditionalFormatting sqref="BE76">
    <cfRule type="cellIs" dxfId="189" priority="263" operator="lessThanOrEqual">
      <formula>0</formula>
    </cfRule>
  </conditionalFormatting>
  <conditionalFormatting sqref="BE76">
    <cfRule type="cellIs" dxfId="188" priority="262" operator="lessThanOrEqual">
      <formula>0</formula>
    </cfRule>
  </conditionalFormatting>
  <conditionalFormatting sqref="V76">
    <cfRule type="cellIs" dxfId="187" priority="261" operator="lessThanOrEqual">
      <formula>0</formula>
    </cfRule>
  </conditionalFormatting>
  <conditionalFormatting sqref="Y76">
    <cfRule type="cellIs" dxfId="186" priority="260" operator="lessThanOrEqual">
      <formula>0</formula>
    </cfRule>
  </conditionalFormatting>
  <conditionalFormatting sqref="BG76">
    <cfRule type="cellIs" dxfId="185" priority="259" operator="lessThanOrEqual">
      <formula>0</formula>
    </cfRule>
  </conditionalFormatting>
  <conditionalFormatting sqref="BG76">
    <cfRule type="cellIs" dxfId="184" priority="258" operator="lessThanOrEqual">
      <formula>0</formula>
    </cfRule>
  </conditionalFormatting>
  <conditionalFormatting sqref="BF76">
    <cfRule type="cellIs" dxfId="183" priority="257" operator="lessThanOrEqual">
      <formula>0</formula>
    </cfRule>
  </conditionalFormatting>
  <conditionalFormatting sqref="H64:I74 L64:L74 N64:O74 X64:Y74 AA64:AB74 BI64:BI74 BE64:BG74 AL64:AL74 AI64:AJ74 AN64:AQ74 AS64:BC74">
    <cfRule type="cellIs" dxfId="182" priority="256" operator="lessThanOrEqual">
      <formula>0</formula>
    </cfRule>
  </conditionalFormatting>
  <conditionalFormatting sqref="N64:O74">
    <cfRule type="cellIs" dxfId="181" priority="255" operator="lessThanOrEqual">
      <formula>0</formula>
    </cfRule>
  </conditionalFormatting>
  <conditionalFormatting sqref="H52">
    <cfRule type="cellIs" dxfId="180" priority="254" operator="lessThanOrEqual">
      <formula>0</formula>
    </cfRule>
  </conditionalFormatting>
  <conditionalFormatting sqref="Q76">
    <cfRule type="cellIs" dxfId="179" priority="253" operator="lessThanOrEqual">
      <formula>0</formula>
    </cfRule>
  </conditionalFormatting>
  <conditionalFormatting sqref="Q76">
    <cfRule type="cellIs" dxfId="178" priority="252" operator="lessThanOrEqual">
      <formula>0</formula>
    </cfRule>
  </conditionalFormatting>
  <conditionalFormatting sqref="R76">
    <cfRule type="cellIs" dxfId="177" priority="251" operator="lessThanOrEqual">
      <formula>0</formula>
    </cfRule>
  </conditionalFormatting>
  <conditionalFormatting sqref="R76">
    <cfRule type="cellIs" dxfId="176" priority="250" operator="lessThanOrEqual">
      <formula>0</formula>
    </cfRule>
  </conditionalFormatting>
  <conditionalFormatting sqref="S76">
    <cfRule type="cellIs" dxfId="175" priority="249" operator="lessThanOrEqual">
      <formula>0</formula>
    </cfRule>
  </conditionalFormatting>
  <conditionalFormatting sqref="AB76">
    <cfRule type="cellIs" dxfId="174" priority="247" operator="lessThanOrEqual">
      <formula>0</formula>
    </cfRule>
  </conditionalFormatting>
  <conditionalFormatting sqref="AE76">
    <cfRule type="cellIs" dxfId="173" priority="246" operator="lessThanOrEqual">
      <formula>0</formula>
    </cfRule>
  </conditionalFormatting>
  <conditionalFormatting sqref="M76">
    <cfRule type="cellIs" dxfId="172" priority="244" operator="lessThanOrEqual">
      <formula>0</formula>
    </cfRule>
  </conditionalFormatting>
  <conditionalFormatting sqref="M76">
    <cfRule type="cellIs" dxfId="171" priority="243" operator="lessThanOrEqual">
      <formula>0</formula>
    </cfRule>
  </conditionalFormatting>
  <conditionalFormatting sqref="J76">
    <cfRule type="cellIs" dxfId="170" priority="241" operator="lessThanOrEqual">
      <formula>0</formula>
    </cfRule>
  </conditionalFormatting>
  <conditionalFormatting sqref="J76">
    <cfRule type="cellIs" dxfId="169" priority="240" operator="lessThanOrEqual">
      <formula>0</formula>
    </cfRule>
  </conditionalFormatting>
  <conditionalFormatting sqref="P76">
    <cfRule type="cellIs" dxfId="168" priority="238" operator="lessThanOrEqual">
      <formula>0</formula>
    </cfRule>
  </conditionalFormatting>
  <conditionalFormatting sqref="U76">
    <cfRule type="cellIs" dxfId="167" priority="237" operator="lessThanOrEqual">
      <formula>0</formula>
    </cfRule>
  </conditionalFormatting>
  <conditionalFormatting sqref="V52">
    <cfRule type="cellIs" dxfId="166" priority="236" operator="lessThanOrEqual">
      <formula>0</formula>
    </cfRule>
  </conditionalFormatting>
  <conditionalFormatting sqref="V52">
    <cfRule type="cellIs" dxfId="165" priority="235" operator="lessThanOrEqual">
      <formula>0</formula>
    </cfRule>
  </conditionalFormatting>
  <conditionalFormatting sqref="X76">
    <cfRule type="cellIs" dxfId="164" priority="234" operator="lessThanOrEqual">
      <formula>0</formula>
    </cfRule>
  </conditionalFormatting>
  <conditionalFormatting sqref="AA76">
    <cfRule type="cellIs" dxfId="163" priority="233" operator="lessThanOrEqual">
      <formula>0</formula>
    </cfRule>
  </conditionalFormatting>
  <conditionalFormatting sqref="AD76">
    <cfRule type="cellIs" dxfId="162" priority="232" operator="lessThanOrEqual">
      <formula>0</formula>
    </cfRule>
  </conditionalFormatting>
  <conditionalFormatting sqref="AI76">
    <cfRule type="cellIs" dxfId="161" priority="231" operator="lessThanOrEqual">
      <formula>0</formula>
    </cfRule>
  </conditionalFormatting>
  <conditionalFormatting sqref="W76">
    <cfRule type="cellIs" dxfId="160" priority="227" operator="lessThanOrEqual">
      <formula>0</formula>
    </cfRule>
  </conditionalFormatting>
  <conditionalFormatting sqref="AC76">
    <cfRule type="cellIs" dxfId="159" priority="222" operator="lessThanOrEqual">
      <formula>0</formula>
    </cfRule>
  </conditionalFormatting>
  <conditionalFormatting sqref="AC76">
    <cfRule type="cellIs" dxfId="158" priority="221" operator="lessThanOrEqual">
      <formula>0</formula>
    </cfRule>
  </conditionalFormatting>
  <conditionalFormatting sqref="Z76">
    <cfRule type="cellIs" dxfId="157" priority="220" operator="lessThanOrEqual">
      <formula>0</formula>
    </cfRule>
  </conditionalFormatting>
  <conditionalFormatting sqref="AF76">
    <cfRule type="cellIs" dxfId="156" priority="218" operator="lessThanOrEqual">
      <formula>0</formula>
    </cfRule>
  </conditionalFormatting>
  <conditionalFormatting sqref="AG76">
    <cfRule type="cellIs" dxfId="155" priority="217" operator="lessThanOrEqual">
      <formula>0</formula>
    </cfRule>
  </conditionalFormatting>
  <conditionalFormatting sqref="AR76">
    <cfRule type="cellIs" dxfId="154" priority="216" operator="lessThanOrEqual">
      <formula>0</formula>
    </cfRule>
  </conditionalFormatting>
  <conditionalFormatting sqref="AU76">
    <cfRule type="cellIs" dxfId="153" priority="215" operator="lessThanOrEqual">
      <formula>0</formula>
    </cfRule>
  </conditionalFormatting>
  <conditionalFormatting sqref="AK76">
    <cfRule type="cellIs" dxfId="152" priority="214" operator="lessThanOrEqual">
      <formula>0</formula>
    </cfRule>
  </conditionalFormatting>
  <conditionalFormatting sqref="BD76">
    <cfRule type="cellIs" dxfId="151" priority="213" operator="lessThanOrEqual">
      <formula>0</formula>
    </cfRule>
  </conditionalFormatting>
  <conditionalFormatting sqref="P46:Q52">
    <cfRule type="cellIs" dxfId="150" priority="206" operator="lessThanOrEqual">
      <formula>0</formula>
    </cfRule>
  </conditionalFormatting>
  <conditionalFormatting sqref="J46:J52">
    <cfRule type="cellIs" dxfId="149" priority="205" operator="lessThanOrEqual">
      <formula>0</formula>
    </cfRule>
  </conditionalFormatting>
  <conditionalFormatting sqref="BH76">
    <cfRule type="cellIs" dxfId="148" priority="210" operator="lessThanOrEqual">
      <formula>0</formula>
    </cfRule>
  </conditionalFormatting>
  <conditionalFormatting sqref="BH76">
    <cfRule type="cellIs" dxfId="147" priority="209" operator="lessThanOrEqual">
      <formula>0</formula>
    </cfRule>
  </conditionalFormatting>
  <conditionalFormatting sqref="R46:R52">
    <cfRule type="cellIs" dxfId="146" priority="207" operator="lessThanOrEqual">
      <formula>0</formula>
    </cfRule>
  </conditionalFormatting>
  <conditionalFormatting sqref="T53">
    <cfRule type="cellIs" dxfId="145" priority="203" operator="lessThanOrEqual">
      <formula>0</formula>
    </cfRule>
  </conditionalFormatting>
  <conditionalFormatting sqref="L77">
    <cfRule type="cellIs" dxfId="144" priority="201" operator="lessThanOrEqual">
      <formula>0</formula>
    </cfRule>
  </conditionalFormatting>
  <conditionalFormatting sqref="L77">
    <cfRule type="cellIs" dxfId="143" priority="200" operator="lessThanOrEqual">
      <formula>0</formula>
    </cfRule>
  </conditionalFormatting>
  <conditionalFormatting sqref="J64:J74">
    <cfRule type="cellIs" dxfId="142" priority="199" operator="lessThanOrEqual">
      <formula>0</formula>
    </cfRule>
  </conditionalFormatting>
  <conditionalFormatting sqref="M64:M74">
    <cfRule type="cellIs" dxfId="141" priority="198" operator="lessThanOrEqual">
      <formula>0</formula>
    </cfRule>
  </conditionalFormatting>
  <conditionalFormatting sqref="P64:P74">
    <cfRule type="cellIs" dxfId="140" priority="197" operator="lessThanOrEqual">
      <formula>0</formula>
    </cfRule>
  </conditionalFormatting>
  <conditionalFormatting sqref="Q64:Q74">
    <cfRule type="cellIs" dxfId="139" priority="196" operator="lessThanOrEqual">
      <formula>0</formula>
    </cfRule>
  </conditionalFormatting>
  <conditionalFormatting sqref="R64:R74">
    <cfRule type="cellIs" dxfId="138" priority="195" operator="lessThanOrEqual">
      <formula>0</formula>
    </cfRule>
  </conditionalFormatting>
  <conditionalFormatting sqref="S64:S74">
    <cfRule type="cellIs" dxfId="137" priority="194" operator="lessThanOrEqual">
      <formula>0</formula>
    </cfRule>
  </conditionalFormatting>
  <conditionalFormatting sqref="T64:T74">
    <cfRule type="cellIs" dxfId="136" priority="193" operator="lessThanOrEqual">
      <formula>0</formula>
    </cfRule>
  </conditionalFormatting>
  <conditionalFormatting sqref="T77">
    <cfRule type="cellIs" dxfId="135" priority="192" operator="lessThanOrEqual">
      <formula>0</formula>
    </cfRule>
  </conditionalFormatting>
  <conditionalFormatting sqref="W46:W52">
    <cfRule type="cellIs" dxfId="134" priority="190" operator="lessThanOrEqual">
      <formula>0</formula>
    </cfRule>
  </conditionalFormatting>
  <conditionalFormatting sqref="Z46:Z52">
    <cfRule type="cellIs" dxfId="133" priority="189" operator="lessThanOrEqual">
      <formula>0</formula>
    </cfRule>
  </conditionalFormatting>
  <conditionalFormatting sqref="AC46:AC52">
    <cfRule type="cellIs" dxfId="132" priority="188" operator="lessThanOrEqual">
      <formula>0</formula>
    </cfRule>
  </conditionalFormatting>
  <conditionalFormatting sqref="AD46:AD52">
    <cfRule type="cellIs" dxfId="131" priority="187" operator="lessThanOrEqual">
      <formula>0</formula>
    </cfRule>
  </conditionalFormatting>
  <conditionalFormatting sqref="AE46:AE52">
    <cfRule type="cellIs" dxfId="130" priority="186" operator="lessThanOrEqual">
      <formula>0</formula>
    </cfRule>
  </conditionalFormatting>
  <conditionalFormatting sqref="U54">
    <cfRule type="cellIs" dxfId="129" priority="184" operator="lessThanOrEqual">
      <formula>0</formula>
    </cfRule>
  </conditionalFormatting>
  <conditionalFormatting sqref="U54">
    <cfRule type="cellIs" dxfId="128" priority="183" operator="lessThanOrEqual">
      <formula>0</formula>
    </cfRule>
  </conditionalFormatting>
  <conditionalFormatting sqref="U54">
    <cfRule type="cellIs" dxfId="127" priority="182" operator="lessThanOrEqual">
      <formula>0</formula>
    </cfRule>
  </conditionalFormatting>
  <conditionalFormatting sqref="V54">
    <cfRule type="cellIs" dxfId="126" priority="181" operator="lessThanOrEqual">
      <formula>0</formula>
    </cfRule>
  </conditionalFormatting>
  <conditionalFormatting sqref="V54">
    <cfRule type="cellIs" dxfId="125" priority="180" operator="lessThanOrEqual">
      <formula>0</formula>
    </cfRule>
  </conditionalFormatting>
  <conditionalFormatting sqref="AF46:AF52">
    <cfRule type="cellIs" dxfId="124" priority="178" operator="lessThanOrEqual">
      <formula>0</formula>
    </cfRule>
  </conditionalFormatting>
  <conditionalFormatting sqref="AI16 AI19 AI22 AI13:AJ13">
    <cfRule type="cellIs" dxfId="123" priority="177" operator="lessThanOrEqual">
      <formula>0</formula>
    </cfRule>
  </conditionalFormatting>
  <conditionalFormatting sqref="AI16 AI19 AI22 AI13:AJ13">
    <cfRule type="cellIs" dxfId="122" priority="176" operator="lessThanOrEqual">
      <formula>0</formula>
    </cfRule>
  </conditionalFormatting>
  <conditionalFormatting sqref="AI14 AI17 AI20">
    <cfRule type="cellIs" dxfId="121" priority="175" operator="lessThanOrEqual">
      <formula>0</formula>
    </cfRule>
  </conditionalFormatting>
  <conditionalFormatting sqref="AI14 AI17 AI20">
    <cfRule type="cellIs" dxfId="120" priority="174" operator="lessThanOrEqual">
      <formula>0</formula>
    </cfRule>
  </conditionalFormatting>
  <conditionalFormatting sqref="AI15 AI18 AI21">
    <cfRule type="cellIs" dxfId="119" priority="173" operator="lessThanOrEqual">
      <formula>0</formula>
    </cfRule>
  </conditionalFormatting>
  <conditionalFormatting sqref="AI15 AI18 AI21">
    <cfRule type="cellIs" dxfId="118" priority="172" operator="lessThanOrEqual">
      <formula>0</formula>
    </cfRule>
  </conditionalFormatting>
  <conditionalFormatting sqref="AJ12">
    <cfRule type="cellIs" dxfId="117" priority="171" operator="lessThanOrEqual">
      <formula>0</formula>
    </cfRule>
  </conditionalFormatting>
  <conditionalFormatting sqref="AJ12">
    <cfRule type="cellIs" dxfId="116" priority="170" operator="lessThanOrEqual">
      <formula>0</formula>
    </cfRule>
  </conditionalFormatting>
  <conditionalFormatting sqref="AJ16 AJ19 AJ22">
    <cfRule type="cellIs" dxfId="115" priority="169" operator="lessThanOrEqual">
      <formula>0</formula>
    </cfRule>
  </conditionalFormatting>
  <conditionalFormatting sqref="AJ16 AJ19 AJ22">
    <cfRule type="cellIs" dxfId="114" priority="168" operator="lessThanOrEqual">
      <formula>0</formula>
    </cfRule>
  </conditionalFormatting>
  <conditionalFormatting sqref="AJ14 AJ17 AJ20">
    <cfRule type="cellIs" dxfId="113" priority="167" operator="lessThanOrEqual">
      <formula>0</formula>
    </cfRule>
  </conditionalFormatting>
  <conditionalFormatting sqref="AJ14 AJ17 AJ20">
    <cfRule type="cellIs" dxfId="112" priority="166" operator="lessThanOrEqual">
      <formula>0</formula>
    </cfRule>
  </conditionalFormatting>
  <conditionalFormatting sqref="AJ15 AJ18 AJ21">
    <cfRule type="cellIs" dxfId="111" priority="165" operator="lessThanOrEqual">
      <formula>0</formula>
    </cfRule>
  </conditionalFormatting>
  <conditionalFormatting sqref="AJ15 AJ18 AJ21">
    <cfRule type="cellIs" dxfId="110" priority="164" operator="lessThanOrEqual">
      <formula>0</formula>
    </cfRule>
  </conditionalFormatting>
  <conditionalFormatting sqref="BJ35:BJ44">
    <cfRule type="cellIs" dxfId="109" priority="88" operator="lessThanOrEqual">
      <formula>0</formula>
    </cfRule>
  </conditionalFormatting>
  <conditionalFormatting sqref="BJ53">
    <cfRule type="cellIs" dxfId="108" priority="161" operator="lessThanOrEqual">
      <formula>0</formula>
    </cfRule>
  </conditionalFormatting>
  <conditionalFormatting sqref="BI46:BI52">
    <cfRule type="cellIs" dxfId="107" priority="160" operator="lessThanOrEqual">
      <formula>0</formula>
    </cfRule>
  </conditionalFormatting>
  <conditionalFormatting sqref="AK24:AK33">
    <cfRule type="cellIs" dxfId="106" priority="159" operator="lessThanOrEqual">
      <formula>0</formula>
    </cfRule>
  </conditionalFormatting>
  <conditionalFormatting sqref="BH24:BH33">
    <cfRule type="cellIs" dxfId="105" priority="158" operator="lessThanOrEqual">
      <formula>0</formula>
    </cfRule>
  </conditionalFormatting>
  <conditionalFormatting sqref="BH24:BH33">
    <cfRule type="cellIs" dxfId="104" priority="157" operator="lessThanOrEqual">
      <formula>0</formula>
    </cfRule>
  </conditionalFormatting>
  <conditionalFormatting sqref="BH36:BH40 BH43:BH44">
    <cfRule type="cellIs" dxfId="103" priority="156" operator="lessThanOrEqual">
      <formula>0</formula>
    </cfRule>
  </conditionalFormatting>
  <conditionalFormatting sqref="BH36:BH40 BH43:BH44">
    <cfRule type="cellIs" dxfId="102" priority="155" operator="lessThanOrEqual">
      <formula>0</formula>
    </cfRule>
  </conditionalFormatting>
  <conditionalFormatting sqref="AK35:AK40 AK42:AK44">
    <cfRule type="cellIs" dxfId="101" priority="154" operator="lessThanOrEqual">
      <formula>0</formula>
    </cfRule>
  </conditionalFormatting>
  <conditionalFormatting sqref="AO41">
    <cfRule type="cellIs" dxfId="100" priority="124" operator="lessThanOrEqual">
      <formula>0</formula>
    </cfRule>
  </conditionalFormatting>
  <conditionalFormatting sqref="AY41">
    <cfRule type="cellIs" dxfId="99" priority="152" operator="lessThanOrEqual">
      <formula>0</formula>
    </cfRule>
  </conditionalFormatting>
  <conditionalFormatting sqref="H41">
    <cfRule type="cellIs" dxfId="98" priority="151" operator="lessThanOrEqual">
      <formula>0</formula>
    </cfRule>
  </conditionalFormatting>
  <conditionalFormatting sqref="I41">
    <cfRule type="cellIs" dxfId="97" priority="150" operator="lessThanOrEqual">
      <formula>0</formula>
    </cfRule>
  </conditionalFormatting>
  <conditionalFormatting sqref="K41">
    <cfRule type="cellIs" dxfId="96" priority="149" operator="lessThanOrEqual">
      <formula>0</formula>
    </cfRule>
  </conditionalFormatting>
  <conditionalFormatting sqref="M41">
    <cfRule type="cellIs" dxfId="95" priority="147" operator="lessThanOrEqual">
      <formula>0</formula>
    </cfRule>
  </conditionalFormatting>
  <conditionalFormatting sqref="N41">
    <cfRule type="cellIs" dxfId="94" priority="146" operator="lessThanOrEqual">
      <formula>0</formula>
    </cfRule>
  </conditionalFormatting>
  <conditionalFormatting sqref="O41">
    <cfRule type="cellIs" dxfId="93" priority="145" operator="lessThanOrEqual">
      <formula>0</formula>
    </cfRule>
  </conditionalFormatting>
  <conditionalFormatting sqref="P41">
    <cfRule type="cellIs" dxfId="92" priority="144" operator="lessThanOrEqual">
      <formula>0</formula>
    </cfRule>
  </conditionalFormatting>
  <conditionalFormatting sqref="Q41">
    <cfRule type="cellIs" dxfId="91" priority="143" operator="lessThanOrEqual">
      <formula>0</formula>
    </cfRule>
  </conditionalFormatting>
  <conditionalFormatting sqref="U41">
    <cfRule type="cellIs" dxfId="90" priority="141" operator="lessThanOrEqual">
      <formula>0</formula>
    </cfRule>
  </conditionalFormatting>
  <conditionalFormatting sqref="W41">
    <cfRule type="cellIs" dxfId="89" priority="140" operator="lessThanOrEqual">
      <formula>0</formula>
    </cfRule>
  </conditionalFormatting>
  <conditionalFormatting sqref="V41">
    <cfRule type="cellIs" dxfId="88" priority="139" operator="lessThanOrEqual">
      <formula>0</formula>
    </cfRule>
  </conditionalFormatting>
  <conditionalFormatting sqref="X41">
    <cfRule type="cellIs" dxfId="87" priority="138" operator="lessThanOrEqual">
      <formula>0</formula>
    </cfRule>
  </conditionalFormatting>
  <conditionalFormatting sqref="AA41">
    <cfRule type="cellIs" dxfId="86" priority="136" operator="lessThanOrEqual">
      <formula>0</formula>
    </cfRule>
  </conditionalFormatting>
  <conditionalFormatting sqref="AB41">
    <cfRule type="cellIs" dxfId="85" priority="135" operator="lessThanOrEqual">
      <formula>0</formula>
    </cfRule>
  </conditionalFormatting>
  <conditionalFormatting sqref="AE41">
    <cfRule type="cellIs" dxfId="84" priority="134" operator="lessThanOrEqual">
      <formula>0</formula>
    </cfRule>
  </conditionalFormatting>
  <conditionalFormatting sqref="AG41">
    <cfRule type="cellIs" dxfId="83" priority="132" operator="lessThanOrEqual">
      <formula>0</formula>
    </cfRule>
  </conditionalFormatting>
  <conditionalFormatting sqref="AI41">
    <cfRule type="cellIs" dxfId="82" priority="130" operator="lessThanOrEqual">
      <formula>0</formula>
    </cfRule>
  </conditionalFormatting>
  <conditionalFormatting sqref="AJ41">
    <cfRule type="cellIs" dxfId="81" priority="129" operator="lessThanOrEqual">
      <formula>0</formula>
    </cfRule>
  </conditionalFormatting>
  <conditionalFormatting sqref="AK41">
    <cfRule type="cellIs" dxfId="80" priority="128" operator="lessThanOrEqual">
      <formula>0</formula>
    </cfRule>
  </conditionalFormatting>
  <conditionalFormatting sqref="AL41">
    <cfRule type="cellIs" dxfId="79" priority="127" operator="lessThanOrEqual">
      <formula>0</formula>
    </cfRule>
  </conditionalFormatting>
  <conditionalFormatting sqref="AN41">
    <cfRule type="cellIs" dxfId="78" priority="125" operator="lessThanOrEqual">
      <formula>0</formula>
    </cfRule>
  </conditionalFormatting>
  <conditionalFormatting sqref="AP41">
    <cfRule type="cellIs" dxfId="77" priority="123" operator="lessThanOrEqual">
      <formula>0</formula>
    </cfRule>
  </conditionalFormatting>
  <conditionalFormatting sqref="AQ41">
    <cfRule type="cellIs" dxfId="76" priority="122" operator="lessThanOrEqual">
      <formula>0</formula>
    </cfRule>
  </conditionalFormatting>
  <conditionalFormatting sqref="AR41">
    <cfRule type="cellIs" dxfId="75" priority="121" operator="lessThanOrEqual">
      <formula>0</formula>
    </cfRule>
  </conditionalFormatting>
  <conditionalFormatting sqref="AS41">
    <cfRule type="cellIs" dxfId="74" priority="120" operator="lessThanOrEqual">
      <formula>0</formula>
    </cfRule>
  </conditionalFormatting>
  <conditionalFormatting sqref="AT41">
    <cfRule type="cellIs" dxfId="73" priority="119" operator="lessThanOrEqual">
      <formula>0</formula>
    </cfRule>
  </conditionalFormatting>
  <conditionalFormatting sqref="AU41">
    <cfRule type="cellIs" dxfId="72" priority="118" operator="lessThanOrEqual">
      <formula>0</formula>
    </cfRule>
  </conditionalFormatting>
  <conditionalFormatting sqref="AV41">
    <cfRule type="cellIs" dxfId="71" priority="117" operator="lessThanOrEqual">
      <formula>0</formula>
    </cfRule>
  </conditionalFormatting>
  <conditionalFormatting sqref="AW41">
    <cfRule type="cellIs" dxfId="70" priority="116" operator="lessThanOrEqual">
      <formula>0</formula>
    </cfRule>
  </conditionalFormatting>
  <conditionalFormatting sqref="AX41">
    <cfRule type="cellIs" dxfId="69" priority="115" operator="lessThanOrEqual">
      <formula>0</formula>
    </cfRule>
  </conditionalFormatting>
  <conditionalFormatting sqref="AZ41">
    <cfRule type="cellIs" dxfId="68" priority="114" operator="lessThanOrEqual">
      <formula>0</formula>
    </cfRule>
  </conditionalFormatting>
  <conditionalFormatting sqref="BA41">
    <cfRule type="cellIs" dxfId="67" priority="113" operator="lessThanOrEqual">
      <formula>0</formula>
    </cfRule>
  </conditionalFormatting>
  <conditionalFormatting sqref="BB41">
    <cfRule type="cellIs" dxfId="66" priority="112" operator="lessThanOrEqual">
      <formula>0</formula>
    </cfRule>
  </conditionalFormatting>
  <conditionalFormatting sqref="BC41">
    <cfRule type="cellIs" dxfId="65" priority="111" operator="lessThanOrEqual">
      <formula>0</formula>
    </cfRule>
  </conditionalFormatting>
  <conditionalFormatting sqref="BE41">
    <cfRule type="cellIs" dxfId="64" priority="109" operator="lessThanOrEqual">
      <formula>0</formula>
    </cfRule>
  </conditionalFormatting>
  <conditionalFormatting sqref="BF41">
    <cfRule type="cellIs" dxfId="63" priority="108" operator="lessThanOrEqual">
      <formula>0</formula>
    </cfRule>
  </conditionalFormatting>
  <conditionalFormatting sqref="BJ24:BJ33">
    <cfRule type="cellIs" dxfId="62" priority="89" operator="lessThanOrEqual">
      <formula>0</formula>
    </cfRule>
  </conditionalFormatting>
  <conditionalFormatting sqref="BH41">
    <cfRule type="cellIs" dxfId="61" priority="102" operator="lessThanOrEqual">
      <formula>0</formula>
    </cfRule>
  </conditionalFormatting>
  <conditionalFormatting sqref="BH41">
    <cfRule type="cellIs" dxfId="60" priority="103" operator="lessThanOrEqual">
      <formula>0</formula>
    </cfRule>
  </conditionalFormatting>
  <conditionalFormatting sqref="BI41">
    <cfRule type="cellIs" dxfId="59" priority="101" operator="lessThanOrEqual">
      <formula>0</formula>
    </cfRule>
  </conditionalFormatting>
  <conditionalFormatting sqref="BI41">
    <cfRule type="cellIs" dxfId="58" priority="100" operator="lessThanOrEqual">
      <formula>0</formula>
    </cfRule>
  </conditionalFormatting>
  <conditionalFormatting sqref="BH42">
    <cfRule type="cellIs" dxfId="57" priority="99" operator="lessThanOrEqual">
      <formula>0</formula>
    </cfRule>
  </conditionalFormatting>
  <conditionalFormatting sqref="BH42">
    <cfRule type="cellIs" dxfId="56" priority="98" operator="lessThanOrEqual">
      <formula>0</formula>
    </cfRule>
  </conditionalFormatting>
  <conditionalFormatting sqref="BI42">
    <cfRule type="cellIs" dxfId="55" priority="97" operator="lessThanOrEqual">
      <formula>0</formula>
    </cfRule>
  </conditionalFormatting>
  <conditionalFormatting sqref="BI42">
    <cfRule type="cellIs" dxfId="54" priority="96" operator="lessThanOrEqual">
      <formula>0</formula>
    </cfRule>
  </conditionalFormatting>
  <conditionalFormatting sqref="BH35">
    <cfRule type="cellIs" dxfId="53" priority="95" operator="lessThanOrEqual">
      <formula>0</formula>
    </cfRule>
  </conditionalFormatting>
  <conditionalFormatting sqref="BH35">
    <cfRule type="cellIs" dxfId="52" priority="94" operator="lessThanOrEqual">
      <formula>0</formula>
    </cfRule>
  </conditionalFormatting>
  <conditionalFormatting sqref="BH46:BH52">
    <cfRule type="cellIs" dxfId="51" priority="93" operator="lessThanOrEqual">
      <formula>0</formula>
    </cfRule>
  </conditionalFormatting>
  <conditionalFormatting sqref="BH46:BH52">
    <cfRule type="cellIs" dxfId="50" priority="92" operator="lessThanOrEqual">
      <formula>0</formula>
    </cfRule>
  </conditionalFormatting>
  <conditionalFormatting sqref="BJ46:BJ52">
    <cfRule type="cellIs" dxfId="49" priority="87" operator="lessThanOrEqual">
      <formula>0</formula>
    </cfRule>
  </conditionalFormatting>
  <conditionalFormatting sqref="T75">
    <cfRule type="cellIs" dxfId="48" priority="85" operator="lessThanOrEqual">
      <formula>0</formula>
    </cfRule>
  </conditionalFormatting>
  <conditionalFormatting sqref="BH64:BH74">
    <cfRule type="cellIs" dxfId="47" priority="66" operator="lessThanOrEqual">
      <formula>0</formula>
    </cfRule>
  </conditionalFormatting>
  <conditionalFormatting sqref="AC64:AC74">
    <cfRule type="cellIs" dxfId="46" priority="80" operator="lessThanOrEqual">
      <formula>0</formula>
    </cfRule>
  </conditionalFormatting>
  <conditionalFormatting sqref="Z64:Z74">
    <cfRule type="cellIs" dxfId="45" priority="78" operator="lessThanOrEqual">
      <formula>0</formula>
    </cfRule>
  </conditionalFormatting>
  <conditionalFormatting sqref="AD64:AD74">
    <cfRule type="cellIs" dxfId="44" priority="76" operator="lessThanOrEqual">
      <formula>0</formula>
    </cfRule>
  </conditionalFormatting>
  <conditionalFormatting sqref="AE64:AE74">
    <cfRule type="cellIs" dxfId="43" priority="74" operator="lessThanOrEqual">
      <formula>0</formula>
    </cfRule>
  </conditionalFormatting>
  <conditionalFormatting sqref="AF64:AF74">
    <cfRule type="cellIs" dxfId="42" priority="72" operator="lessThanOrEqual">
      <formula>0</formula>
    </cfRule>
  </conditionalFormatting>
  <conditionalFormatting sqref="AK64:AK74">
    <cfRule type="cellIs" dxfId="41" priority="70" operator="lessThanOrEqual">
      <formula>0</formula>
    </cfRule>
  </conditionalFormatting>
  <conditionalFormatting sqref="BJ64:BJ74">
    <cfRule type="cellIs" dxfId="40" priority="68" operator="lessThanOrEqual">
      <formula>0</formula>
    </cfRule>
  </conditionalFormatting>
  <conditionalFormatting sqref="H77">
    <cfRule type="cellIs" dxfId="39" priority="63" operator="lessThanOrEqual">
      <formula>0</formula>
    </cfRule>
  </conditionalFormatting>
  <conditionalFormatting sqref="H77">
    <cfRule type="cellIs" dxfId="38" priority="62" operator="lessThanOrEqual">
      <formula>0</formula>
    </cfRule>
  </conditionalFormatting>
  <conditionalFormatting sqref="I77:J77">
    <cfRule type="cellIs" dxfId="37" priority="61" operator="lessThanOrEqual">
      <formula>0</formula>
    </cfRule>
  </conditionalFormatting>
  <conditionalFormatting sqref="I77:J77">
    <cfRule type="cellIs" dxfId="36" priority="60" operator="lessThanOrEqual">
      <formula>0</formula>
    </cfRule>
  </conditionalFormatting>
  <conditionalFormatting sqref="K77">
    <cfRule type="cellIs" dxfId="35" priority="59" operator="lessThanOrEqual">
      <formula>0</formula>
    </cfRule>
  </conditionalFormatting>
  <conditionalFormatting sqref="K77">
    <cfRule type="cellIs" dxfId="34" priority="58" operator="lessThanOrEqual">
      <formula>0</formula>
    </cfRule>
  </conditionalFormatting>
  <conditionalFormatting sqref="M77:S77">
    <cfRule type="cellIs" dxfId="33" priority="57" operator="lessThanOrEqual">
      <formula>0</formula>
    </cfRule>
  </conditionalFormatting>
  <conditionalFormatting sqref="M77:S77">
    <cfRule type="cellIs" dxfId="32" priority="56" operator="lessThanOrEqual">
      <formula>0</formula>
    </cfRule>
  </conditionalFormatting>
  <conditionalFormatting sqref="U77:V77">
    <cfRule type="cellIs" dxfId="31" priority="55" operator="lessThanOrEqual">
      <formula>0</formula>
    </cfRule>
  </conditionalFormatting>
  <conditionalFormatting sqref="U77:V77">
    <cfRule type="cellIs" dxfId="30" priority="54" operator="lessThanOrEqual">
      <formula>0</formula>
    </cfRule>
  </conditionalFormatting>
  <conditionalFormatting sqref="BG35:BG44">
    <cfRule type="cellIs" dxfId="29" priority="53" operator="lessThanOrEqual">
      <formula>0</formula>
    </cfRule>
  </conditionalFormatting>
  <conditionalFormatting sqref="AK46:AK52">
    <cfRule type="cellIs" dxfId="28" priority="52" operator="lessThanOrEqual">
      <formula>0</formula>
    </cfRule>
  </conditionalFormatting>
  <conditionalFormatting sqref="W64:W74">
    <cfRule type="cellIs" dxfId="27" priority="51" operator="lessThanOrEqual">
      <formula>0</formula>
    </cfRule>
  </conditionalFormatting>
  <conditionalFormatting sqref="W77:W78">
    <cfRule type="cellIs" dxfId="26" priority="50" operator="lessThanOrEqual">
      <formula>0</formula>
    </cfRule>
  </conditionalFormatting>
  <conditionalFormatting sqref="W77:W78">
    <cfRule type="cellIs" dxfId="25" priority="49" operator="lessThanOrEqual">
      <formula>0</formula>
    </cfRule>
  </conditionalFormatting>
  <conditionalFormatting sqref="BD46:BD52">
    <cfRule type="cellIs" dxfId="24" priority="44" operator="lessThanOrEqual">
      <formula>0</formula>
    </cfRule>
  </conditionalFormatting>
  <conditionalFormatting sqref="AM24:AM33">
    <cfRule type="cellIs" dxfId="23" priority="32" operator="lessThanOrEqual">
      <formula>0</formula>
    </cfRule>
  </conditionalFormatting>
  <conditionalFormatting sqref="AM24:AM33">
    <cfRule type="cellIs" dxfId="22" priority="31" operator="lessThanOrEqual">
      <formula>0</formula>
    </cfRule>
  </conditionalFormatting>
  <conditionalFormatting sqref="AM35:AM44">
    <cfRule type="cellIs" dxfId="21" priority="30" operator="lessThanOrEqual">
      <formula>0</formula>
    </cfRule>
  </conditionalFormatting>
  <conditionalFormatting sqref="AM35:AM44">
    <cfRule type="cellIs" dxfId="20" priority="29" operator="lessThanOrEqual">
      <formula>0</formula>
    </cfRule>
  </conditionalFormatting>
  <conditionalFormatting sqref="AM46:AM52">
    <cfRule type="cellIs" dxfId="19" priority="28" operator="lessThanOrEqual">
      <formula>0</formula>
    </cfRule>
  </conditionalFormatting>
  <conditionalFormatting sqref="AM46:AM52">
    <cfRule type="cellIs" dxfId="18" priority="27" operator="lessThanOrEqual">
      <formula>0</formula>
    </cfRule>
  </conditionalFormatting>
  <conditionalFormatting sqref="AM54:AM62">
    <cfRule type="cellIs" dxfId="17" priority="26" operator="lessThanOrEqual">
      <formula>0</formula>
    </cfRule>
  </conditionalFormatting>
  <conditionalFormatting sqref="AM54:AM62">
    <cfRule type="cellIs" dxfId="16" priority="25" operator="lessThanOrEqual">
      <formula>0</formula>
    </cfRule>
  </conditionalFormatting>
  <conditionalFormatting sqref="AM64:AM74">
    <cfRule type="cellIs" dxfId="15" priority="22" operator="lessThanOrEqual">
      <formula>0</formula>
    </cfRule>
  </conditionalFormatting>
  <conditionalFormatting sqref="BD35:BD44">
    <cfRule type="cellIs" dxfId="14" priority="21" operator="lessThanOrEqual">
      <formula>0</formula>
    </cfRule>
  </conditionalFormatting>
  <conditionalFormatting sqref="BD24:BD33">
    <cfRule type="cellIs" dxfId="13" priority="20" operator="lessThanOrEqual">
      <formula>0</formula>
    </cfRule>
  </conditionalFormatting>
  <conditionalFormatting sqref="BD12:BD22">
    <cfRule type="cellIs" dxfId="12" priority="19" operator="lessThanOrEqual">
      <formula>0</formula>
    </cfRule>
  </conditionalFormatting>
  <conditionalFormatting sqref="BD54:BD62">
    <cfRule type="cellIs" dxfId="11" priority="18" operator="lessThanOrEqual">
      <formula>0</formula>
    </cfRule>
  </conditionalFormatting>
  <conditionalFormatting sqref="BD64:BD74">
    <cfRule type="cellIs" dxfId="10" priority="16" operator="lessThanOrEqual">
      <formula>0</formula>
    </cfRule>
  </conditionalFormatting>
  <conditionalFormatting sqref="AH24:AH33">
    <cfRule type="cellIs" dxfId="9" priority="13" operator="lessThanOrEqual">
      <formula>0</formula>
    </cfRule>
  </conditionalFormatting>
  <conditionalFormatting sqref="AH24:AH33">
    <cfRule type="cellIs" dxfId="8" priority="12" operator="lessThanOrEqual">
      <formula>0</formula>
    </cfRule>
  </conditionalFormatting>
  <conditionalFormatting sqref="AH35:AH44">
    <cfRule type="cellIs" dxfId="7" priority="11" operator="lessThanOrEqual">
      <formula>0</formula>
    </cfRule>
  </conditionalFormatting>
  <conditionalFormatting sqref="AH35:AH44">
    <cfRule type="cellIs" dxfId="6" priority="10" operator="lessThanOrEqual">
      <formula>0</formula>
    </cfRule>
  </conditionalFormatting>
  <conditionalFormatting sqref="AH46:AH52">
    <cfRule type="cellIs" dxfId="5" priority="9" operator="lessThanOrEqual">
      <formula>0</formula>
    </cfRule>
  </conditionalFormatting>
  <conditionalFormatting sqref="AH46:AH52">
    <cfRule type="cellIs" dxfId="4" priority="8" operator="lessThanOrEqual">
      <formula>0</formula>
    </cfRule>
  </conditionalFormatting>
  <conditionalFormatting sqref="AH54:AH62">
    <cfRule type="cellIs" dxfId="3" priority="7" operator="lessThanOrEqual">
      <formula>0</formula>
    </cfRule>
  </conditionalFormatting>
  <conditionalFormatting sqref="AH54:AH62">
    <cfRule type="cellIs" dxfId="2" priority="6" operator="lessThanOrEqual">
      <formula>0</formula>
    </cfRule>
  </conditionalFormatting>
  <conditionalFormatting sqref="AH64:AH74">
    <cfRule type="cellIs" dxfId="1" priority="3" operator="lessThanOrEqual">
      <formula>0</formula>
    </cfRule>
  </conditionalFormatting>
  <conditionalFormatting sqref="AR64:AR74">
    <cfRule type="cellIs" dxfId="0" priority="1" operator="lessThanOr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15" fitToWidth="2" fitToHeight="2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D41"/>
  <sheetViews>
    <sheetView workbookViewId="0">
      <selection activeCell="L20" sqref="L20"/>
    </sheetView>
  </sheetViews>
  <sheetFormatPr defaultRowHeight="15.75" x14ac:dyDescent="0.25"/>
  <cols>
    <col min="1" max="1" width="15.85546875" style="983" customWidth="1"/>
    <col min="2" max="5" width="4.28515625" style="983" customWidth="1"/>
    <col min="6" max="6" width="4.140625" style="983" customWidth="1"/>
    <col min="7" max="10" width="3.85546875" style="983" customWidth="1"/>
    <col min="11" max="11" width="4.140625" style="983" customWidth="1"/>
    <col min="12" max="13" width="3.85546875" style="983" customWidth="1"/>
    <col min="14" max="14" width="4.28515625" style="983" customWidth="1"/>
    <col min="15" max="15" width="3.85546875" style="983" customWidth="1"/>
    <col min="16" max="16" width="4.140625" style="983" customWidth="1"/>
    <col min="17" max="30" width="3.85546875" style="983" customWidth="1"/>
    <col min="31" max="31" width="3.7109375" style="983" customWidth="1"/>
    <col min="32" max="35" width="3.85546875" style="983" customWidth="1"/>
    <col min="36" max="36" width="3.5703125" style="983" customWidth="1"/>
    <col min="37" max="39" width="3.85546875" style="983" customWidth="1"/>
    <col min="40" max="40" width="4.28515625" style="983" customWidth="1"/>
    <col min="41" max="41" width="4.5703125" style="983" customWidth="1"/>
    <col min="42" max="50" width="3.85546875" style="983" customWidth="1"/>
    <col min="51" max="51" width="3.5703125" style="983" customWidth="1"/>
    <col min="52" max="55" width="3.85546875" style="983" customWidth="1"/>
    <col min="56" max="56" width="3.7109375" style="983" customWidth="1"/>
    <col min="57" max="16384" width="9.140625" style="983"/>
  </cols>
  <sheetData>
    <row r="1" spans="1:56" x14ac:dyDescent="0.25">
      <c r="A1" s="1607" t="s">
        <v>871</v>
      </c>
      <c r="B1" s="1608" t="s">
        <v>873</v>
      </c>
      <c r="C1" s="1609"/>
      <c r="D1" s="1609"/>
      <c r="E1" s="1609"/>
      <c r="F1" s="1610"/>
      <c r="G1" s="1608" t="s">
        <v>874</v>
      </c>
      <c r="H1" s="1609"/>
      <c r="I1" s="1609"/>
      <c r="J1" s="1609"/>
      <c r="K1" s="1610"/>
      <c r="L1" s="1608" t="s">
        <v>56</v>
      </c>
      <c r="M1" s="1609"/>
      <c r="N1" s="1609"/>
      <c r="O1" s="1609"/>
      <c r="P1" s="1610"/>
      <c r="Q1" s="1608" t="s">
        <v>901</v>
      </c>
      <c r="R1" s="1609"/>
      <c r="S1" s="1609"/>
      <c r="T1" s="1609"/>
      <c r="U1" s="1610"/>
      <c r="V1" s="1608" t="s">
        <v>3512</v>
      </c>
      <c r="W1" s="1609"/>
      <c r="X1" s="1609"/>
      <c r="Y1" s="1609"/>
      <c r="Z1" s="1610"/>
      <c r="AA1" s="1608" t="s">
        <v>1497</v>
      </c>
      <c r="AB1" s="1609"/>
      <c r="AC1" s="1609"/>
      <c r="AD1" s="1609"/>
      <c r="AE1" s="1610"/>
      <c r="AF1" s="1607" t="s">
        <v>886</v>
      </c>
      <c r="AG1" s="1607"/>
      <c r="AH1" s="1607"/>
      <c r="AI1" s="1607"/>
      <c r="AJ1" s="1607"/>
      <c r="AK1" s="1247"/>
      <c r="AL1" s="1247"/>
      <c r="AM1" s="1247"/>
    </row>
    <row r="2" spans="1:56" ht="79.5" x14ac:dyDescent="0.25">
      <c r="A2" s="1607"/>
      <c r="B2" s="1245" t="s">
        <v>4609</v>
      </c>
      <c r="C2" s="1245" t="s">
        <v>4610</v>
      </c>
      <c r="D2" s="1245" t="s">
        <v>4611</v>
      </c>
      <c r="E2" s="1245" t="s">
        <v>4612</v>
      </c>
      <c r="F2" s="1246" t="s">
        <v>4038</v>
      </c>
      <c r="G2" s="1245" t="s">
        <v>4609</v>
      </c>
      <c r="H2" s="1245" t="s">
        <v>4610</v>
      </c>
      <c r="I2" s="1245" t="s">
        <v>4611</v>
      </c>
      <c r="J2" s="1245" t="s">
        <v>4612</v>
      </c>
      <c r="K2" s="1246" t="s">
        <v>4038</v>
      </c>
      <c r="L2" s="1245" t="s">
        <v>4609</v>
      </c>
      <c r="M2" s="1245" t="s">
        <v>4610</v>
      </c>
      <c r="N2" s="1245" t="s">
        <v>4611</v>
      </c>
      <c r="O2" s="1245" t="s">
        <v>4612</v>
      </c>
      <c r="P2" s="1246" t="s">
        <v>4038</v>
      </c>
      <c r="Q2" s="1245" t="s">
        <v>4609</v>
      </c>
      <c r="R2" s="1245" t="s">
        <v>4610</v>
      </c>
      <c r="S2" s="1245" t="s">
        <v>4611</v>
      </c>
      <c r="T2" s="1245" t="s">
        <v>4612</v>
      </c>
      <c r="U2" s="1246" t="s">
        <v>4038</v>
      </c>
      <c r="V2" s="1245" t="s">
        <v>4609</v>
      </c>
      <c r="W2" s="1245" t="s">
        <v>4610</v>
      </c>
      <c r="X2" s="1245" t="s">
        <v>4611</v>
      </c>
      <c r="Y2" s="1245" t="s">
        <v>4612</v>
      </c>
      <c r="Z2" s="1246" t="s">
        <v>4038</v>
      </c>
      <c r="AA2" s="1245" t="s">
        <v>4609</v>
      </c>
      <c r="AB2" s="1245" t="s">
        <v>4610</v>
      </c>
      <c r="AC2" s="1245" t="s">
        <v>4611</v>
      </c>
      <c r="AD2" s="1245" t="s">
        <v>4612</v>
      </c>
      <c r="AE2" s="1246" t="s">
        <v>4038</v>
      </c>
      <c r="AF2" s="1245" t="s">
        <v>4609</v>
      </c>
      <c r="AG2" s="1245" t="s">
        <v>4610</v>
      </c>
      <c r="AH2" s="1245" t="s">
        <v>4611</v>
      </c>
      <c r="AI2" s="1245" t="s">
        <v>4612</v>
      </c>
      <c r="AJ2" s="1246" t="s">
        <v>4038</v>
      </c>
    </row>
    <row r="3" spans="1:56" x14ac:dyDescent="0.25">
      <c r="A3" s="392" t="s">
        <v>266</v>
      </c>
      <c r="B3" s="392">
        <f>COUNTIFS(ШТАТ!$AL:$AL,$A3,ШТАТ!$AJ:$AJ,"о")</f>
        <v>4</v>
      </c>
      <c r="C3" s="392">
        <f>COUNTIFS(ШТАТ!$AL:$AL,$A3,ШТАТ!$AJ:$AJ,"п")</f>
        <v>0</v>
      </c>
      <c r="D3" s="392">
        <f>COUNTIFS(ШТАТ!$AL:$AL,$A3,ШТАТ!$AJ:$AJ,"к/с")</f>
        <v>0</v>
      </c>
      <c r="E3" s="392">
        <f>COUNTIFS(ШТАТ!$AL:$AL,$A3,ШТАТ!$AJ:$AJ,"с/с")</f>
        <v>0</v>
      </c>
      <c r="F3" s="1197">
        <f>SUM(B3:E3)</f>
        <v>4</v>
      </c>
      <c r="G3" s="392">
        <f>COUNTIFS(ШТАТ!$AL:$AL,$A3,ШТАТ!$AJ:$AJ,"о",ШТАТ!$U:$U,"")</f>
        <v>0</v>
      </c>
      <c r="H3" s="392">
        <f>COUNTIFS(ШТАТ!$AL:$AL,$A3,ШТАТ!$AJ:$AJ,"п",ШТАТ!$U:$U,"")</f>
        <v>0</v>
      </c>
      <c r="I3" s="392">
        <f>COUNTIFS(ШТАТ!$AL:$AL,$A3,ШТАТ!$AJ:$AJ,"к/с",ШТАТ!$U:$U,"")</f>
        <v>0</v>
      </c>
      <c r="J3" s="392">
        <f>COUNTIFS(ШТАТ!$AL:$AL,$A3,ШТАТ!$AJ:$AJ,"с/с",ШТАТ!$U:$U,"")</f>
        <v>0</v>
      </c>
      <c r="K3" s="1197">
        <f t="shared" ref="K3:K12" si="0">SUM(G3:J3)</f>
        <v>0</v>
      </c>
      <c r="L3" s="392">
        <f>COUNTIFS(ШТАТ!$AL:$AL,$A3,ШТАТ!$AJ:$AJ,"о",ШТАТ!$W:$W,"г. Белгород")</f>
        <v>4</v>
      </c>
      <c r="M3" s="392">
        <f>COUNTIFS(ШТАТ!$AL:$AL,$A3,ШТАТ!$AJ:$AJ,"п",ШТАТ!$W:$W,"г. Белгород")</f>
        <v>0</v>
      </c>
      <c r="N3" s="392">
        <f>COUNTIFS(ШТАТ!$AL:$AL,$A3,ШТАТ!$AJ:$AJ,"к/с",ШТАТ!$W:$W,"г. Белгород")</f>
        <v>0</v>
      </c>
      <c r="O3" s="392">
        <f>COUNTIFS(ШТАТ!$AL:$AL,$A3,ШТАТ!$AJ:$AJ,"с/с",ШТАТ!Z:Z,"г. Белгород")</f>
        <v>0</v>
      </c>
      <c r="P3" s="1197">
        <f>SUM(L3:O3)</f>
        <v>4</v>
      </c>
      <c r="Q3" s="392">
        <f>COUNTIFS(ШТАТ!$AL:$AL,$A3,ШТАТ!$AJ:$AJ,"о",ШТАТ!$X:$X,"Выполнение специальных задач")</f>
        <v>0</v>
      </c>
      <c r="R3" s="392">
        <f>COUNTIFS(ШТАТ!$AL:$AL,$A3,ШТАТ!$AJ:$AJ,"п",ШТАТ!$X:$X,"Выполнение специальных задач")</f>
        <v>0</v>
      </c>
      <c r="S3" s="392">
        <f>COUNTIFS(ШТАТ!$AL:$AL,$A3,ШТАТ!$AJ:$AJ,"к/с",ШТАТ!$X:$X,"Выполнение специальных задач")</f>
        <v>0</v>
      </c>
      <c r="T3" s="392">
        <f>COUNTIFS(ШТАТ!$AL:$AL,$A3,ШТАТ!$AJ:$AJ,"с/с",ШТАТ!$X:$X,"Выполнение специальных задач")</f>
        <v>0</v>
      </c>
      <c r="U3" s="1197">
        <f>SUM(Q3:T3)</f>
        <v>0</v>
      </c>
      <c r="V3" s="392">
        <f>COUNTIFS(ШТАТ!$AL:$AL,$A3,ШТАТ!$AJ:$AJ,"о",ШТАТ!$U:$U,"госп")</f>
        <v>0</v>
      </c>
      <c r="W3" s="392">
        <f>COUNTIFS(ШТАТ!$AL:$AL,$A3,ШТАТ!$AJ:$AJ,"п",ШТАТ!$U:$U,"госп")</f>
        <v>0</v>
      </c>
      <c r="X3" s="392">
        <f>COUNTIFS(ШТАТ!$AL:$AL,$A3,ШТАТ!$AJ:$AJ,"к/с",ШТАТ!$U:$U,"госп")</f>
        <v>0</v>
      </c>
      <c r="Y3" s="392">
        <f>COUNTIFS(ШТАТ!$AL:$AL,$A3,ШТАТ!$AJ:$AJ,"с/с",ШТАТ!$U:$U,"госп")</f>
        <v>0</v>
      </c>
      <c r="Z3" s="1197">
        <f>SUM(V3:Y3)</f>
        <v>0</v>
      </c>
      <c r="AA3" s="392">
        <f>COUNTIFS(ШТАТ!$AL:$AL,$A3,ШТАТ!$AJ:$AJ,"о",ШТАТ!$U:$U,"Отпуск")</f>
        <v>0</v>
      </c>
      <c r="AB3" s="392">
        <f>COUNTIFS(ШТАТ!$AL:$AL,$A3,ШТАТ!$AJ:$AJ,"п",ШТАТ!$U:$U,"Отпуск")</f>
        <v>0</v>
      </c>
      <c r="AC3" s="392">
        <f>COUNTIFS(ШТАТ!$AL:$AL,$A3,ШТАТ!$AJ:$AJ,"к/с",ШТАТ!$U:$U,"Отпуск")</f>
        <v>0</v>
      </c>
      <c r="AD3" s="392">
        <f>COUNTIFS(ШТАТ!$AL:$AL,$A3,ШТАТ!$AJ:$AJ,"с/с",ШТАТ!$U:$U,"Отпуск")</f>
        <v>0</v>
      </c>
      <c r="AE3" s="1197">
        <f>SUM(AA3:AD3)</f>
        <v>0</v>
      </c>
      <c r="AF3" s="392">
        <f>COUNTIFS(ШТАТ!$AL:$AL,$A3,ШТАТ!$AJ:$AJ,"о",ШТАТ!$U:$U,"СОЧ")</f>
        <v>0</v>
      </c>
      <c r="AG3" s="392">
        <f>COUNTIFS(ШТАТ!$AL:$AL,$A3,ШТАТ!$AJ:$AJ,"п",ШТАТ!$U:$U,"СОЧ")</f>
        <v>0</v>
      </c>
      <c r="AH3" s="392">
        <f>COUNTIFS(ШТАТ!$AL:$AL,$A3,ШТАТ!$AJ:$AJ,"к/с",ШТАТ!$U:$U,"СОЧ")</f>
        <v>0</v>
      </c>
      <c r="AI3" s="392">
        <f>COUNTIFS(ШТАТ!$AL:$AL,$A3,ШТАТ!$AJ:$AJ,"с/с",ШТАТ!$U:$U,"СОЧ")</f>
        <v>0</v>
      </c>
      <c r="AJ3" s="1197">
        <f>SUM(AF3:AI3)</f>
        <v>0</v>
      </c>
    </row>
    <row r="4" spans="1:56" x14ac:dyDescent="0.25">
      <c r="A4" s="392" t="s">
        <v>278</v>
      </c>
      <c r="B4" s="392">
        <f>COUNTIFS(ШТАТ!$AL:$AL,$A4,ШТАТ!$AJ:$AJ,"о")</f>
        <v>4</v>
      </c>
      <c r="C4" s="392">
        <f>COUNTIFS(ШТАТ!$AL:$AL,$A4,ШТАТ!$AJ:$AJ,"п")</f>
        <v>2</v>
      </c>
      <c r="D4" s="392">
        <f>COUNTIFS(ШТАТ!$AL:$AL,$A4,ШТАТ!$AJ:$AJ,"к/с")</f>
        <v>82</v>
      </c>
      <c r="E4" s="392">
        <f>COUNTIFS(ШТАТ!$AL:$AL,$A4,ШТАТ!$AJ:$AJ,"с/с")</f>
        <v>0</v>
      </c>
      <c r="F4" s="1197">
        <f t="shared" ref="F4:F12" si="1">SUM(B4:E4)</f>
        <v>88</v>
      </c>
      <c r="G4" s="392">
        <f>COUNTIFS(ШТАТ!$AL:$AL,$A4,ШТАТ!$AJ:$AJ,"о",ШТАТ!$U:$U,"")</f>
        <v>0</v>
      </c>
      <c r="H4" s="392">
        <f>COUNTIFS(ШТАТ!$AL:$AL,$A4,ШТАТ!$AJ:$AJ,"п",ШТАТ!$U:$U,"")</f>
        <v>0</v>
      </c>
      <c r="I4" s="392">
        <f>COUNTIFS(ШТАТ!$AL:$AL,$A4,ШТАТ!$AJ:$AJ,"к/с",ШТАТ!$U:$U,"")</f>
        <v>13</v>
      </c>
      <c r="J4" s="392">
        <f>COUNTIFS(ШТАТ!$AL:$AL,$A4,ШТАТ!$AJ:$AJ,"с/с",ШТАТ!$U:$U,"")</f>
        <v>0</v>
      </c>
      <c r="K4" s="1197">
        <f t="shared" si="0"/>
        <v>13</v>
      </c>
      <c r="L4" s="392">
        <f>COUNTIFS(ШТАТ!$AL:$AL,$A4,ШТАТ!$AJ:$AJ,"о",ШТАТ!W:W,"г. Белгород")</f>
        <v>4</v>
      </c>
      <c r="M4" s="392">
        <f>COUNTIFS(ШТАТ!$AL:$AL,$A4,ШТАТ!$AJ:$AJ,"п",ШТАТ!$W:$W,"г. Белгород")</f>
        <v>2</v>
      </c>
      <c r="N4" s="392">
        <f>COUNTIFS(ШТАТ!$AL:$AL,$A4,ШТАТ!$AJ:$AJ,"к/с",ШТАТ!$W:$W,"г. Белгород")</f>
        <v>61</v>
      </c>
      <c r="O4" s="392">
        <f>COUNTIFS(ШТАТ!$AL:$AL,$A4,ШТАТ!$AJ:$AJ,"с/с",ШТАТ!Z:Z,"г. Белгород")</f>
        <v>0</v>
      </c>
      <c r="P4" s="1197">
        <f t="shared" ref="P4:P12" si="2">SUM(L4:O4)</f>
        <v>67</v>
      </c>
      <c r="Q4" s="392">
        <f>COUNTIFS(ШТАТ!$AL:$AL,$A4,ШТАТ!$AJ:$AJ,"о",ШТАТ!X:X,"Выполнение специальных задач")</f>
        <v>0</v>
      </c>
      <c r="R4" s="392">
        <f>COUNTIFS(ШТАТ!$AL:$AL,$A4,ШТАТ!$AJ:$AJ,"п",ШТАТ!$X:$X,"Выполнение специальных задач")</f>
        <v>0</v>
      </c>
      <c r="S4" s="392">
        <f>COUNTIFS(ШТАТ!$AL:$AL,$A4,ШТАТ!$AJ:$AJ,"к/с",ШТАТ!$X:$X,"Выполнение специальных задач")</f>
        <v>1</v>
      </c>
      <c r="T4" s="392">
        <f>COUNTIFS(ШТАТ!$AL:$AL,$A4,ШТАТ!$AJ:$AJ,"с/с",ШТАТ!$X:$X,"Выполнение специальных задач")</f>
        <v>0</v>
      </c>
      <c r="U4" s="1197">
        <f t="shared" ref="U4:U12" si="3">SUM(Q4:T4)</f>
        <v>1</v>
      </c>
      <c r="V4" s="392">
        <f>COUNTIFS(ШТАТ!$AL:$AL,$A4,ШТАТ!$AJ:$AJ,"о",ШТАТ!$U:$U,"госп")</f>
        <v>0</v>
      </c>
      <c r="W4" s="392">
        <f>COUNTIFS(ШТАТ!$AL:$AL,$A4,ШТАТ!$AJ:$AJ,"п",ШТАТ!$U:$U,"госп")</f>
        <v>0</v>
      </c>
      <c r="X4" s="392">
        <f>COUNTIFS(ШТАТ!$AL:$AL,$A4,ШТАТ!$AJ:$AJ,"к/с",ШТАТ!$U:$U,"госп")</f>
        <v>1</v>
      </c>
      <c r="Y4" s="392">
        <f>COUNTIFS(ШТАТ!$AL:$AL,$A4,ШТАТ!$AJ:$AJ,"с/с",ШТАТ!$U:$U,"госп")</f>
        <v>0</v>
      </c>
      <c r="Z4" s="1197">
        <f t="shared" ref="Z4:Z12" si="4">SUM(V4:Y4)</f>
        <v>1</v>
      </c>
      <c r="AA4" s="392">
        <f>COUNTIFS(ШТАТ!$AL:$AL,$A4,ШТАТ!$AJ:$AJ,"о",ШТАТ!$U:$U,"Отпуск")</f>
        <v>0</v>
      </c>
      <c r="AB4" s="392">
        <f>COUNTIFS(ШТАТ!$AL:$AL,$A4,ШТАТ!$AJ:$AJ,"п",ШТАТ!$U:$U,"Отпуск")</f>
        <v>0</v>
      </c>
      <c r="AC4" s="392">
        <f>COUNTIFS(ШТАТ!$AL:$AL,$A4,ШТАТ!$AJ:$AJ,"к/с",ШТАТ!$U:$U,"Отпуск")</f>
        <v>1</v>
      </c>
      <c r="AD4" s="392">
        <f>COUNTIFS(ШТАТ!$AL:$AL,$A4,ШТАТ!$AJ:$AJ,"с/с",ШТАТ!$U:$U,"Отпуск")</f>
        <v>0</v>
      </c>
      <c r="AE4" s="1197">
        <f t="shared" ref="AE4:AE12" si="5">SUM(AA4:AD4)</f>
        <v>1</v>
      </c>
      <c r="AF4" s="392">
        <f>COUNTIFS(ШТАТ!$AL:$AL,$A4,ШТАТ!$AJ:$AJ,"о",ШТАТ!$U:$U,"СОЧ")</f>
        <v>0</v>
      </c>
      <c r="AG4" s="392">
        <f>COUNTIFS(ШТАТ!$AL:$AL,$A4,ШТАТ!$AJ:$AJ,"п",ШТАТ!$U:$U,"СОЧ")</f>
        <v>0</v>
      </c>
      <c r="AH4" s="392">
        <f>COUNTIFS(ШТАТ!$AL:$AL,$A4,ШТАТ!$AJ:$AJ,"к/с",ШТАТ!$U:$U,"СОЧ")</f>
        <v>2</v>
      </c>
      <c r="AI4" s="392">
        <f>COUNTIFS(ШТАТ!$AL:$AL,$A4,ШТАТ!$AJ:$AJ,"с/с",ШТАТ!$U:$U,"СОЧ")</f>
        <v>0</v>
      </c>
      <c r="AJ4" s="1197">
        <f t="shared" ref="AJ4:AJ12" si="6">SUM(AF4:AI4)</f>
        <v>2</v>
      </c>
    </row>
    <row r="5" spans="1:56" x14ac:dyDescent="0.25">
      <c r="A5" s="392" t="s">
        <v>332</v>
      </c>
      <c r="B5" s="392">
        <f>COUNTIFS(ШТАТ!$AL:$AL,$A5,ШТАТ!$AJ:$AJ,"о")</f>
        <v>5</v>
      </c>
      <c r="C5" s="392">
        <f>COUNTIFS(ШТАТ!$AL:$AL,$A5,ШТАТ!$AJ:$AJ,"п")</f>
        <v>2</v>
      </c>
      <c r="D5" s="392">
        <f>COUNTIFS(ШТАТ!$AL:$AL,$A5,ШТАТ!$AJ:$AJ,"к/с")</f>
        <v>69</v>
      </c>
      <c r="E5" s="392">
        <f>COUNTIFS(ШТАТ!$AL:$AL,$A5,ШТАТ!$AJ:$AJ,"с/с")</f>
        <v>0</v>
      </c>
      <c r="F5" s="1197">
        <f t="shared" si="1"/>
        <v>76</v>
      </c>
      <c r="G5" s="392">
        <f>COUNTIFS(ШТАТ!$AL:$AL,$A5,ШТАТ!$AJ:$AJ,"о",ШТАТ!$U:$U,"")</f>
        <v>0</v>
      </c>
      <c r="H5" s="392">
        <f>COUNTIFS(ШТАТ!$AL:$AL,$A5,ШТАТ!$AJ:$AJ,"п",ШТАТ!$U:$U,"")</f>
        <v>0</v>
      </c>
      <c r="I5" s="392">
        <f>COUNTIFS(ШТАТ!$AL:$AL,$A5,ШТАТ!$AJ:$AJ,"к/с",ШТАТ!$U:$U,"")</f>
        <v>5</v>
      </c>
      <c r="J5" s="392">
        <f>COUNTIFS(ШТАТ!$AL:$AL,$A5,ШТАТ!$AJ:$AJ,"с/с",ШТАТ!$U:$U,"")</f>
        <v>0</v>
      </c>
      <c r="K5" s="1197">
        <f t="shared" si="0"/>
        <v>5</v>
      </c>
      <c r="L5" s="392">
        <f>COUNTIFS(ШТАТ!$AL:$AL,$A5,ШТАТ!$AJ:$AJ,"о",ШТАТ!W:W,"г. Белгород")</f>
        <v>5</v>
      </c>
      <c r="M5" s="392">
        <f>COUNTIFS(ШТАТ!$AL:$AL,$A5,ШТАТ!$AJ:$AJ,"п",ШТАТ!$W:$W,"г. Белгород")</f>
        <v>1</v>
      </c>
      <c r="N5" s="392">
        <f>COUNTIFS(ШТАТ!$AL:$AL,$A5,ШТАТ!$AJ:$AJ,"к/с",ШТАТ!$W:$W,"г. Белгород")</f>
        <v>60</v>
      </c>
      <c r="O5" s="392">
        <f>COUNTIFS(ШТАТ!$AL:$AL,$A5,ШТАТ!$AJ:$AJ,"с/с",ШТАТ!Z:Z,"г. Белгород")</f>
        <v>0</v>
      </c>
      <c r="P5" s="1197">
        <f t="shared" si="2"/>
        <v>66</v>
      </c>
      <c r="Q5" s="392">
        <f>COUNTIFS(ШТАТ!$AL:$AL,$A5,ШТАТ!$AJ:$AJ,"о",ШТАТ!X:X,"Выполнение специальных задач")</f>
        <v>0</v>
      </c>
      <c r="R5" s="392">
        <f>COUNTIFS(ШТАТ!$AL:$AL,$A5,ШТАТ!$AJ:$AJ,"п",ШТАТ!$X:$X,"Выполнение специальных задач")</f>
        <v>0</v>
      </c>
      <c r="S5" s="392">
        <f>COUNTIFS(ШТАТ!$AL:$AL,$A5,ШТАТ!$AJ:$AJ,"к/с",ШТАТ!$X:$X,"Выполнение специальных задач")</f>
        <v>0</v>
      </c>
      <c r="T5" s="392">
        <f>COUNTIFS(ШТАТ!$AL:$AL,$A5,ШТАТ!$AJ:$AJ,"с/с",ШТАТ!$X:$X,"Выполнение специальных задач")</f>
        <v>0</v>
      </c>
      <c r="U5" s="1197">
        <f t="shared" si="3"/>
        <v>0</v>
      </c>
      <c r="V5" s="392">
        <f>COUNTIFS(ШТАТ!$AL:$AL,$A5,ШТАТ!$AJ:$AJ,"о",ШТАТ!$U:$U,"госп")</f>
        <v>0</v>
      </c>
      <c r="W5" s="392">
        <f>COUNTIFS(ШТАТ!$AL:$AL,$A5,ШТАТ!$AJ:$AJ,"п",ШТАТ!$U:$U,"госп")</f>
        <v>0</v>
      </c>
      <c r="X5" s="392">
        <f>COUNTIFS(ШТАТ!$AL:$AL,$A5,ШТАТ!$AJ:$AJ,"к/с",ШТАТ!$U:$U,"госп")</f>
        <v>0</v>
      </c>
      <c r="Y5" s="392">
        <f>COUNTIFS(ШТАТ!$AL:$AL,$A5,ШТАТ!$AJ:$AJ,"с/с",ШТАТ!$U:$U,"госп")</f>
        <v>0</v>
      </c>
      <c r="Z5" s="1197">
        <f t="shared" si="4"/>
        <v>0</v>
      </c>
      <c r="AA5" s="392">
        <f>COUNTIFS(ШТАТ!$AL:$AL,$A5,ШТАТ!$AJ:$AJ,"о",ШТАТ!$U:$U,"Отпуск")</f>
        <v>0</v>
      </c>
      <c r="AB5" s="392">
        <f>COUNTIFS(ШТАТ!$AL:$AL,$A5,ШТАТ!$AJ:$AJ,"п",ШТАТ!$U:$U,"Отпуск")</f>
        <v>0</v>
      </c>
      <c r="AC5" s="392">
        <f>COUNTIFS(ШТАТ!$AL:$AL,$A5,ШТАТ!$AJ:$AJ,"к/с",ШТАТ!$U:$U,"Отпуск")</f>
        <v>1</v>
      </c>
      <c r="AD5" s="392">
        <f>COUNTIFS(ШТАТ!$AL:$AL,$A5,ШТАТ!$AJ:$AJ,"с/с",ШТАТ!$U:$U,"Отпуск")</f>
        <v>0</v>
      </c>
      <c r="AE5" s="1197">
        <f t="shared" si="5"/>
        <v>1</v>
      </c>
      <c r="AF5" s="392">
        <f>COUNTIFS(ШТАТ!$AL:$AL,$A5,ШТАТ!$AJ:$AJ,"о",ШТАТ!$U:$U,"СОЧ")</f>
        <v>0</v>
      </c>
      <c r="AG5" s="392">
        <f>COUNTIFS(ШТАТ!$AL:$AL,$A5,ШТАТ!$AJ:$AJ,"п",ШТАТ!$U:$U,"СОЧ")</f>
        <v>0</v>
      </c>
      <c r="AH5" s="392">
        <f>COUNTIFS(ШТАТ!$AL:$AL,$A5,ШТАТ!$AJ:$AJ,"к/с",ШТАТ!$U:$U,"СОЧ")</f>
        <v>2</v>
      </c>
      <c r="AI5" s="392">
        <f>COUNTIFS(ШТАТ!$AL:$AL,$A5,ШТАТ!$AJ:$AJ,"с/с",ШТАТ!$U:$U,"СОЧ")</f>
        <v>0</v>
      </c>
      <c r="AJ5" s="1197">
        <f t="shared" si="6"/>
        <v>2</v>
      </c>
    </row>
    <row r="6" spans="1:56" x14ac:dyDescent="0.25">
      <c r="A6" s="392" t="s">
        <v>336</v>
      </c>
      <c r="B6" s="392">
        <f>COUNTIFS(ШТАТ!$AL:$AL,$A6,ШТАТ!$AJ:$AJ,"о")</f>
        <v>5</v>
      </c>
      <c r="C6" s="392">
        <f>COUNTIFS(ШТАТ!$AL:$AL,$A6,ШТАТ!$AJ:$AJ,"п")</f>
        <v>2</v>
      </c>
      <c r="D6" s="392">
        <f>COUNTIFS(ШТАТ!$AL:$AL,$A6,ШТАТ!$AJ:$AJ,"к/с")</f>
        <v>68</v>
      </c>
      <c r="E6" s="392">
        <f>COUNTIFS(ШТАТ!$AL:$AL,$A6,ШТАТ!$AJ:$AJ,"с/с")</f>
        <v>0</v>
      </c>
      <c r="F6" s="1197">
        <f t="shared" si="1"/>
        <v>75</v>
      </c>
      <c r="G6" s="392">
        <f>COUNTIFS(ШТАТ!$AL:$AL,$A6,ШТАТ!$AJ:$AJ,"о",ШТАТ!$U:$U,"")</f>
        <v>0</v>
      </c>
      <c r="H6" s="392">
        <f>COUNTIFS(ШТАТ!$AL:$AL,$A6,ШТАТ!$AJ:$AJ,"п",ШТАТ!$U:$U,"")</f>
        <v>0</v>
      </c>
      <c r="I6" s="392">
        <f>COUNTIFS(ШТАТ!$AL:$AL,$A6,ШТАТ!$AJ:$AJ,"к/с",ШТАТ!$U:$U,"")</f>
        <v>7</v>
      </c>
      <c r="J6" s="392">
        <f>COUNTIFS(ШТАТ!$AL:$AL,$A6,ШТАТ!$AJ:$AJ,"с/с",ШТАТ!$U:$U,"")</f>
        <v>0</v>
      </c>
      <c r="K6" s="1197">
        <f t="shared" si="0"/>
        <v>7</v>
      </c>
      <c r="L6" s="392">
        <f>COUNTIFS(ШТАТ!$AL:$AL,$A6,ШТАТ!$AJ:$AJ,"о",ШТАТ!W:W,"г. Белгород")</f>
        <v>4</v>
      </c>
      <c r="M6" s="392">
        <f>COUNTIFS(ШТАТ!$AL:$AL,$A6,ШТАТ!$AJ:$AJ,"п",ШТАТ!$W:$W,"г. Белгород")</f>
        <v>1</v>
      </c>
      <c r="N6" s="392">
        <f>COUNTIFS(ШТАТ!$AL:$AL,$A6,ШТАТ!$AJ:$AJ,"к/с",ШТАТ!$W:$W,"г. Белгород")</f>
        <v>55</v>
      </c>
      <c r="O6" s="392">
        <f>COUNTIFS(ШТАТ!$AL:$AL,$A6,ШТАТ!$AJ:$AJ,"с/с",ШТАТ!Z:Z,"г. Белгород")</f>
        <v>0</v>
      </c>
      <c r="P6" s="1197">
        <f t="shared" si="2"/>
        <v>60</v>
      </c>
      <c r="Q6" s="392">
        <f>COUNTIFS(ШТАТ!$AL:$AL,$A6,ШТАТ!$AJ:$AJ,"о",ШТАТ!X:X,"Выполнение специальных задач")</f>
        <v>1</v>
      </c>
      <c r="R6" s="392">
        <f>COUNTIFS(ШТАТ!$AL:$AL,$A6,ШТАТ!$AJ:$AJ,"п",ШТАТ!$X:$X,"Выполнение специальных задач")</f>
        <v>1</v>
      </c>
      <c r="S6" s="392">
        <f>COUNTIFS(ШТАТ!$AL:$AL,$A6,ШТАТ!$AJ:$AJ,"к/с",ШТАТ!$X:$X,"Выполнение специальных задач")</f>
        <v>2</v>
      </c>
      <c r="T6" s="392">
        <f>COUNTIFS(ШТАТ!$AL:$AL,$A6,ШТАТ!$AJ:$AJ,"с/с",ШТАТ!$X:$X,"Выполнение специальных задач")</f>
        <v>0</v>
      </c>
      <c r="U6" s="1197">
        <f t="shared" si="3"/>
        <v>4</v>
      </c>
      <c r="V6" s="392">
        <f>COUNTIFS(ШТАТ!$AL:$AL,$A6,ШТАТ!$AJ:$AJ,"о",ШТАТ!$U:$U,"госп")</f>
        <v>0</v>
      </c>
      <c r="W6" s="392">
        <f>COUNTIFS(ШТАТ!$AL:$AL,$A6,ШТАТ!$AJ:$AJ,"п",ШТАТ!$U:$U,"госп")</f>
        <v>0</v>
      </c>
      <c r="X6" s="392">
        <f>COUNTIFS(ШТАТ!$AL:$AL,$A6,ШТАТ!$AJ:$AJ,"к/с",ШТАТ!$U:$U,"госп")</f>
        <v>0</v>
      </c>
      <c r="Y6" s="392">
        <f>COUNTIFS(ШТАТ!$AL:$AL,$A6,ШТАТ!$AJ:$AJ,"с/с",ШТАТ!$U:$U,"госп")</f>
        <v>0</v>
      </c>
      <c r="Z6" s="1197">
        <f t="shared" si="4"/>
        <v>0</v>
      </c>
      <c r="AA6" s="392">
        <f>COUNTIFS(ШТАТ!$AL:$AL,$A6,ШТАТ!$AJ:$AJ,"о",ШТАТ!$U:$U,"Отпуск")</f>
        <v>0</v>
      </c>
      <c r="AB6" s="392">
        <f>COUNTIFS(ШТАТ!$AL:$AL,$A6,ШТАТ!$AJ:$AJ,"п",ШТАТ!$U:$U,"Отпуск")</f>
        <v>0</v>
      </c>
      <c r="AC6" s="392">
        <f>COUNTIFS(ШТАТ!$AL:$AL,$A6,ШТАТ!$AJ:$AJ,"к/с",ШТАТ!$U:$U,"Отпуск")</f>
        <v>0</v>
      </c>
      <c r="AD6" s="392">
        <f>COUNTIFS(ШТАТ!$AL:$AL,$A6,ШТАТ!$AJ:$AJ,"с/с",ШТАТ!$U:$U,"Отпуск")</f>
        <v>0</v>
      </c>
      <c r="AE6" s="1197">
        <f t="shared" si="5"/>
        <v>0</v>
      </c>
      <c r="AF6" s="392">
        <f>COUNTIFS(ШТАТ!$AL:$AL,$A6,ШТАТ!$AJ:$AJ,"о",ШТАТ!$U:$U,"СОЧ")</f>
        <v>0</v>
      </c>
      <c r="AG6" s="392">
        <f>COUNTIFS(ШТАТ!$AL:$AL,$A6,ШТАТ!$AJ:$AJ,"п",ШТАТ!$U:$U,"СОЧ")</f>
        <v>0</v>
      </c>
      <c r="AH6" s="392">
        <f>COUNTIFS(ШТАТ!$AL:$AL,$A6,ШТАТ!$AJ:$AJ,"к/с",ШТАТ!$U:$U,"СОЧ")</f>
        <v>0</v>
      </c>
      <c r="AI6" s="392">
        <f>COUNTIFS(ШТАТ!$AL:$AL,$A6,ШТАТ!$AJ:$AJ,"с/с",ШТАТ!$U:$U,"СОЧ")</f>
        <v>0</v>
      </c>
      <c r="AJ6" s="1197">
        <f t="shared" si="6"/>
        <v>0</v>
      </c>
    </row>
    <row r="7" spans="1:56" x14ac:dyDescent="0.25">
      <c r="A7" s="392" t="s">
        <v>341</v>
      </c>
      <c r="B7" s="392">
        <f>COUNTIFS(ШТАТ!$AL:$AL,$A7,ШТАТ!$AJ:$AJ,"о")</f>
        <v>4</v>
      </c>
      <c r="C7" s="392">
        <f>COUNTIFS(ШТАТ!$AL:$AL,$A7,ШТАТ!$AJ:$AJ,"п")</f>
        <v>0</v>
      </c>
      <c r="D7" s="392">
        <f>COUNTIFS(ШТАТ!$AL:$AL,$A7,ШТАТ!$AJ:$AJ,"к/с")</f>
        <v>39</v>
      </c>
      <c r="E7" s="392">
        <f>COUNTIFS(ШТАТ!$AL:$AL,$A7,ШТАТ!$AJ:$AJ,"с/с")</f>
        <v>0</v>
      </c>
      <c r="F7" s="1197">
        <f t="shared" si="1"/>
        <v>43</v>
      </c>
      <c r="G7" s="392">
        <f>COUNTIFS(ШТАТ!$AL:$AL,$A7,ШТАТ!$AJ:$AJ,"о",ШТАТ!$U:$U,"")</f>
        <v>1</v>
      </c>
      <c r="H7" s="392">
        <f>COUNTIFS(ШТАТ!$AL:$AL,$A7,ШТАТ!$AJ:$AJ,"п",ШТАТ!$U:$U,"")</f>
        <v>0</v>
      </c>
      <c r="I7" s="392">
        <f>COUNTIFS(ШТАТ!$AL:$AL,$A7,ШТАТ!$AJ:$AJ,"к/с",ШТАТ!$U:$U,"")</f>
        <v>1</v>
      </c>
      <c r="J7" s="392">
        <f>COUNTIFS(ШТАТ!$AL:$AL,$A7,ШТАТ!$AJ:$AJ,"с/с",ШТАТ!$U:$U,"")</f>
        <v>0</v>
      </c>
      <c r="K7" s="1197">
        <f t="shared" si="0"/>
        <v>2</v>
      </c>
      <c r="L7" s="392">
        <f>COUNTIFS(ШТАТ!$AL:$AL,$A7,ШТАТ!$AJ:$AJ,"о",ШТАТ!W:W,"г. Белгород")</f>
        <v>3</v>
      </c>
      <c r="M7" s="392">
        <f>COUNTIFS(ШТАТ!$AL:$AL,$A7,ШТАТ!$AJ:$AJ,"п",ШТАТ!$W:$W,"г. Белгород")</f>
        <v>0</v>
      </c>
      <c r="N7" s="392">
        <f>COUNTIFS(ШТАТ!$AL:$AL,$A7,ШТАТ!$AJ:$AJ,"к/с",ШТАТ!$W:$W,"г. Белгород")</f>
        <v>32</v>
      </c>
      <c r="O7" s="392">
        <f>COUNTIFS(ШТАТ!$AL:$AL,$A7,ШТАТ!$AJ:$AJ,"с/с",ШТАТ!Z:Z,"г. Белгород")</f>
        <v>0</v>
      </c>
      <c r="P7" s="1197">
        <f t="shared" si="2"/>
        <v>35</v>
      </c>
      <c r="Q7" s="392">
        <f>COUNTIFS(ШТАТ!$AL:$AL,$A7,ШТАТ!$AJ:$AJ,"о",ШТАТ!X:X,"Выполнение специальных задач")</f>
        <v>0</v>
      </c>
      <c r="R7" s="392">
        <f>COUNTIFS(ШТАТ!$AL:$AL,$A7,ШТАТ!$AJ:$AJ,"п",ШТАТ!$X:$X,"Выполнение специальных задач")</f>
        <v>0</v>
      </c>
      <c r="S7" s="392">
        <f>COUNTIFS(ШТАТ!$AL:$AL,$A7,ШТАТ!$AJ:$AJ,"к/с",ШТАТ!$X:$X,"Выполнение специальных задач")</f>
        <v>1</v>
      </c>
      <c r="T7" s="392">
        <f>COUNTIFS(ШТАТ!$AL:$AL,$A7,ШТАТ!$AJ:$AJ,"с/с",ШТАТ!$X:$X,"Выполнение специальных задач")</f>
        <v>0</v>
      </c>
      <c r="U7" s="1197">
        <f t="shared" si="3"/>
        <v>1</v>
      </c>
      <c r="V7" s="392">
        <f>COUNTIFS(ШТАТ!$AL:$AL,$A7,ШТАТ!$AJ:$AJ,"о",ШТАТ!$U:$U,"госп")</f>
        <v>0</v>
      </c>
      <c r="W7" s="392">
        <f>COUNTIFS(ШТАТ!$AL:$AL,$A7,ШТАТ!$AJ:$AJ,"п",ШТАТ!$U:$U,"госп")</f>
        <v>0</v>
      </c>
      <c r="X7" s="392">
        <f>COUNTIFS(ШТАТ!$AL:$AL,$A7,ШТАТ!$AJ:$AJ,"к/с",ШТАТ!$U:$U,"госп")</f>
        <v>0</v>
      </c>
      <c r="Y7" s="392">
        <f>COUNTIFS(ШТАТ!$AL:$AL,$A7,ШТАТ!$AJ:$AJ,"с/с",ШТАТ!$U:$U,"госп")</f>
        <v>0</v>
      </c>
      <c r="Z7" s="1197">
        <f t="shared" si="4"/>
        <v>0</v>
      </c>
      <c r="AA7" s="392">
        <f>COUNTIFS(ШТАТ!$AL:$AL,$A7,ШТАТ!$AJ:$AJ,"о",ШТАТ!$U:$U,"Отпуск")</f>
        <v>0</v>
      </c>
      <c r="AB7" s="392">
        <f>COUNTIFS(ШТАТ!$AL:$AL,$A7,ШТАТ!$AJ:$AJ,"п",ШТАТ!$U:$U,"Отпуск")</f>
        <v>0</v>
      </c>
      <c r="AC7" s="392">
        <f>COUNTIFS(ШТАТ!$AL:$AL,$A7,ШТАТ!$AJ:$AJ,"к/с",ШТАТ!$U:$U,"Отпуск")</f>
        <v>1</v>
      </c>
      <c r="AD7" s="392">
        <f>COUNTIFS(ШТАТ!$AL:$AL,$A7,ШТАТ!$AJ:$AJ,"с/с",ШТАТ!$U:$U,"Отпуск")</f>
        <v>0</v>
      </c>
      <c r="AE7" s="1197">
        <f t="shared" si="5"/>
        <v>1</v>
      </c>
      <c r="AF7" s="392">
        <f>COUNTIFS(ШТАТ!$AL:$AL,$A7,ШТАТ!$AJ:$AJ,"о",ШТАТ!$U:$U,"СОЧ")</f>
        <v>0</v>
      </c>
      <c r="AG7" s="392">
        <f>COUNTIFS(ШТАТ!$AL:$AL,$A7,ШТАТ!$AJ:$AJ,"п",ШТАТ!$U:$U,"СОЧ")</f>
        <v>0</v>
      </c>
      <c r="AH7" s="392">
        <f>COUNTIFS(ШТАТ!$AL:$AL,$A7,ШТАТ!$AJ:$AJ,"к/с",ШТАТ!$U:$U,"СОЧ")</f>
        <v>2</v>
      </c>
      <c r="AI7" s="392">
        <f>COUNTIFS(ШТАТ!$AL:$AL,$A7,ШТАТ!$AJ:$AJ,"с/с",ШТАТ!$U:$U,"СОЧ")</f>
        <v>0</v>
      </c>
      <c r="AJ7" s="1197">
        <f t="shared" si="6"/>
        <v>2</v>
      </c>
    </row>
    <row r="8" spans="1:56" x14ac:dyDescent="0.25">
      <c r="A8" s="392" t="s">
        <v>379</v>
      </c>
      <c r="B8" s="392">
        <f>COUNTIFS(ШТАТ!$AL:$AL,$A8,ШТАТ!$AJ:$AJ,"о")</f>
        <v>1</v>
      </c>
      <c r="C8" s="392">
        <f>COUNTIFS(ШТАТ!$AL:$AL,$A8,ШТАТ!$AJ:$AJ,"п")</f>
        <v>0</v>
      </c>
      <c r="D8" s="392">
        <f>COUNTIFS(ШТАТ!$AL:$AL,$A8,ШТАТ!$AJ:$AJ,"к/с")</f>
        <v>18</v>
      </c>
      <c r="E8" s="392">
        <f>COUNTIFS(ШТАТ!$AL:$AL,$A8,ШТАТ!$AJ:$AJ,"с/с")</f>
        <v>0</v>
      </c>
      <c r="F8" s="1197">
        <f t="shared" si="1"/>
        <v>19</v>
      </c>
      <c r="G8" s="392">
        <f>COUNTIFS(ШТАТ!$AL:$AL,$A8,ШТАТ!$AJ:$AJ,"о",ШТАТ!$U:$U,"")</f>
        <v>0</v>
      </c>
      <c r="H8" s="392">
        <f>COUNTIFS(ШТАТ!$AL:$AL,$A8,ШТАТ!$AJ:$AJ,"п",ШТАТ!$U:$U,"")</f>
        <v>0</v>
      </c>
      <c r="I8" s="392">
        <f>COUNTIFS(ШТАТ!$AL:$AL,$A8,ШТАТ!$AJ:$AJ,"к/с",ШТАТ!$U:$U,"")</f>
        <v>1</v>
      </c>
      <c r="J8" s="392">
        <f>COUNTIFS(ШТАТ!$AL:$AL,$A8,ШТАТ!$AJ:$AJ,"с/с",ШТАТ!$U:$U,"")</f>
        <v>0</v>
      </c>
      <c r="K8" s="1197">
        <f t="shared" si="0"/>
        <v>1</v>
      </c>
      <c r="L8" s="392">
        <f>COUNTIFS(ШТАТ!$AL:$AL,$A8,ШТАТ!$AJ:$AJ,"о",ШТАТ!W:W,"г. Белгород")</f>
        <v>1</v>
      </c>
      <c r="M8" s="392">
        <f>COUNTIFS(ШТАТ!$AL:$AL,$A8,ШТАТ!$AJ:$AJ,"п",ШТАТ!$W:$W,"г. Белгород")</f>
        <v>0</v>
      </c>
      <c r="N8" s="392">
        <f>COUNTIFS(ШТАТ!$AL:$AL,$A8,ШТАТ!$AJ:$AJ,"к/с",ШТАТ!$W:$W,"г. Белгород")</f>
        <v>15</v>
      </c>
      <c r="O8" s="392">
        <f>COUNTIFS(ШТАТ!$AL:$AL,$A8,ШТАТ!$AJ:$AJ,"с/с",ШТАТ!Z:Z,"г. Белгород")</f>
        <v>0</v>
      </c>
      <c r="P8" s="1197">
        <f t="shared" si="2"/>
        <v>16</v>
      </c>
      <c r="Q8" s="392">
        <f>COUNTIFS(ШТАТ!$AL:$AL,$A8,ШТАТ!$AJ:$AJ,"о",ШТАТ!X:X,"Выполнение специальных задач")</f>
        <v>0</v>
      </c>
      <c r="R8" s="392">
        <f>COUNTIFS(ШТАТ!$AL:$AL,$A8,ШТАТ!$AJ:$AJ,"п",ШТАТ!$X:$X,"Выполнение специальных задач")</f>
        <v>0</v>
      </c>
      <c r="S8" s="392">
        <f>COUNTIFS(ШТАТ!$AL:$AL,$A8,ШТАТ!$AJ:$AJ,"к/с",ШТАТ!$X:$X,"Выполнение специальных задач")</f>
        <v>0</v>
      </c>
      <c r="T8" s="392">
        <f>COUNTIFS(ШТАТ!$AL:$AL,$A8,ШТАТ!$AJ:$AJ,"с/с",ШТАТ!$X:$X,"Выполнение специальных задач")</f>
        <v>0</v>
      </c>
      <c r="U8" s="1197">
        <f t="shared" si="3"/>
        <v>0</v>
      </c>
      <c r="V8" s="392">
        <f>COUNTIFS(ШТАТ!$AL:$AL,$A8,ШТАТ!$AJ:$AJ,"о",ШТАТ!$U:$U,"госп")</f>
        <v>0</v>
      </c>
      <c r="W8" s="392">
        <f>COUNTIFS(ШТАТ!$AL:$AL,$A8,ШТАТ!$AJ:$AJ,"п",ШТАТ!$U:$U,"госп")</f>
        <v>0</v>
      </c>
      <c r="X8" s="392">
        <f>COUNTIFS(ШТАТ!$AL:$AL,$A8,ШТАТ!$AJ:$AJ,"к/с",ШТАТ!$U:$U,"госп")</f>
        <v>0</v>
      </c>
      <c r="Y8" s="392">
        <f>COUNTIFS(ШТАТ!$AL:$AL,$A8,ШТАТ!$AJ:$AJ,"с/с",ШТАТ!$U:$U,"госп")</f>
        <v>0</v>
      </c>
      <c r="Z8" s="1197">
        <f t="shared" si="4"/>
        <v>0</v>
      </c>
      <c r="AA8" s="392">
        <f>COUNTIFS(ШТАТ!$AL:$AL,$A8,ШТАТ!$AJ:$AJ,"о",ШТАТ!$U:$U,"Отпуск")</f>
        <v>0</v>
      </c>
      <c r="AB8" s="392">
        <f>COUNTIFS(ШТАТ!$AL:$AL,$A8,ШТАТ!$AJ:$AJ,"п",ШТАТ!$U:$U,"Отпуск")</f>
        <v>0</v>
      </c>
      <c r="AC8" s="392">
        <f>COUNTIFS(ШТАТ!$AL:$AL,$A8,ШТАТ!$AJ:$AJ,"к/с",ШТАТ!$U:$U,"Отпуск")</f>
        <v>0</v>
      </c>
      <c r="AD8" s="392">
        <f>COUNTIFS(ШТАТ!$AL:$AL,$A8,ШТАТ!$AJ:$AJ,"с/с",ШТАТ!$U:$U,"Отпуск")</f>
        <v>0</v>
      </c>
      <c r="AE8" s="1197">
        <f t="shared" si="5"/>
        <v>0</v>
      </c>
      <c r="AF8" s="392">
        <f>COUNTIFS(ШТАТ!$AL:$AL,$A8,ШТАТ!$AJ:$AJ,"о",ШТАТ!$U:$U,"СОЧ")</f>
        <v>0</v>
      </c>
      <c r="AG8" s="392">
        <f>COUNTIFS(ШТАТ!$AL:$AL,$A8,ШТАТ!$AJ:$AJ,"п",ШТАТ!$U:$U,"СОЧ")</f>
        <v>0</v>
      </c>
      <c r="AH8" s="392">
        <f>COUNTIFS(ШТАТ!$AL:$AL,$A8,ШТАТ!$AJ:$AJ,"к/с",ШТАТ!$U:$U,"СОЧ")</f>
        <v>1</v>
      </c>
      <c r="AI8" s="392">
        <f>COUNTIFS(ШТАТ!$AL:$AL,$A8,ШТАТ!$AJ:$AJ,"с/с",ШТАТ!$U:$U,"СОЧ")</f>
        <v>0</v>
      </c>
      <c r="AJ8" s="1197">
        <f t="shared" si="6"/>
        <v>1</v>
      </c>
    </row>
    <row r="9" spans="1:56" x14ac:dyDescent="0.25">
      <c r="A9" s="392" t="s">
        <v>394</v>
      </c>
      <c r="B9" s="392">
        <f>COUNTIFS(ШТАТ!$AL:$AL,$A9,ШТАТ!$AJ:$AJ,"о")</f>
        <v>1</v>
      </c>
      <c r="C9" s="392">
        <f>COUNTIFS(ШТАТ!$AL:$AL,$A9,ШТАТ!$AJ:$AJ,"п")</f>
        <v>0</v>
      </c>
      <c r="D9" s="392">
        <f>COUNTIFS(ШТАТ!$AL:$AL,$A9,ШТАТ!$AJ:$AJ,"к/с")</f>
        <v>5</v>
      </c>
      <c r="E9" s="392">
        <f>COUNTIFS(ШТАТ!$AL:$AL,$A9,ШТАТ!$AJ:$AJ,"с/с")</f>
        <v>0</v>
      </c>
      <c r="F9" s="1197">
        <f t="shared" si="1"/>
        <v>6</v>
      </c>
      <c r="G9" s="392">
        <f>COUNTIFS(ШТАТ!$AL:$AL,$A9,ШТАТ!$AJ:$AJ,"о",ШТАТ!$U:$U,"")</f>
        <v>0</v>
      </c>
      <c r="H9" s="392">
        <f>COUNTIFS(ШТАТ!$AL:$AL,$A9,ШТАТ!$AJ:$AJ,"п",ШТАТ!$U:$U,"")</f>
        <v>0</v>
      </c>
      <c r="I9" s="392">
        <f>COUNTIFS(ШТАТ!$AL:$AL,$A9,ШТАТ!$AJ:$AJ,"к/с",ШТАТ!$U:$U,"")</f>
        <v>0</v>
      </c>
      <c r="J9" s="392">
        <f>COUNTIFS(ШТАТ!$AL:$AL,$A9,ШТАТ!$AJ:$AJ,"с/с",ШТАТ!$U:$U,"")</f>
        <v>0</v>
      </c>
      <c r="K9" s="1197">
        <f t="shared" si="0"/>
        <v>0</v>
      </c>
      <c r="L9" s="392">
        <f>COUNTIFS(ШТАТ!$AL:$AL,$A9,ШТАТ!$AJ:$AJ,"о",ШТАТ!W:W,"г. Белгород")</f>
        <v>1</v>
      </c>
      <c r="M9" s="392">
        <f>COUNTIFS(ШТАТ!$AL:$AL,$A9,ШТАТ!$AJ:$AJ,"п",ШТАТ!$W:$W,"г. Белгород")</f>
        <v>0</v>
      </c>
      <c r="N9" s="392">
        <f>COUNTIFS(ШТАТ!$AL:$AL,$A9,ШТАТ!$AJ:$AJ,"к/с",ШТАТ!$W:$W,"г. Белгород")</f>
        <v>3</v>
      </c>
      <c r="O9" s="392">
        <f>COUNTIFS(ШТАТ!$AL:$AL,$A9,ШТАТ!$AJ:$AJ,"с/с",ШТАТ!Z:Z,"г. Белгород")</f>
        <v>0</v>
      </c>
      <c r="P9" s="1197">
        <f t="shared" si="2"/>
        <v>4</v>
      </c>
      <c r="Q9" s="392">
        <f>COUNTIFS(ШТАТ!$AL:$AL,$A9,ШТАТ!$AJ:$AJ,"о",ШТАТ!X:X,"Выполнение специальных задач")</f>
        <v>0</v>
      </c>
      <c r="R9" s="392">
        <f>COUNTIFS(ШТАТ!$AL:$AL,$A9,ШТАТ!$AJ:$AJ,"п",ШТАТ!$X:$X,"Выполнение специальных задач")</f>
        <v>0</v>
      </c>
      <c r="S9" s="392">
        <f>COUNTIFS(ШТАТ!$AL:$AL,$A9,ШТАТ!$AJ:$AJ,"к/с",ШТАТ!$X:$X,"Выполнение специальных задач")</f>
        <v>0</v>
      </c>
      <c r="T9" s="392">
        <f>COUNTIFS(ШТАТ!$AL:$AL,$A9,ШТАТ!$AJ:$AJ,"с/с",ШТАТ!$X:$X,"Выполнение специальных задач")</f>
        <v>0</v>
      </c>
      <c r="U9" s="1197">
        <f t="shared" si="3"/>
        <v>0</v>
      </c>
      <c r="V9" s="392">
        <f>COUNTIFS(ШТАТ!$AL:$AL,$A9,ШТАТ!$AJ:$AJ,"о",ШТАТ!$U:$U,"госп")</f>
        <v>0</v>
      </c>
      <c r="W9" s="392">
        <f>COUNTIFS(ШТАТ!$AL:$AL,$A9,ШТАТ!$AJ:$AJ,"п",ШТАТ!$U:$U,"госп")</f>
        <v>0</v>
      </c>
      <c r="X9" s="392">
        <f>COUNTIFS(ШТАТ!$AL:$AL,$A9,ШТАТ!$AJ:$AJ,"к/с",ШТАТ!$U:$U,"госп")</f>
        <v>1</v>
      </c>
      <c r="Y9" s="392">
        <f>COUNTIFS(ШТАТ!$AL:$AL,$A9,ШТАТ!$AJ:$AJ,"с/с",ШТАТ!$U:$U,"госп")</f>
        <v>0</v>
      </c>
      <c r="Z9" s="1197">
        <f t="shared" si="4"/>
        <v>1</v>
      </c>
      <c r="AA9" s="392">
        <f>COUNTIFS(ШТАТ!$AL:$AL,$A9,ШТАТ!$AJ:$AJ,"о",ШТАТ!$U:$U,"Отпуск")</f>
        <v>0</v>
      </c>
      <c r="AB9" s="392">
        <f>COUNTIFS(ШТАТ!$AL:$AL,$A9,ШТАТ!$AJ:$AJ,"п",ШТАТ!$U:$U,"Отпуск")</f>
        <v>0</v>
      </c>
      <c r="AC9" s="392">
        <f>COUNTIFS(ШТАТ!$AL:$AL,$A9,ШТАТ!$AJ:$AJ,"к/с",ШТАТ!$U:$U,"Отпуск")</f>
        <v>0</v>
      </c>
      <c r="AD9" s="392">
        <f>COUNTIFS(ШТАТ!$AL:$AL,$A9,ШТАТ!$AJ:$AJ,"с/с",ШТАТ!$U:$U,"Отпуск")</f>
        <v>0</v>
      </c>
      <c r="AE9" s="1197">
        <f t="shared" si="5"/>
        <v>0</v>
      </c>
      <c r="AF9" s="392">
        <f>COUNTIFS(ШТАТ!$AL:$AL,$A9,ШТАТ!$AJ:$AJ,"о",ШТАТ!$U:$U,"СОЧ")</f>
        <v>0</v>
      </c>
      <c r="AG9" s="392">
        <f>COUNTIFS(ШТАТ!$AL:$AL,$A9,ШТАТ!$AJ:$AJ,"п",ШТАТ!$U:$U,"СОЧ")</f>
        <v>0</v>
      </c>
      <c r="AH9" s="392">
        <f>COUNTIFS(ШТАТ!$AL:$AL,$A9,ШТАТ!$AJ:$AJ,"к/с",ШТАТ!$U:$U,"СОЧ")</f>
        <v>1</v>
      </c>
      <c r="AI9" s="392">
        <f>COUNTIFS(ШТАТ!$AL:$AL,$A9,ШТАТ!$AJ:$AJ,"с/с",ШТАТ!$U:$U,"СОЧ")</f>
        <v>0</v>
      </c>
      <c r="AJ9" s="1197">
        <f t="shared" si="6"/>
        <v>1</v>
      </c>
    </row>
    <row r="10" spans="1:56" x14ac:dyDescent="0.25">
      <c r="A10" s="392" t="s">
        <v>405</v>
      </c>
      <c r="B10" s="392">
        <f>COUNTIFS(ШТАТ!$AL:$AL,$A10,ШТАТ!$AJ:$AJ,"о")</f>
        <v>1</v>
      </c>
      <c r="C10" s="392">
        <f>COUNTIFS(ШТАТ!$AL:$AL,$A10,ШТАТ!$AJ:$AJ,"п")</f>
        <v>0</v>
      </c>
      <c r="D10" s="392">
        <f>COUNTIFS(ШТАТ!$AL:$AL,$A10,ШТАТ!$AJ:$AJ,"к/с")</f>
        <v>12</v>
      </c>
      <c r="E10" s="392">
        <f>COUNTIFS(ШТАТ!$AL:$AL,$A10,ШТАТ!$AJ:$AJ,"с/с")</f>
        <v>0</v>
      </c>
      <c r="F10" s="1197">
        <f t="shared" si="1"/>
        <v>13</v>
      </c>
      <c r="G10" s="392">
        <f>COUNTIFS(ШТАТ!$AL:$AL,$A10,ШТАТ!$AJ:$AJ,"о",ШТАТ!$U:$U,"")</f>
        <v>0</v>
      </c>
      <c r="H10" s="392">
        <f>COUNTIFS(ШТАТ!$AL:$AL,$A10,ШТАТ!$AJ:$AJ,"п",ШТАТ!$U:$U,"")</f>
        <v>0</v>
      </c>
      <c r="I10" s="392">
        <f>COUNTIFS(ШТАТ!$AL:$AL,$A10,ШТАТ!$AJ:$AJ,"к/с",ШТАТ!$U:$U,"")</f>
        <v>0</v>
      </c>
      <c r="J10" s="392">
        <f>COUNTIFS(ШТАТ!$AL:$AL,$A10,ШТАТ!$AJ:$AJ,"с/с",ШТАТ!$U:$U,"")</f>
        <v>0</v>
      </c>
      <c r="K10" s="1197">
        <f t="shared" si="0"/>
        <v>0</v>
      </c>
      <c r="L10" s="392">
        <f>COUNTIFS(ШТАТ!$AL:$AL,$A10,ШТАТ!$AJ:$AJ,"о",ШТАТ!W:W,"г. Белгород")</f>
        <v>1</v>
      </c>
      <c r="M10" s="392">
        <f>COUNTIFS(ШТАТ!$AL:$AL,$A10,ШТАТ!$AJ:$AJ,"п",ШТАТ!$W:$W,"г. Белгород")</f>
        <v>0</v>
      </c>
      <c r="N10" s="392">
        <f>COUNTIFS(ШТАТ!$AL:$AL,$A10,ШТАТ!$AJ:$AJ,"к/с",ШТАТ!$W:$W,"г. Белгород")</f>
        <v>9</v>
      </c>
      <c r="O10" s="392">
        <f>COUNTIFS(ШТАТ!$AL:$AL,$A10,ШТАТ!$AJ:$AJ,"с/с",ШТАТ!Z:Z,"г. Белгород")</f>
        <v>0</v>
      </c>
      <c r="P10" s="1197">
        <f t="shared" si="2"/>
        <v>10</v>
      </c>
      <c r="Q10" s="392">
        <f>COUNTIFS(ШТАТ!$AL:$AL,$A10,ШТАТ!$AJ:$AJ,"о",ШТАТ!X:X,"Выполнение специальных задач")</f>
        <v>0</v>
      </c>
      <c r="R10" s="392">
        <f>COUNTIFS(ШТАТ!$AL:$AL,$A10,ШТАТ!$AJ:$AJ,"п",ШТАТ!$X:$X,"Выполнение специальных задач")</f>
        <v>0</v>
      </c>
      <c r="S10" s="392">
        <f>COUNTIFS(ШТАТ!$AL:$AL,$A10,ШТАТ!$AJ:$AJ,"к/с",ШТАТ!$X:$X,"Выполнение специальных задач")</f>
        <v>1</v>
      </c>
      <c r="T10" s="392">
        <f>COUNTIFS(ШТАТ!$AL:$AL,$A10,ШТАТ!$AJ:$AJ,"с/с",ШТАТ!$X:$X,"Выполнение специальных задач")</f>
        <v>0</v>
      </c>
      <c r="U10" s="1197">
        <f t="shared" si="3"/>
        <v>1</v>
      </c>
      <c r="V10" s="392">
        <f>COUNTIFS(ШТАТ!$AL:$AL,$A10,ШТАТ!$AJ:$AJ,"о",ШТАТ!$U:$U,"госп")</f>
        <v>0</v>
      </c>
      <c r="W10" s="392">
        <f>COUNTIFS(ШТАТ!$AL:$AL,$A10,ШТАТ!$AJ:$AJ,"п",ШТАТ!$U:$U,"госп")</f>
        <v>0</v>
      </c>
      <c r="X10" s="392">
        <f>COUNTIFS(ШТАТ!$AL:$AL,$A10,ШТАТ!$AJ:$AJ,"к/с",ШТАТ!$U:$U,"госп")</f>
        <v>0</v>
      </c>
      <c r="Y10" s="392">
        <f>COUNTIFS(ШТАТ!$AL:$AL,$A10,ШТАТ!$AJ:$AJ,"с/с",ШТАТ!$U:$U,"госп")</f>
        <v>0</v>
      </c>
      <c r="Z10" s="1197">
        <f t="shared" si="4"/>
        <v>0</v>
      </c>
      <c r="AA10" s="392">
        <f>COUNTIFS(ШТАТ!$AL:$AL,$A10,ШТАТ!$AJ:$AJ,"о",ШТАТ!$U:$U,"Отпуск")</f>
        <v>0</v>
      </c>
      <c r="AB10" s="392">
        <f>COUNTIFS(ШТАТ!$AL:$AL,$A10,ШТАТ!$AJ:$AJ,"п",ШТАТ!$U:$U,"Отпуск")</f>
        <v>0</v>
      </c>
      <c r="AC10" s="392">
        <f>COUNTIFS(ШТАТ!$AL:$AL,$A10,ШТАТ!$AJ:$AJ,"к/с",ШТАТ!$U:$U,"Отпуск")</f>
        <v>1</v>
      </c>
      <c r="AD10" s="392">
        <f>COUNTIFS(ШТАТ!$AL:$AL,$A10,ШТАТ!$AJ:$AJ,"с/с",ШТАТ!$U:$U,"Отпуск")</f>
        <v>0</v>
      </c>
      <c r="AE10" s="1197">
        <f t="shared" si="5"/>
        <v>1</v>
      </c>
      <c r="AF10" s="392">
        <f>COUNTIFS(ШТАТ!$AL:$AL,$A10,ШТАТ!$AJ:$AJ,"о",ШТАТ!$U:$U,"СОЧ")</f>
        <v>0</v>
      </c>
      <c r="AG10" s="392">
        <f>COUNTIFS(ШТАТ!$AL:$AL,$A10,ШТАТ!$AJ:$AJ,"п",ШТАТ!$U:$U,"СОЧ")</f>
        <v>0</v>
      </c>
      <c r="AH10" s="392">
        <f>COUNTIFS(ШТАТ!$AL:$AL,$A10,ШТАТ!$AJ:$AJ,"к/с",ШТАТ!$U:$U,"СОЧ")</f>
        <v>1</v>
      </c>
      <c r="AI10" s="392">
        <f>COUNTIFS(ШТАТ!$AL:$AL,$A10,ШТАТ!$AJ:$AJ,"с/с",ШТАТ!$U:$U,"СОЧ")</f>
        <v>0</v>
      </c>
      <c r="AJ10" s="1197">
        <f t="shared" si="6"/>
        <v>1</v>
      </c>
    </row>
    <row r="11" spans="1:56" x14ac:dyDescent="0.25">
      <c r="A11" s="392" t="s">
        <v>423</v>
      </c>
      <c r="B11" s="392">
        <f>COUNTIFS(ШТАТ!$AL:$AL,$A11,ШТАТ!$AJ:$AJ,"о")</f>
        <v>1</v>
      </c>
      <c r="C11" s="392">
        <f>COUNTIFS(ШТАТ!$AL:$AL,$A11,ШТАТ!$AJ:$AJ,"п")</f>
        <v>0</v>
      </c>
      <c r="D11" s="392">
        <f>COUNTIFS(ШТАТ!$AL:$AL,$A11,ШТАТ!$AJ:$AJ,"к/с")</f>
        <v>12</v>
      </c>
      <c r="E11" s="392">
        <f>COUNTIFS(ШТАТ!$AL:$AL,$A11,ШТАТ!$AJ:$AJ,"с/с")</f>
        <v>0</v>
      </c>
      <c r="F11" s="1197">
        <f t="shared" si="1"/>
        <v>13</v>
      </c>
      <c r="G11" s="392">
        <f>COUNTIFS(ШТАТ!$AL:$AL,$A11,ШТАТ!$AJ:$AJ,"о",ШТАТ!$U:$U,"")</f>
        <v>0</v>
      </c>
      <c r="H11" s="392">
        <f>COUNTIFS(ШТАТ!$AL:$AL,$A11,ШТАТ!$AJ:$AJ,"п",ШТАТ!$U:$U,"")</f>
        <v>0</v>
      </c>
      <c r="I11" s="392">
        <f>COUNTIFS(ШТАТ!$AL:$AL,$A11,ШТАТ!$AJ:$AJ,"к/с",ШТАТ!$U:$U,"")</f>
        <v>0</v>
      </c>
      <c r="J11" s="392">
        <f>COUNTIFS(ШТАТ!$AL:$AL,$A11,ШТАТ!$AJ:$AJ,"с/с",ШТАТ!$U:$U,"")</f>
        <v>0</v>
      </c>
      <c r="K11" s="1197">
        <f t="shared" si="0"/>
        <v>0</v>
      </c>
      <c r="L11" s="392">
        <f>COUNTIFS(ШТАТ!$AL:$AL,$A11,ШТАТ!$AJ:$AJ,"о",ШТАТ!W:W,"г. Белгород")</f>
        <v>1</v>
      </c>
      <c r="M11" s="392">
        <f>COUNTIFS(ШТАТ!$AL:$AL,$A11,ШТАТ!$AJ:$AJ,"п",ШТАТ!$W:$W,"г. Белгород")</f>
        <v>0</v>
      </c>
      <c r="N11" s="392">
        <f>COUNTIFS(ШТАТ!$AL:$AL,$A11,ШТАТ!$AJ:$AJ,"к/с",ШТАТ!$W:$W,"г. Белгород")</f>
        <v>10</v>
      </c>
      <c r="O11" s="392">
        <f>COUNTIFS(ШТАТ!$AL:$AL,$A11,ШТАТ!$AJ:$AJ,"с/с",ШТАТ!Z:Z,"г. Белгород")</f>
        <v>0</v>
      </c>
      <c r="P11" s="1197">
        <f t="shared" si="2"/>
        <v>11</v>
      </c>
      <c r="Q11" s="392">
        <f>COUNTIFS(ШТАТ!$AL:$AL,$A11,ШТАТ!$AJ:$AJ,"о",ШТАТ!X:X,"Выполнение специальных задач")</f>
        <v>0</v>
      </c>
      <c r="R11" s="392">
        <f>COUNTIFS(ШТАТ!$AL:$AL,$A11,ШТАТ!$AJ:$AJ,"п",ШТАТ!$X:$X,"Выполнение специальных задач")</f>
        <v>0</v>
      </c>
      <c r="S11" s="392">
        <f>COUNTIFS(ШТАТ!$AL:$AL,$A11,ШТАТ!$AJ:$AJ,"к/с",ШТАТ!$X:$X,"Выполнение специальных задач")</f>
        <v>0</v>
      </c>
      <c r="T11" s="392">
        <f>COUNTIFS(ШТАТ!$AL:$AL,$A11,ШТАТ!$AJ:$AJ,"с/с",ШТАТ!$X:$X,"Выполнение специальных задач")</f>
        <v>0</v>
      </c>
      <c r="U11" s="1197">
        <f t="shared" si="3"/>
        <v>0</v>
      </c>
      <c r="V11" s="392">
        <f>COUNTIFS(ШТАТ!$AL:$AL,$A11,ШТАТ!$AJ:$AJ,"о",ШТАТ!$U:$U,"госп")</f>
        <v>0</v>
      </c>
      <c r="W11" s="392">
        <f>COUNTIFS(ШТАТ!$AL:$AL,$A11,ШТАТ!$AJ:$AJ,"п",ШТАТ!$U:$U,"госп")</f>
        <v>0</v>
      </c>
      <c r="X11" s="392">
        <f>COUNTIFS(ШТАТ!$AL:$AL,$A11,ШТАТ!$AJ:$AJ,"к/с",ШТАТ!$U:$U,"госп")</f>
        <v>0</v>
      </c>
      <c r="Y11" s="392">
        <f>COUNTIFS(ШТАТ!$AL:$AL,$A11,ШТАТ!$AJ:$AJ,"с/с",ШТАТ!$U:$U,"госп")</f>
        <v>0</v>
      </c>
      <c r="Z11" s="1197">
        <f t="shared" si="4"/>
        <v>0</v>
      </c>
      <c r="AA11" s="392">
        <f>COUNTIFS(ШТАТ!$AL:$AL,$A11,ШТАТ!$AJ:$AJ,"о",ШТАТ!$U:$U,"Отпуск")</f>
        <v>0</v>
      </c>
      <c r="AB11" s="392">
        <f>COUNTIFS(ШТАТ!$AL:$AL,$A11,ШТАТ!$AJ:$AJ,"п",ШТАТ!$U:$U,"Отпуск")</f>
        <v>0</v>
      </c>
      <c r="AC11" s="392">
        <f>COUNTIFS(ШТАТ!$AL:$AL,$A11,ШТАТ!$AJ:$AJ,"к/с",ШТАТ!$U:$U,"Отпуск")</f>
        <v>0</v>
      </c>
      <c r="AD11" s="392">
        <f>COUNTIFS(ШТАТ!$AL:$AL,$A11,ШТАТ!$AJ:$AJ,"с/с",ШТАТ!$U:$U,"Отпуск")</f>
        <v>0</v>
      </c>
      <c r="AE11" s="1197">
        <f t="shared" si="5"/>
        <v>0</v>
      </c>
      <c r="AF11" s="392">
        <f>COUNTIFS(ШТАТ!$AL:$AL,$A11,ШТАТ!$AJ:$AJ,"о",ШТАТ!$U:$U,"СОЧ")</f>
        <v>0</v>
      </c>
      <c r="AG11" s="392">
        <f>COUNTIFS(ШТАТ!$AL:$AL,$A11,ШТАТ!$AJ:$AJ,"п",ШТАТ!$U:$U,"СОЧ")</f>
        <v>0</v>
      </c>
      <c r="AH11" s="392">
        <f>COUNTIFS(ШТАТ!$AL:$AL,$A11,ШТАТ!$AJ:$AJ,"к/с",ШТАТ!$U:$U,"СОЧ")</f>
        <v>2</v>
      </c>
      <c r="AI11" s="392">
        <f>COUNTIFS(ШТАТ!$AL:$AL,$A11,ШТАТ!$AJ:$AJ,"с/с",ШТАТ!$U:$U,"СОЧ")</f>
        <v>0</v>
      </c>
      <c r="AJ11" s="1197">
        <f t="shared" si="6"/>
        <v>2</v>
      </c>
    </row>
    <row r="12" spans="1:56" x14ac:dyDescent="0.25">
      <c r="A12" s="392" t="s">
        <v>433</v>
      </c>
      <c r="B12" s="392">
        <f>COUNTIFS(ШТАТ!$AL:$AL,$A12,ШТАТ!$AJ:$AJ,"о")</f>
        <v>0</v>
      </c>
      <c r="C12" s="392">
        <f>COUNTIFS(ШТАТ!$AL:$AL,$A12,ШТАТ!$AJ:$AJ,"п")</f>
        <v>1</v>
      </c>
      <c r="D12" s="392">
        <f>COUNTIFS(ШТАТ!$AL:$AL,$A12,ШТАТ!$AJ:$AJ,"к/с")</f>
        <v>25</v>
      </c>
      <c r="E12" s="392">
        <f>COUNTIFS(ШТАТ!$AL:$AL,$A12,ШТАТ!$AJ:$AJ,"с/с")</f>
        <v>0</v>
      </c>
      <c r="F12" s="1197">
        <f t="shared" si="1"/>
        <v>26</v>
      </c>
      <c r="G12" s="392">
        <f>COUNTIFS(ШТАТ!$AL:$AL,$A12,ШТАТ!$AJ:$AJ,"о",ШТАТ!$U:$U,"")</f>
        <v>0</v>
      </c>
      <c r="H12" s="392">
        <f>COUNTIFS(ШТАТ!$AL:$AL,$A12,ШТАТ!$AJ:$AJ,"п",ШТАТ!$U:$U,"")</f>
        <v>1</v>
      </c>
      <c r="I12" s="392">
        <f>COUNTIFS(ШТАТ!$AL:$AL,$A12,ШТАТ!$AJ:$AJ,"к/с",ШТАТ!$U:$U,"")</f>
        <v>2</v>
      </c>
      <c r="J12" s="392">
        <f>COUNTIFS(ШТАТ!$AL:$AL,$A12,ШТАТ!$AJ:$AJ,"с/с",ШТАТ!$U:$U,"")</f>
        <v>0</v>
      </c>
      <c r="K12" s="1197">
        <f t="shared" si="0"/>
        <v>3</v>
      </c>
      <c r="L12" s="392">
        <f>COUNTIFS(ШТАТ!$AL:$AL,$A12,ШТАТ!$AJ:$AJ,"о",ШТАТ!W:W,"г. Белгород")</f>
        <v>0</v>
      </c>
      <c r="M12" s="392">
        <f>COUNTIFS(ШТАТ!$AL:$AL,$A12,ШТАТ!$AJ:$AJ,"п",ШТАТ!$W:$W,"г. Белгород")</f>
        <v>0</v>
      </c>
      <c r="N12" s="392">
        <f>COUNTIFS(ШТАТ!$AL:$AL,$A12,ШТАТ!$AJ:$AJ,"к/с",ШТАТ!$W:$W,"г. Белгород")</f>
        <v>18</v>
      </c>
      <c r="O12" s="392">
        <f>COUNTIFS(ШТАТ!$AL:$AL,$A12,ШТАТ!$AJ:$AJ,"с/с",ШТАТ!Z:Z,"г. Белгород")</f>
        <v>0</v>
      </c>
      <c r="P12" s="1197">
        <f t="shared" si="2"/>
        <v>18</v>
      </c>
      <c r="Q12" s="392">
        <f>COUNTIFS(ШТАТ!$AL:$AL,$A12,ШТАТ!$AJ:$AJ,"о",ШТАТ!X:X,"Выполнение специальных задач")</f>
        <v>0</v>
      </c>
      <c r="R12" s="392">
        <f>COUNTIFS(ШТАТ!$AL:$AL,$A12,ШТАТ!$AJ:$AJ,"п",ШТАТ!$X:$X,"Выполнение специальных задач")</f>
        <v>0</v>
      </c>
      <c r="S12" s="392">
        <f>COUNTIFS(ШТАТ!$AL:$AL,$A12,ШТАТ!$AJ:$AJ,"к/с",ШТАТ!$X:$X,"Выполнение специальных задач")</f>
        <v>2</v>
      </c>
      <c r="T12" s="392">
        <f>COUNTIFS(ШТАТ!$AL:$AL,$A12,ШТАТ!$AJ:$AJ,"с/с",ШТАТ!$X:$X,"Выполнение специальных задач")</f>
        <v>0</v>
      </c>
      <c r="U12" s="1197">
        <f t="shared" si="3"/>
        <v>2</v>
      </c>
      <c r="V12" s="392">
        <f>COUNTIFS(ШТАТ!$AL:$AL,$A12,ШТАТ!$AJ:$AJ,"о",ШТАТ!$U:$U,"госп")</f>
        <v>0</v>
      </c>
      <c r="W12" s="392">
        <f>COUNTIFS(ШТАТ!$AL:$AL,$A12,ШТАТ!$AJ:$AJ,"п",ШТАТ!$U:$U,"госп")</f>
        <v>0</v>
      </c>
      <c r="X12" s="392">
        <f>COUNTIFS(ШТАТ!$AL:$AL,$A12,ШТАТ!$AJ:$AJ,"к/с",ШТАТ!$U:$U,"госп")</f>
        <v>0</v>
      </c>
      <c r="Y12" s="392">
        <f>COUNTIFS(ШТАТ!$AL:$AL,$A12,ШТАТ!$AJ:$AJ,"с/с",ШТАТ!$U:$U,"госп")</f>
        <v>0</v>
      </c>
      <c r="Z12" s="1197">
        <f t="shared" si="4"/>
        <v>0</v>
      </c>
      <c r="AA12" s="392">
        <f>COUNTIFS(ШТАТ!$AL:$AL,$A12,ШТАТ!$AJ:$AJ,"о",ШТАТ!$U:$U,"Отпуск")</f>
        <v>0</v>
      </c>
      <c r="AB12" s="392">
        <f>COUNTIFS(ШТАТ!$AL:$AL,$A12,ШТАТ!$AJ:$AJ,"п",ШТАТ!$U:$U,"Отпуск")</f>
        <v>0</v>
      </c>
      <c r="AC12" s="392">
        <f>COUNTIFS(ШТАТ!$AL:$AL,$A12,ШТАТ!$AJ:$AJ,"к/с",ШТАТ!$U:$U,"Отпуск")</f>
        <v>2</v>
      </c>
      <c r="AD12" s="392">
        <f>COUNTIFS(ШТАТ!$AL:$AL,$A12,ШТАТ!$AJ:$AJ,"с/с",ШТАТ!$U:$U,"Отпуск")</f>
        <v>0</v>
      </c>
      <c r="AE12" s="1197">
        <f t="shared" si="5"/>
        <v>2</v>
      </c>
      <c r="AF12" s="392">
        <f>COUNTIFS(ШТАТ!$AL:$AL,$A12,ШТАТ!$AJ:$AJ,"о",ШТАТ!$U:$U,"СОЧ")</f>
        <v>0</v>
      </c>
      <c r="AG12" s="392">
        <f>COUNTIFS(ШТАТ!$AL:$AL,$A12,ШТАТ!$AJ:$AJ,"п",ШТАТ!$U:$U,"СОЧ")</f>
        <v>0</v>
      </c>
      <c r="AH12" s="392">
        <f>COUNTIFS(ШТАТ!$AL:$AL,$A12,ШТАТ!$AJ:$AJ,"к/с",ШТАТ!$U:$U,"СОЧ")</f>
        <v>0</v>
      </c>
      <c r="AI12" s="392">
        <f>COUNTIFS(ШТАТ!$AL:$AL,$A12,ШТАТ!$AJ:$AJ,"с/с",ШТАТ!$U:$U,"СОЧ")</f>
        <v>0</v>
      </c>
      <c r="AJ12" s="1197">
        <f t="shared" si="6"/>
        <v>0</v>
      </c>
    </row>
    <row r="13" spans="1:56" x14ac:dyDescent="0.25">
      <c r="A13" s="626" t="s">
        <v>4613</v>
      </c>
      <c r="B13" s="1250">
        <f t="shared" ref="B13:AJ13" si="7">SUM(B3:B12)</f>
        <v>26</v>
      </c>
      <c r="C13" s="1250">
        <f t="shared" si="7"/>
        <v>7</v>
      </c>
      <c r="D13" s="1250">
        <f t="shared" si="7"/>
        <v>330</v>
      </c>
      <c r="E13" s="1250">
        <f t="shared" si="7"/>
        <v>0</v>
      </c>
      <c r="F13" s="1250">
        <f t="shared" si="7"/>
        <v>363</v>
      </c>
      <c r="G13" s="1250">
        <f t="shared" si="7"/>
        <v>1</v>
      </c>
      <c r="H13" s="1250">
        <f t="shared" si="7"/>
        <v>1</v>
      </c>
      <c r="I13" s="1250">
        <f t="shared" si="7"/>
        <v>29</v>
      </c>
      <c r="J13" s="1250">
        <f t="shared" si="7"/>
        <v>0</v>
      </c>
      <c r="K13" s="1250">
        <f t="shared" si="7"/>
        <v>31</v>
      </c>
      <c r="L13" s="1250">
        <f t="shared" si="7"/>
        <v>24</v>
      </c>
      <c r="M13" s="1250">
        <f t="shared" si="7"/>
        <v>4</v>
      </c>
      <c r="N13" s="1250">
        <f t="shared" si="7"/>
        <v>263</v>
      </c>
      <c r="O13" s="1250">
        <f t="shared" si="7"/>
        <v>0</v>
      </c>
      <c r="P13" s="1250">
        <f t="shared" si="7"/>
        <v>291</v>
      </c>
      <c r="Q13" s="1250">
        <f t="shared" si="7"/>
        <v>1</v>
      </c>
      <c r="R13" s="1250">
        <f t="shared" si="7"/>
        <v>1</v>
      </c>
      <c r="S13" s="1250">
        <f t="shared" si="7"/>
        <v>7</v>
      </c>
      <c r="T13" s="1250">
        <f t="shared" si="7"/>
        <v>0</v>
      </c>
      <c r="U13" s="1250">
        <f t="shared" si="7"/>
        <v>9</v>
      </c>
      <c r="V13" s="1250">
        <f t="shared" si="7"/>
        <v>0</v>
      </c>
      <c r="W13" s="1250">
        <f t="shared" si="7"/>
        <v>0</v>
      </c>
      <c r="X13" s="1250">
        <f t="shared" si="7"/>
        <v>2</v>
      </c>
      <c r="Y13" s="1250">
        <f t="shared" si="7"/>
        <v>0</v>
      </c>
      <c r="Z13" s="1250">
        <f t="shared" si="7"/>
        <v>2</v>
      </c>
      <c r="AA13" s="1250">
        <f t="shared" si="7"/>
        <v>0</v>
      </c>
      <c r="AB13" s="1250">
        <f t="shared" si="7"/>
        <v>0</v>
      </c>
      <c r="AC13" s="1250">
        <f t="shared" si="7"/>
        <v>6</v>
      </c>
      <c r="AD13" s="1250">
        <f t="shared" si="7"/>
        <v>0</v>
      </c>
      <c r="AE13" s="1250">
        <f t="shared" si="7"/>
        <v>6</v>
      </c>
      <c r="AF13" s="1250">
        <f t="shared" si="7"/>
        <v>0</v>
      </c>
      <c r="AG13" s="1250">
        <f t="shared" si="7"/>
        <v>0</v>
      </c>
      <c r="AH13" s="1250">
        <f t="shared" si="7"/>
        <v>11</v>
      </c>
      <c r="AI13" s="1250">
        <f t="shared" si="7"/>
        <v>0</v>
      </c>
      <c r="AJ13" s="1250">
        <f t="shared" si="7"/>
        <v>11</v>
      </c>
    </row>
    <row r="14" spans="1:56" x14ac:dyDescent="0.25">
      <c r="A14" s="1251"/>
      <c r="B14" s="1248"/>
      <c r="C14" s="1248"/>
      <c r="D14" s="1248"/>
      <c r="E14" s="1248"/>
      <c r="F14" s="1248"/>
      <c r="G14" s="1248"/>
      <c r="H14" s="1248"/>
      <c r="I14" s="1248"/>
      <c r="J14" s="1248"/>
      <c r="K14" s="1248"/>
      <c r="L14" s="1248"/>
      <c r="M14" s="1248"/>
      <c r="N14" s="1248"/>
      <c r="O14" s="1248"/>
      <c r="P14" s="1248"/>
      <c r="Q14" s="1248"/>
      <c r="R14" s="1248"/>
      <c r="S14" s="1248"/>
      <c r="T14" s="1248"/>
      <c r="U14" s="1248"/>
      <c r="V14" s="1248"/>
      <c r="W14" s="1248"/>
      <c r="X14" s="1248"/>
      <c r="Y14" s="1248"/>
      <c r="Z14" s="1248"/>
      <c r="AA14" s="1248"/>
      <c r="AB14" s="1248"/>
      <c r="AC14" s="1248"/>
      <c r="AD14" s="1248"/>
      <c r="AE14" s="1248"/>
      <c r="AF14" s="1248"/>
      <c r="AG14" s="1248"/>
      <c r="AH14" s="1248"/>
      <c r="AI14" s="1248"/>
      <c r="AJ14" s="1249"/>
    </row>
    <row r="15" spans="1:56" x14ac:dyDescent="0.25">
      <c r="A15" s="1607" t="s">
        <v>871</v>
      </c>
      <c r="B15" s="1607" t="s">
        <v>873</v>
      </c>
      <c r="C15" s="1607"/>
      <c r="D15" s="1607"/>
      <c r="E15" s="1607"/>
      <c r="F15" s="1607"/>
      <c r="G15" s="1607" t="s">
        <v>874</v>
      </c>
      <c r="H15" s="1607"/>
      <c r="I15" s="1607"/>
      <c r="J15" s="1607"/>
      <c r="K15" s="1607"/>
      <c r="L15" s="1608" t="s">
        <v>56</v>
      </c>
      <c r="M15" s="1609"/>
      <c r="N15" s="1609"/>
      <c r="O15" s="1609"/>
      <c r="P15" s="1610"/>
      <c r="Q15" s="1608" t="s">
        <v>901</v>
      </c>
      <c r="R15" s="1609"/>
      <c r="S15" s="1609"/>
      <c r="T15" s="1609"/>
      <c r="U15" s="1610"/>
      <c r="V15" s="1608" t="s">
        <v>3512</v>
      </c>
      <c r="W15" s="1609"/>
      <c r="X15" s="1609"/>
      <c r="Y15" s="1609"/>
      <c r="Z15" s="1610"/>
      <c r="AA15" s="1608" t="s">
        <v>1497</v>
      </c>
      <c r="AB15" s="1609"/>
      <c r="AC15" s="1609"/>
      <c r="AD15" s="1609"/>
      <c r="AE15" s="1610"/>
      <c r="AF15" s="1608" t="s">
        <v>886</v>
      </c>
      <c r="AG15" s="1609"/>
      <c r="AH15" s="1609"/>
      <c r="AI15" s="1609"/>
      <c r="AJ15" s="1610"/>
      <c r="AK15" s="1608" t="s">
        <v>4615</v>
      </c>
      <c r="AL15" s="1609"/>
      <c r="AM15" s="1609"/>
      <c r="AN15" s="1609"/>
      <c r="AO15" s="1610"/>
      <c r="AP15" s="1608" t="s">
        <v>4215</v>
      </c>
      <c r="AQ15" s="1609"/>
      <c r="AR15" s="1609"/>
      <c r="AS15" s="1609"/>
      <c r="AT15" s="1610"/>
      <c r="AU15" s="1608" t="s">
        <v>384</v>
      </c>
      <c r="AV15" s="1609"/>
      <c r="AW15" s="1609"/>
      <c r="AX15" s="1609"/>
      <c r="AY15" s="1610"/>
      <c r="AZ15" s="1608" t="s">
        <v>3259</v>
      </c>
      <c r="BA15" s="1609"/>
      <c r="BB15" s="1609"/>
      <c r="BC15" s="1609"/>
      <c r="BD15" s="1610"/>
    </row>
    <row r="16" spans="1:56" ht="79.5" x14ac:dyDescent="0.25">
      <c r="A16" s="1607"/>
      <c r="B16" s="1245" t="s">
        <v>4609</v>
      </c>
      <c r="C16" s="1245" t="s">
        <v>4610</v>
      </c>
      <c r="D16" s="1245" t="s">
        <v>4611</v>
      </c>
      <c r="E16" s="1245" t="s">
        <v>4612</v>
      </c>
      <c r="F16" s="1246" t="s">
        <v>4038</v>
      </c>
      <c r="G16" s="1245" t="s">
        <v>4609</v>
      </c>
      <c r="H16" s="1245" t="s">
        <v>4610</v>
      </c>
      <c r="I16" s="1245" t="s">
        <v>4611</v>
      </c>
      <c r="J16" s="1245" t="s">
        <v>4612</v>
      </c>
      <c r="K16" s="1246" t="s">
        <v>4038</v>
      </c>
      <c r="L16" s="1245" t="s">
        <v>4609</v>
      </c>
      <c r="M16" s="1245" t="s">
        <v>4610</v>
      </c>
      <c r="N16" s="1245" t="s">
        <v>4611</v>
      </c>
      <c r="O16" s="1245" t="s">
        <v>4612</v>
      </c>
      <c r="P16" s="1246" t="s">
        <v>4038</v>
      </c>
      <c r="Q16" s="1245" t="s">
        <v>4609</v>
      </c>
      <c r="R16" s="1245" t="s">
        <v>4610</v>
      </c>
      <c r="S16" s="1245" t="s">
        <v>4611</v>
      </c>
      <c r="T16" s="1245" t="s">
        <v>4612</v>
      </c>
      <c r="U16" s="1246" t="s">
        <v>4038</v>
      </c>
      <c r="V16" s="1245" t="s">
        <v>4609</v>
      </c>
      <c r="W16" s="1245" t="s">
        <v>4610</v>
      </c>
      <c r="X16" s="1245" t="s">
        <v>4611</v>
      </c>
      <c r="Y16" s="1245" t="s">
        <v>4612</v>
      </c>
      <c r="Z16" s="1246" t="s">
        <v>4038</v>
      </c>
      <c r="AA16" s="1245" t="s">
        <v>4609</v>
      </c>
      <c r="AB16" s="1245" t="s">
        <v>4610</v>
      </c>
      <c r="AC16" s="1245" t="s">
        <v>4611</v>
      </c>
      <c r="AD16" s="1245" t="s">
        <v>4612</v>
      </c>
      <c r="AE16" s="1246" t="s">
        <v>4038</v>
      </c>
      <c r="AF16" s="1245" t="s">
        <v>4609</v>
      </c>
      <c r="AG16" s="1245" t="s">
        <v>4610</v>
      </c>
      <c r="AH16" s="1245" t="s">
        <v>4611</v>
      </c>
      <c r="AI16" s="1245" t="s">
        <v>4612</v>
      </c>
      <c r="AJ16" s="1246" t="s">
        <v>4038</v>
      </c>
      <c r="AK16" s="1245" t="s">
        <v>4609</v>
      </c>
      <c r="AL16" s="1245" t="s">
        <v>4610</v>
      </c>
      <c r="AM16" s="1245" t="s">
        <v>4611</v>
      </c>
      <c r="AN16" s="1245" t="s">
        <v>4612</v>
      </c>
      <c r="AO16" s="1246" t="s">
        <v>4038</v>
      </c>
      <c r="AP16" s="1245" t="s">
        <v>4609</v>
      </c>
      <c r="AQ16" s="1245" t="s">
        <v>4610</v>
      </c>
      <c r="AR16" s="1245" t="s">
        <v>4611</v>
      </c>
      <c r="AS16" s="1245" t="s">
        <v>4612</v>
      </c>
      <c r="AT16" s="1246" t="s">
        <v>4038</v>
      </c>
      <c r="AU16" s="1245" t="s">
        <v>4609</v>
      </c>
      <c r="AV16" s="1245" t="s">
        <v>4610</v>
      </c>
      <c r="AW16" s="1245" t="s">
        <v>4611</v>
      </c>
      <c r="AX16" s="1245" t="s">
        <v>4612</v>
      </c>
      <c r="AY16" s="1246" t="s">
        <v>4038</v>
      </c>
      <c r="AZ16" s="1245" t="s">
        <v>4609</v>
      </c>
      <c r="BA16" s="1245" t="s">
        <v>4610</v>
      </c>
      <c r="BB16" s="1245" t="s">
        <v>4611</v>
      </c>
      <c r="BC16" s="1245" t="s">
        <v>4612</v>
      </c>
      <c r="BD16" s="1246" t="s">
        <v>4038</v>
      </c>
    </row>
    <row r="17" spans="1:56" x14ac:dyDescent="0.25">
      <c r="A17" s="392" t="s">
        <v>459</v>
      </c>
      <c r="B17" s="392">
        <f>COUNTIFS(ШТАТ!$AL:$AL,$A17,ШТАТ!$AJ:$AJ,"о")</f>
        <v>3</v>
      </c>
      <c r="C17" s="392">
        <f>COUNTIFS(ШТАТ!$AL:$AL,$A17,ШТАТ!$AJ:$AJ,"п")</f>
        <v>0</v>
      </c>
      <c r="D17" s="392">
        <f>COUNTIFS(ШТАТ!$AL:$AL,$A17,ШТАТ!$AJ:$AJ,"к/с")</f>
        <v>0</v>
      </c>
      <c r="E17" s="392">
        <f>COUNTIFS(ШТАТ!$AL:$AL,$A17,ШТАТ!$AJ:$AJ,"с/с")</f>
        <v>1</v>
      </c>
      <c r="F17" s="1197">
        <f>SUM(B17:E17)</f>
        <v>4</v>
      </c>
      <c r="G17" s="392">
        <f>COUNTIFS(ШТАТ!$AL:$AL,$A17,ШТАТ!$AJ:$AJ,"о",ШТАТ!$U:$U,"")</f>
        <v>1</v>
      </c>
      <c r="H17" s="392">
        <f>COUNTIFS(ШТАТ!$AL:$AL,$A17,ШТАТ!$AJ:$AJ,"п",ШТАТ!$U:$U,"")</f>
        <v>0</v>
      </c>
      <c r="I17" s="392">
        <f>COUNTIFS(ШТАТ!$AL:$AL,$A17,ШТАТ!$AJ:$AJ,"к/с",ШТАТ!$U:$U,"")</f>
        <v>0</v>
      </c>
      <c r="J17" s="392">
        <f>COUNTIFS(ШТАТ!$AL:$AL,$A17,ШТАТ!$AJ:$AJ,"с/с",ШТАТ!$U:$U,"")</f>
        <v>0</v>
      </c>
      <c r="K17" s="1197">
        <f t="shared" ref="K17:K26" si="8">SUM(G17:J17)</f>
        <v>1</v>
      </c>
      <c r="L17" s="392">
        <f>COUNTIFS(ШТАТ!$AL:$AL,$A17,ШТАТ!$AJ:$AJ,"о",ШТАТ!$W:$W,"г. Белгород")</f>
        <v>2</v>
      </c>
      <c r="M17" s="392">
        <f>COUNTIFS(ШТАТ!$AL:$AL,$A17,ШТАТ!$AJ:$AJ,"п",ШТАТ!$W:$W,"г. Белгород")</f>
        <v>0</v>
      </c>
      <c r="N17" s="392">
        <f>COUNTIFS(ШТАТ!$AL:$AL,$A17,ШТАТ!$AJ:$AJ,"к/с",ШТАТ!$W:$W,"г. Белгород")</f>
        <v>0</v>
      </c>
      <c r="O17" s="392">
        <f>COUNTIFS(ШТАТ!$AL:$AL,$A17,ШТАТ!$AJ:$AJ,"с/с",ШТАТ!Z:Z,"г. Белгород")</f>
        <v>0</v>
      </c>
      <c r="P17" s="1197">
        <f>SUM(L17:O17)</f>
        <v>2</v>
      </c>
      <c r="Q17" s="392">
        <f>COUNTIFS(ШТАТ!$AL:$AL,$A17,ШТАТ!$AJ:$AJ,"о",ШТАТ!$X:$X,"Выполнение специальных задач")</f>
        <v>0</v>
      </c>
      <c r="R17" s="392">
        <f>COUNTIFS(ШТАТ!$AL:$AL,$A17,ШТАТ!$AJ:$AJ,"п",ШТАТ!$X:$X,"Выполнение специальных задач")</f>
        <v>0</v>
      </c>
      <c r="S17" s="392">
        <f>COUNTIFS(ШТАТ!$AL:$AL,$A17,ШТАТ!$AJ:$AJ,"к/с",ШТАТ!$X:$X,"Выполнение специальных задач")</f>
        <v>0</v>
      </c>
      <c r="T17" s="392">
        <f>COUNTIFS(ШТАТ!$AL:$AL,$A17,ШТАТ!$AJ:$AJ,"с/с",ШТАТ!$X:$X,"Выполнение специальных задач")</f>
        <v>0</v>
      </c>
      <c r="U17" s="1197">
        <f>SUM(Q17:T17)</f>
        <v>0</v>
      </c>
      <c r="V17" s="392">
        <f>COUNTIFS(ШТАТ!$AL:$AL,$A17,ШТАТ!$AJ:$AJ,"о",ШТАТ!$U:$U,"госп")</f>
        <v>0</v>
      </c>
      <c r="W17" s="392">
        <f>COUNTIFS(ШТАТ!$AL:$AL,$A17,ШТАТ!$AJ:$AJ,"п",ШТАТ!$U:$U,"госп")</f>
        <v>0</v>
      </c>
      <c r="X17" s="392">
        <f>COUNTIFS(ШТАТ!$AL:$AL,$A17,ШТАТ!$AJ:$AJ,"к/с",ШТАТ!$U:$U,"госп")</f>
        <v>0</v>
      </c>
      <c r="Y17" s="392">
        <f>COUNTIFS(ШТАТ!$AL:$AL,$A17,ШТАТ!$AJ:$AJ,"с/с",ШТАТ!$U:$U,"госп")</f>
        <v>0</v>
      </c>
      <c r="Z17" s="1197">
        <f>SUM(V17:Y17)</f>
        <v>0</v>
      </c>
      <c r="AA17" s="392">
        <f>COUNTIFS(ШТАТ!$AL:$AL,$A17,ШТАТ!$AJ:$AJ,"о",ШТАТ!$U:$U,"Отпуск")</f>
        <v>0</v>
      </c>
      <c r="AB17" s="392">
        <f>COUNTIFS(ШТАТ!$AL:$AL,$A17,ШТАТ!$AJ:$AJ,"п",ШТАТ!$U:$U,"Отпуск")</f>
        <v>0</v>
      </c>
      <c r="AC17" s="392">
        <f>COUNTIFS(ШТАТ!$AL:$AL,$A17,ШТАТ!$AJ:$AJ,"к/с",ШТАТ!$U:$U,"Отпуск")</f>
        <v>0</v>
      </c>
      <c r="AD17" s="392">
        <f>COUNTIFS(ШТАТ!$AL:$AL,$A17,ШТАТ!$AJ:$AJ,"с/с",ШТАТ!$U:$U,"Отпуск")</f>
        <v>0</v>
      </c>
      <c r="AE17" s="1197">
        <f>SUM(AA17:AD17)</f>
        <v>0</v>
      </c>
      <c r="AF17" s="392">
        <f>COUNTIFS(ШТАТ!$AL:$AL,$A17,ШТАТ!$AJ:$AJ,"о",ШТАТ!$U:$U,"СОЧ")</f>
        <v>0</v>
      </c>
      <c r="AG17" s="392">
        <f>COUNTIFS(ШТАТ!$AL:$AL,$A17,ШТАТ!$AJ:$AJ,"п",ШТАТ!$U:$U,"СОЧ")</f>
        <v>0</v>
      </c>
      <c r="AH17" s="392">
        <f>COUNTIFS(ШТАТ!$AL:$AL,$A17,ШТАТ!$AJ:$AJ,"к/с",ШТАТ!$U:$U,"СОЧ")</f>
        <v>0</v>
      </c>
      <c r="AI17" s="392">
        <f>COUNTIFS(ШТАТ!$AL:$AL,$A17,ШТАТ!$AJ:$AJ,"с/с",ШТАТ!$U:$U,"СОЧ")</f>
        <v>0</v>
      </c>
      <c r="AJ17" s="1197">
        <f>SUM(AF17:AI17)</f>
        <v>0</v>
      </c>
      <c r="AK17" s="392">
        <f>COUNTIFS(ШТАТ!$AL:$AL,$A17,ШТАТ!$AJ:$AJ,"о",ШТАТ!$W:$W,"в/ч 38838")</f>
        <v>0</v>
      </c>
      <c r="AL17" s="392">
        <f>COUNTIFS(ШТАТ!$AL:$AL,$A17,ШТАТ!$AJ:$AJ,"п",ШТАТ!$W:$W,"в/ч 38838")</f>
        <v>0</v>
      </c>
      <c r="AM17" s="392">
        <f>COUNTIFS(ШТАТ!$AL:$AL,$A17,ШТАТ!$AJ:$AJ,"к/с",ШТАТ!$W:$W,"в/ч 38838")</f>
        <v>0</v>
      </c>
      <c r="AN17" s="392">
        <f>COUNTIFS(ШТАТ!$AL:$AL,$A17,ШТАТ!$AJ:$AJ,"с/с",ШТАТ!$W:$W,"в/ч 38838")</f>
        <v>1</v>
      </c>
      <c r="AO17" s="1197">
        <f>SUM(AK17:AN17)</f>
        <v>1</v>
      </c>
      <c r="AP17" s="392">
        <f>COUNTIFS(ШТАТ!$AL:$AL,$A17,ШТАТ!$AJ:$AJ,"о",ШТАТ!$W:$W,"п. Ладушкино")</f>
        <v>0</v>
      </c>
      <c r="AQ17" s="392">
        <f>COUNTIFS(ШТАТ!$AL:$AL,$A17,ШТАТ!$AJ:$AJ,"п",ШТАТ!$W:$W,"п. Ладушкино")</f>
        <v>0</v>
      </c>
      <c r="AR17" s="392">
        <f>COUNTIFS(ШТАТ!$AL:$AL,$A17,ШТАТ!$AJ:$AJ,"к/с",ШТАТ!$W:$W,"п. Ладушкино")</f>
        <v>0</v>
      </c>
      <c r="AS17" s="392">
        <f>COUNTIFS(ШТАТ!$AL:$AL,$A17,ШТАТ!$AJ:$AJ,"с/с",ШТАТ!$W:$W,"п. Ладушкино")</f>
        <v>0</v>
      </c>
      <c r="AT17" s="1197">
        <f>SUM(AP17:AS17)</f>
        <v>0</v>
      </c>
      <c r="AU17" s="392">
        <f>COUNTIFS(ШТАТ!$AL:$AL,$A17,ШТАТ!$AJ:$AJ,"о",ШТАТ!$W:$W,"Чкаловск")</f>
        <v>0</v>
      </c>
      <c r="AV17" s="392">
        <f>COUNTIFS(ШТАТ!$AL:$AL,$A17,ШТАТ!$AJ:$AJ,"п",ШТАТ!$W:$W,"Чкаловск")</f>
        <v>0</v>
      </c>
      <c r="AW17" s="392">
        <f>COUNTIFS(ШТАТ!$AL:$AL,$A17,ШТАТ!$AJ:$AJ,"к/с",ШТАТ!$W:$W,"Чкаловск")</f>
        <v>0</v>
      </c>
      <c r="AX17" s="392">
        <f>COUNTIFS(ШТАТ!$AL:$AL,$A17,ШТАТ!$AJ:$AJ,"с/с",ШТАТ!$W:$W,"Чкаловск")</f>
        <v>0</v>
      </c>
      <c r="AY17" s="1197">
        <f>SUM(AU17:AX17)</f>
        <v>0</v>
      </c>
      <c r="AZ17" s="392">
        <f>COUNTIFS(ШТАТ!$AL:$AL,$A17,ШТАТ!$AJ:$AJ,"о",ШТАТ!$U:$U,"полигон")</f>
        <v>0</v>
      </c>
      <c r="BA17" s="392">
        <f>COUNTIFS(ШТАТ!$AL:$AL,$A17,ШТАТ!$AJ:$AJ,"п",ШТАТ!$U:$U,"полигон")</f>
        <v>0</v>
      </c>
      <c r="BB17" s="392">
        <f>COUNTIFS(ШТАТ!$AL:$AL,$A17,ШТАТ!$AJ:$AJ,"к/с",ШТАТ!$U:$U,"полигон")</f>
        <v>0</v>
      </c>
      <c r="BC17" s="392">
        <f>COUNTIFS(ШТАТ!$AL:$AL,$A17,ШТАТ!$AJ:$AJ,"с/с",ШТАТ!$U:$U,"полигон")</f>
        <v>0</v>
      </c>
      <c r="BD17" s="1197">
        <f>SUM(AZ17:BC17)</f>
        <v>0</v>
      </c>
    </row>
    <row r="18" spans="1:56" x14ac:dyDescent="0.25">
      <c r="A18" s="392" t="s">
        <v>463</v>
      </c>
      <c r="B18" s="392">
        <f>COUNTIFS(ШТАТ!$AL:$AL,$A18,ШТАТ!$AJ:$AJ,"о")</f>
        <v>5</v>
      </c>
      <c r="C18" s="392">
        <f>COUNTIFS(ШТАТ!$AL:$AL,$A18,ШТАТ!$AJ:$AJ,"п")</f>
        <v>2</v>
      </c>
      <c r="D18" s="392">
        <f>COUNTIFS(ШТАТ!$AL:$AL,$A18,ШТАТ!$AJ:$AJ,"к/с")</f>
        <v>2</v>
      </c>
      <c r="E18" s="392">
        <f>COUNTIFS(ШТАТ!$AL:$AL,$A18,ШТАТ!$AJ:$AJ,"с/с")</f>
        <v>83</v>
      </c>
      <c r="F18" s="1197">
        <f t="shared" ref="F18:F26" si="9">SUM(B18:E18)</f>
        <v>92</v>
      </c>
      <c r="G18" s="392">
        <f>COUNTIFS(ШТАТ!$AL:$AL,$A18,ШТАТ!$AJ:$AJ,"о",ШТАТ!$U:$U,"")</f>
        <v>3</v>
      </c>
      <c r="H18" s="392">
        <f>COUNTIFS(ШТАТ!$AL:$AL,$A18,ШТАТ!$AJ:$AJ,"п",ШТАТ!$U:$U,"")</f>
        <v>2</v>
      </c>
      <c r="I18" s="392">
        <f>COUNTIFS(ШТАТ!$AL:$AL,$A18,ШТАТ!$AJ:$AJ,"к/с",ШТАТ!$U:$U,"")</f>
        <v>1</v>
      </c>
      <c r="J18" s="392">
        <f>COUNTIFS(ШТАТ!$AL:$AL,$A18,ШТАТ!$AJ:$AJ,"с/с",ШТАТ!$U:$U,"")</f>
        <v>1</v>
      </c>
      <c r="K18" s="1197">
        <f t="shared" si="8"/>
        <v>7</v>
      </c>
      <c r="L18" s="392">
        <f>COUNTIFS(ШТАТ!$AL:$AL,$A18,ШТАТ!$AJ:$AJ,"о",ШТАТ!W:W,"г. Белгород")</f>
        <v>0</v>
      </c>
      <c r="M18" s="392">
        <f>COUNTIFS(ШТАТ!$AL:$AL,$A18,ШТАТ!$AJ:$AJ,"п",ШТАТ!$W:$W,"г. Белгород")</f>
        <v>0</v>
      </c>
      <c r="N18" s="392">
        <f>COUNTIFS(ШТАТ!$AL:$AL,$A18,ШТАТ!$AJ:$AJ,"к/с",ШТАТ!$W:$W,"г. Белгород")</f>
        <v>1</v>
      </c>
      <c r="O18" s="392">
        <f>COUNTIFS(ШТАТ!$AL:$AL,$A18,ШТАТ!$AJ:$AJ,"с/с",ШТАТ!Z:Z,"г. Белгород")</f>
        <v>0</v>
      </c>
      <c r="P18" s="1197">
        <f t="shared" ref="P18:P26" si="10">SUM(L18:O18)</f>
        <v>1</v>
      </c>
      <c r="Q18" s="392">
        <f>COUNTIFS(ШТАТ!$AL:$AL,$A18,ШТАТ!$AJ:$AJ,"о",ШТАТ!X:X,"Выполнение специальных задач")</f>
        <v>1</v>
      </c>
      <c r="R18" s="392">
        <f>COUNTIFS(ШТАТ!$AL:$AL,$A18,ШТАТ!$AJ:$AJ,"п",ШТАТ!$X:$X,"Выполнение специальных задач")</f>
        <v>0</v>
      </c>
      <c r="S18" s="392">
        <f>COUNTIFS(ШТАТ!$AL:$AL,$A18,ШТАТ!$AJ:$AJ,"к/с",ШТАТ!$X:$X,"Выполнение специальных задач")</f>
        <v>0</v>
      </c>
      <c r="T18" s="392">
        <f>COUNTIFS(ШТАТ!$AL:$AL,$A18,ШТАТ!$AJ:$AJ,"с/с",ШТАТ!$X:$X,"Выполнение специальных задач")</f>
        <v>0</v>
      </c>
      <c r="U18" s="1197">
        <f t="shared" ref="U18:U26" si="11">SUM(Q18:T18)</f>
        <v>1</v>
      </c>
      <c r="V18" s="392">
        <f>COUNTIFS(ШТАТ!$AL:$AL,$A18,ШТАТ!$AJ:$AJ,"о",ШТАТ!$U:$U,"госп")</f>
        <v>0</v>
      </c>
      <c r="W18" s="392">
        <f>COUNTIFS(ШТАТ!$AL:$AL,$A18,ШТАТ!$AJ:$AJ,"п",ШТАТ!$U:$U,"госп")</f>
        <v>0</v>
      </c>
      <c r="X18" s="392">
        <f>COUNTIFS(ШТАТ!$AL:$AL,$A18,ШТАТ!$AJ:$AJ,"к/с",ШТАТ!$U:$U,"госп")</f>
        <v>0</v>
      </c>
      <c r="Y18" s="392">
        <f>COUNTIFS(ШТАТ!$AL:$AL,$A18,ШТАТ!$AJ:$AJ,"с/с",ШТАТ!$U:$U,"госп")</f>
        <v>3</v>
      </c>
      <c r="Z18" s="1197">
        <f t="shared" ref="Z18:Z26" si="12">SUM(V18:Y18)</f>
        <v>3</v>
      </c>
      <c r="AA18" s="392">
        <f>COUNTIFS(ШТАТ!$AL:$AL,$A18,ШТАТ!$AJ:$AJ,"о",ШТАТ!$U:$U,"Отпуск")</f>
        <v>0</v>
      </c>
      <c r="AB18" s="392">
        <f>COUNTIFS(ШТАТ!$AL:$AL,$A18,ШТАТ!$AJ:$AJ,"п",ШТАТ!$U:$U,"Отпуск")</f>
        <v>0</v>
      </c>
      <c r="AC18" s="392">
        <f>COUNTIFS(ШТАТ!$AL:$AL,$A18,ШТАТ!$AJ:$AJ,"к/с",ШТАТ!$U:$U,"Отпуск")</f>
        <v>0</v>
      </c>
      <c r="AD18" s="392">
        <f>COUNTIFS(ШТАТ!$AL:$AL,$A18,ШТАТ!$AJ:$AJ,"с/с",ШТАТ!$U:$U,"Отпуск")</f>
        <v>0</v>
      </c>
      <c r="AE18" s="1197">
        <f t="shared" ref="AE18:AE26" si="13">SUM(AA18:AD18)</f>
        <v>0</v>
      </c>
      <c r="AF18" s="392">
        <f>COUNTIFS(ШТАТ!$AL:$AL,$A18,ШТАТ!$AJ:$AJ,"о",ШТАТ!$U:$U,"СОЧ")</f>
        <v>0</v>
      </c>
      <c r="AG18" s="392">
        <f>COUNTIFS(ШТАТ!$AL:$AL,$A18,ШТАТ!$AJ:$AJ,"п",ШТАТ!$U:$U,"СОЧ")</f>
        <v>0</v>
      </c>
      <c r="AH18" s="392">
        <f>COUNTIFS(ШТАТ!$AL:$AL,$A18,ШТАТ!$AJ:$AJ,"к/с",ШТАТ!$U:$U,"СОЧ")</f>
        <v>0</v>
      </c>
      <c r="AI18" s="392">
        <f>COUNTIFS(ШТАТ!$AL:$AL,$A18,ШТАТ!$AJ:$AJ,"с/с",ШТАТ!$U:$U,"СОЧ")</f>
        <v>0</v>
      </c>
      <c r="AJ18" s="1197">
        <f t="shared" ref="AJ18:AJ26" si="14">SUM(AF18:AI18)</f>
        <v>0</v>
      </c>
      <c r="AK18" s="392">
        <f>COUNTIFS(ШТАТ!$AL:$AL,$A18,ШТАТ!$AJ:$AJ,"о",ШТАТ!$W:$W,"в/ч 38838")</f>
        <v>0</v>
      </c>
      <c r="AL18" s="392">
        <f>COUNTIFS(ШТАТ!$AL:$AL,$A18,ШТАТ!$AJ:$AJ,"п",ШТАТ!$W:$W,"в/ч 38838")</f>
        <v>0</v>
      </c>
      <c r="AM18" s="392">
        <f>COUNTIFS(ШТАТ!$AL:$AL,$A18,ШТАТ!$AJ:$AJ,"к/с",ШТАТ!$W:$W,"в/ч 38838")</f>
        <v>0</v>
      </c>
      <c r="AN18" s="392">
        <f>COUNTIFS(ШТАТ!$AL:$AL,$A18,ШТАТ!$AJ:$AJ,"с/с",ШТАТ!$W:$W,"в/ч 38838")</f>
        <v>70</v>
      </c>
      <c r="AO18" s="1197">
        <f t="shared" ref="AO18:AO26" si="15">SUM(AK18:AN18)</f>
        <v>70</v>
      </c>
      <c r="AP18" s="392">
        <f>COUNTIFS(ШТАТ!$AL:$AL,$A18,ШТАТ!$AJ:$AJ,"о",ШТАТ!$W:$W,"п. Ладушкино")</f>
        <v>0</v>
      </c>
      <c r="AQ18" s="392">
        <f>COUNTIFS(ШТАТ!$AL:$AL,$A18,ШТАТ!$AJ:$AJ,"п",ШТАТ!$W:$W,"п. Ладушкино")</f>
        <v>0</v>
      </c>
      <c r="AR18" s="392">
        <f>COUNTIFS(ШТАТ!$AL:$AL,$A18,ШТАТ!$AJ:$AJ,"к/с",ШТАТ!$W:$W,"п. Ладушкино")</f>
        <v>0</v>
      </c>
      <c r="AS18" s="392">
        <f>COUNTIFS(ШТАТ!$AL:$AL,$A18,ШТАТ!$AJ:$AJ,"с/с",ШТАТ!$W:$W,"п. Ладушкино")</f>
        <v>0</v>
      </c>
      <c r="AT18" s="1197">
        <f t="shared" ref="AT18:AT26" si="16">SUM(AP18:AS18)</f>
        <v>0</v>
      </c>
      <c r="AU18" s="392">
        <f>COUNTIFS(ШТАТ!$AL:$AL,$A18,ШТАТ!$AJ:$AJ,"о",ШТАТ!$W:$W,"Чкаловск")</f>
        <v>0</v>
      </c>
      <c r="AV18" s="392">
        <f>COUNTIFS(ШТАТ!$AL:$AL,$A18,ШТАТ!$AJ:$AJ,"п",ШТАТ!$W:$W,"Чкаловск")</f>
        <v>0</v>
      </c>
      <c r="AW18" s="392">
        <f>COUNTIFS(ШТАТ!$AL:$AL,$A18,ШТАТ!$AJ:$AJ,"к/с",ШТАТ!$W:$W,"Чкаловск")</f>
        <v>0</v>
      </c>
      <c r="AX18" s="392">
        <f>COUNTIFS(ШТАТ!$AL:$AL,$A18,ШТАТ!$AJ:$AJ,"с/с",ШТАТ!$W:$W,"Чкаловск")</f>
        <v>0</v>
      </c>
      <c r="AY18" s="1197">
        <f t="shared" ref="AY18:AY26" si="17">SUM(AU18:AX18)</f>
        <v>0</v>
      </c>
      <c r="AZ18" s="392">
        <f>COUNTIFS(ШТАТ!$AL:$AL,$A18,ШТАТ!$AJ:$AJ,"о",ШТАТ!$U:$U,"полигон")</f>
        <v>0</v>
      </c>
      <c r="BA18" s="392">
        <f>COUNTIFS(ШТАТ!$AL:$AL,$A18,ШТАТ!$AJ:$AJ,"п",ШТАТ!$U:$U,"полигон")</f>
        <v>0</v>
      </c>
      <c r="BB18" s="392">
        <f>COUNTIFS(ШТАТ!$AL:$AL,$A18,ШТАТ!$AJ:$AJ,"к/с",ШТАТ!$U:$U,"полигон")</f>
        <v>0</v>
      </c>
      <c r="BC18" s="392">
        <f>COUNTIFS(ШТАТ!$AL:$AL,$A18,ШТАТ!$AJ:$AJ,"с/с",ШТАТ!$U:$U,"полигон")</f>
        <v>0</v>
      </c>
      <c r="BD18" s="1197">
        <f t="shared" ref="BD18:BD26" si="18">SUM(AZ18:BC18)</f>
        <v>0</v>
      </c>
    </row>
    <row r="19" spans="1:56" x14ac:dyDescent="0.25">
      <c r="A19" s="392" t="s">
        <v>474</v>
      </c>
      <c r="B19" s="392">
        <f>COUNTIFS(ШТАТ!$AL:$AL,$A19,ШТАТ!$AJ:$AJ,"о")</f>
        <v>5</v>
      </c>
      <c r="C19" s="392">
        <f>COUNTIFS(ШТАТ!$AL:$AL,$A19,ШТАТ!$AJ:$AJ,"п")</f>
        <v>2</v>
      </c>
      <c r="D19" s="392">
        <f>COUNTIFS(ШТАТ!$AL:$AL,$A19,ШТАТ!$AJ:$AJ,"к/с")</f>
        <v>3</v>
      </c>
      <c r="E19" s="392">
        <f>COUNTIFS(ШТАТ!$AL:$AL,$A19,ШТАТ!$AJ:$AJ,"с/с")</f>
        <v>83</v>
      </c>
      <c r="F19" s="1197">
        <f t="shared" si="9"/>
        <v>93</v>
      </c>
      <c r="G19" s="392">
        <f>COUNTIFS(ШТАТ!$AL:$AL,$A19,ШТАТ!$AJ:$AJ,"о",ШТАТ!$U:$U,"")</f>
        <v>4</v>
      </c>
      <c r="H19" s="392">
        <f>COUNTIFS(ШТАТ!$AL:$AL,$A19,ШТАТ!$AJ:$AJ,"п",ШТАТ!$U:$U,"")</f>
        <v>1</v>
      </c>
      <c r="I19" s="392">
        <f>COUNTIFS(ШТАТ!$AL:$AL,$A19,ШТАТ!$AJ:$AJ,"к/с",ШТАТ!$U:$U,"")</f>
        <v>2</v>
      </c>
      <c r="J19" s="392">
        <f>COUNTIFS(ШТАТ!$AL:$AL,$A19,ШТАТ!$AJ:$AJ,"с/с",ШТАТ!$U:$U,"")</f>
        <v>3</v>
      </c>
      <c r="K19" s="1197">
        <f t="shared" si="8"/>
        <v>10</v>
      </c>
      <c r="L19" s="392">
        <f>COUNTIFS(ШТАТ!$AL:$AL,$A19,ШТАТ!$AJ:$AJ,"о",ШТАТ!W:W,"г. Белгород")</f>
        <v>1</v>
      </c>
      <c r="M19" s="392">
        <f>COUNTIFS(ШТАТ!$AL:$AL,$A19,ШТАТ!$AJ:$AJ,"п",ШТАТ!$W:$W,"г. Белгород")</f>
        <v>0</v>
      </c>
      <c r="N19" s="392">
        <f>COUNTIFS(ШТАТ!$AL:$AL,$A19,ШТАТ!$AJ:$AJ,"к/с",ШТАТ!$W:$W,"г. Белгород")</f>
        <v>1</v>
      </c>
      <c r="O19" s="392">
        <f>COUNTIFS(ШТАТ!$AL:$AL,$A19,ШТАТ!$AJ:$AJ,"с/с",ШТАТ!Z:Z,"г. Белгород")</f>
        <v>0</v>
      </c>
      <c r="P19" s="1197">
        <f t="shared" si="10"/>
        <v>2</v>
      </c>
      <c r="Q19" s="392">
        <f>COUNTIFS(ШТАТ!$AL:$AL,$A19,ШТАТ!$AJ:$AJ,"о",ШТАТ!X:X,"Выполнение специальных задач")</f>
        <v>0</v>
      </c>
      <c r="R19" s="392">
        <f>COUNTIFS(ШТАТ!$AL:$AL,$A19,ШТАТ!$AJ:$AJ,"п",ШТАТ!$X:$X,"Выполнение специальных задач")</f>
        <v>1</v>
      </c>
      <c r="S19" s="392">
        <f>COUNTIFS(ШТАТ!$AL:$AL,$A19,ШТАТ!$AJ:$AJ,"к/с",ШТАТ!$X:$X,"Выполнение специальных задач")</f>
        <v>0</v>
      </c>
      <c r="T19" s="392">
        <f>COUNTIFS(ШТАТ!$AL:$AL,$A19,ШТАТ!$AJ:$AJ,"с/с",ШТАТ!$X:$X,"Выполнение специальных задач")</f>
        <v>0</v>
      </c>
      <c r="U19" s="1197">
        <f t="shared" si="11"/>
        <v>1</v>
      </c>
      <c r="V19" s="392">
        <f>COUNTIFS(ШТАТ!$AL:$AL,$A19,ШТАТ!$AJ:$AJ,"о",ШТАТ!$U:$U,"госп")</f>
        <v>0</v>
      </c>
      <c r="W19" s="392">
        <f>COUNTIFS(ШТАТ!$AL:$AL,$A19,ШТАТ!$AJ:$AJ,"п",ШТАТ!$U:$U,"госп")</f>
        <v>0</v>
      </c>
      <c r="X19" s="392">
        <f>COUNTIFS(ШТАТ!$AL:$AL,$A19,ШТАТ!$AJ:$AJ,"к/с",ШТАТ!$U:$U,"госп")</f>
        <v>0</v>
      </c>
      <c r="Y19" s="392">
        <f>COUNTIFS(ШТАТ!$AL:$AL,$A19,ШТАТ!$AJ:$AJ,"с/с",ШТАТ!$U:$U,"госп")</f>
        <v>0</v>
      </c>
      <c r="Z19" s="1197">
        <f t="shared" si="12"/>
        <v>0</v>
      </c>
      <c r="AA19" s="392">
        <f>COUNTIFS(ШТАТ!$AL:$AL,$A19,ШТАТ!$AJ:$AJ,"о",ШТАТ!$U:$U,"Отпуск")</f>
        <v>0</v>
      </c>
      <c r="AB19" s="392">
        <f>COUNTIFS(ШТАТ!$AL:$AL,$A19,ШТАТ!$AJ:$AJ,"п",ШТАТ!$U:$U,"Отпуск")</f>
        <v>0</v>
      </c>
      <c r="AC19" s="392">
        <f>COUNTIFS(ШТАТ!$AL:$AL,$A19,ШТАТ!$AJ:$AJ,"к/с",ШТАТ!$U:$U,"Отпуск")</f>
        <v>0</v>
      </c>
      <c r="AD19" s="392">
        <f>COUNTIFS(ШТАТ!$AL:$AL,$A19,ШТАТ!$AJ:$AJ,"с/с",ШТАТ!$U:$U,"Отпуск")</f>
        <v>0</v>
      </c>
      <c r="AE19" s="1197">
        <f t="shared" si="13"/>
        <v>0</v>
      </c>
      <c r="AF19" s="392">
        <f>COUNTIFS(ШТАТ!$AL:$AL,$A19,ШТАТ!$AJ:$AJ,"о",ШТАТ!$U:$U,"СОЧ")</f>
        <v>0</v>
      </c>
      <c r="AG19" s="392">
        <f>COUNTIFS(ШТАТ!$AL:$AL,$A19,ШТАТ!$AJ:$AJ,"п",ШТАТ!$U:$U,"СОЧ")</f>
        <v>0</v>
      </c>
      <c r="AH19" s="392">
        <f>COUNTIFS(ШТАТ!$AL:$AL,$A19,ШТАТ!$AJ:$AJ,"к/с",ШТАТ!$U:$U,"СОЧ")</f>
        <v>0</v>
      </c>
      <c r="AI19" s="392">
        <f>COUNTIFS(ШТАТ!$AL:$AL,$A19,ШТАТ!$AJ:$AJ,"с/с",ШТАТ!$U:$U,"СОЧ")</f>
        <v>0</v>
      </c>
      <c r="AJ19" s="1197">
        <f t="shared" si="14"/>
        <v>0</v>
      </c>
      <c r="AK19" s="392">
        <f>COUNTIFS(ШТАТ!$AL:$AL,$A19,ШТАТ!$AJ:$AJ,"о",ШТАТ!$W:$W,"в/ч 38838")</f>
        <v>0</v>
      </c>
      <c r="AL19" s="392">
        <f>COUNTIFS(ШТАТ!$AL:$AL,$A19,ШТАТ!$AJ:$AJ,"п",ШТАТ!$W:$W,"в/ч 38838")</f>
        <v>0</v>
      </c>
      <c r="AM19" s="392">
        <f>COUNTIFS(ШТАТ!$AL:$AL,$A19,ШТАТ!$AJ:$AJ,"к/с",ШТАТ!$W:$W,"в/ч 38838")</f>
        <v>0</v>
      </c>
      <c r="AN19" s="392">
        <f>COUNTIFS(ШТАТ!$AL:$AL,$A19,ШТАТ!$AJ:$AJ,"с/с",ШТАТ!$W:$W,"в/ч 38838")</f>
        <v>16</v>
      </c>
      <c r="AO19" s="1197">
        <f t="shared" si="15"/>
        <v>16</v>
      </c>
      <c r="AP19" s="392">
        <f>COUNTIFS(ШТАТ!$AL:$AL,$A19,ШТАТ!$AJ:$AJ,"о",ШТАТ!$W:$W,"п. Ладушкино")</f>
        <v>0</v>
      </c>
      <c r="AQ19" s="392">
        <f>COUNTIFS(ШТАТ!$AL:$AL,$A19,ШТАТ!$AJ:$AJ,"п",ШТАТ!$W:$W,"п. Ладушкино")</f>
        <v>0</v>
      </c>
      <c r="AR19" s="392">
        <f>COUNTIFS(ШТАТ!$AL:$AL,$A19,ШТАТ!$AJ:$AJ,"к/с",ШТАТ!$W:$W,"п. Ладушкино")</f>
        <v>0</v>
      </c>
      <c r="AS19" s="392">
        <f>COUNTIFS(ШТАТ!$AL:$AL,$A19,ШТАТ!$AJ:$AJ,"с/с",ШТАТ!$W:$W,"п. Ладушкино")</f>
        <v>13</v>
      </c>
      <c r="AT19" s="1197">
        <f t="shared" si="16"/>
        <v>13</v>
      </c>
      <c r="AU19" s="392">
        <f>COUNTIFS(ШТАТ!$AL:$AL,$A19,ШТАТ!$AJ:$AJ,"о",ШТАТ!$W:$W,"Чкаловск")</f>
        <v>0</v>
      </c>
      <c r="AV19" s="392">
        <f>COUNTIFS(ШТАТ!$AL:$AL,$A19,ШТАТ!$AJ:$AJ,"п",ШТАТ!$W:$W,"Чкаловск")</f>
        <v>0</v>
      </c>
      <c r="AW19" s="392">
        <f>COUNTIFS(ШТАТ!$AL:$AL,$A19,ШТАТ!$AJ:$AJ,"к/с",ШТАТ!$W:$W,"Чкаловск")</f>
        <v>0</v>
      </c>
      <c r="AX19" s="392">
        <f>COUNTIFS(ШТАТ!$AL:$AL,$A19,ШТАТ!$AJ:$AJ,"с/с",ШТАТ!$W:$W,"Чкаловск")</f>
        <v>14</v>
      </c>
      <c r="AY19" s="1197">
        <f t="shared" si="17"/>
        <v>14</v>
      </c>
      <c r="AZ19" s="392">
        <f>COUNTIFS(ШТАТ!$AL:$AL,$A19,ШТАТ!$AJ:$AJ,"о",ШТАТ!$U:$U,"полигон")</f>
        <v>0</v>
      </c>
      <c r="BA19" s="392">
        <f>COUNTIFS(ШТАТ!$AL:$AL,$A19,ШТАТ!$AJ:$AJ,"п",ШТАТ!$U:$U,"полигон")</f>
        <v>0</v>
      </c>
      <c r="BB19" s="392">
        <f>COUNTIFS(ШТАТ!$AL:$AL,$A19,ШТАТ!$AJ:$AJ,"к/с",ШТАТ!$U:$U,"полигон")</f>
        <v>0</v>
      </c>
      <c r="BC19" s="392">
        <f>COUNTIFS(ШТАТ!$AL:$AL,$A19,ШТАТ!$AJ:$AJ,"с/с",ШТАТ!$U:$U,"полигон")</f>
        <v>0</v>
      </c>
      <c r="BD19" s="1197">
        <f t="shared" si="18"/>
        <v>0</v>
      </c>
    </row>
    <row r="20" spans="1:56" x14ac:dyDescent="0.25">
      <c r="A20" s="392" t="s">
        <v>477</v>
      </c>
      <c r="B20" s="392">
        <f>COUNTIFS(ШТАТ!$AL:$AL,$A20,ШТАТ!$AJ:$AJ,"о")</f>
        <v>4</v>
      </c>
      <c r="C20" s="392">
        <f>COUNTIFS(ШТАТ!$AL:$AL,$A20,ШТАТ!$AJ:$AJ,"п")</f>
        <v>2</v>
      </c>
      <c r="D20" s="392">
        <f>COUNTIFS(ШТАТ!$AL:$AL,$A20,ШТАТ!$AJ:$AJ,"к/с")</f>
        <v>1</v>
      </c>
      <c r="E20" s="392">
        <f>COUNTIFS(ШТАТ!$AL:$AL,$A20,ШТАТ!$AJ:$AJ,"с/с")</f>
        <v>84</v>
      </c>
      <c r="F20" s="1197">
        <f t="shared" si="9"/>
        <v>91</v>
      </c>
      <c r="G20" s="392">
        <f>COUNTIFS(ШТАТ!$AL:$AL,$A20,ШТАТ!$AJ:$AJ,"о",ШТАТ!$U:$U,"")</f>
        <v>4</v>
      </c>
      <c r="H20" s="392">
        <f>COUNTIFS(ШТАТ!$AL:$AL,$A20,ШТАТ!$AJ:$AJ,"п",ШТАТ!$U:$U,"")</f>
        <v>2</v>
      </c>
      <c r="I20" s="392">
        <f>COUNTIFS(ШТАТ!$AL:$AL,$A20,ШТАТ!$AJ:$AJ,"к/с",ШТАТ!$U:$U,"")</f>
        <v>0</v>
      </c>
      <c r="J20" s="392">
        <f>COUNTIFS(ШТАТ!$AL:$AL,$A20,ШТАТ!$AJ:$AJ,"с/с",ШТАТ!$U:$U,"")</f>
        <v>4</v>
      </c>
      <c r="K20" s="1197">
        <f t="shared" si="8"/>
        <v>10</v>
      </c>
      <c r="L20" s="392">
        <f>COUNTIFS(ШТАТ!$AL:$AL,$A20,ШТАТ!$AJ:$AJ,"о",ШТАТ!W:W,"г. Белгород")</f>
        <v>0</v>
      </c>
      <c r="M20" s="392">
        <f>COUNTIFS(ШТАТ!$AL:$AL,$A20,ШТАТ!$AJ:$AJ,"п",ШТАТ!$W:$W,"г. Белгород")</f>
        <v>0</v>
      </c>
      <c r="N20" s="392">
        <f>COUNTIFS(ШТАТ!$AL:$AL,$A20,ШТАТ!$AJ:$AJ,"к/с",ШТАТ!$W:$W,"г. Белгород")</f>
        <v>0</v>
      </c>
      <c r="O20" s="392">
        <f>COUNTIFS(ШТАТ!$AL:$AL,$A20,ШТАТ!$AJ:$AJ,"с/с",ШТАТ!Z:Z,"г. Белгород")</f>
        <v>0</v>
      </c>
      <c r="P20" s="1197">
        <f t="shared" si="10"/>
        <v>0</v>
      </c>
      <c r="Q20" s="392">
        <f>COUNTIFS(ШТАТ!$AL:$AL,$A20,ШТАТ!$AJ:$AJ,"о",ШТАТ!X:X,"Выполнение специальных задач")</f>
        <v>0</v>
      </c>
      <c r="R20" s="392">
        <f>COUNTIFS(ШТАТ!$AL:$AL,$A20,ШТАТ!$AJ:$AJ,"п",ШТАТ!$X:$X,"Выполнение специальных задач")</f>
        <v>0</v>
      </c>
      <c r="S20" s="392">
        <f>COUNTIFS(ШТАТ!$AL:$AL,$A20,ШТАТ!$AJ:$AJ,"к/с",ШТАТ!$X:$X,"Выполнение специальных задач")</f>
        <v>0</v>
      </c>
      <c r="T20" s="392">
        <f>COUNTIFS(ШТАТ!$AL:$AL,$A20,ШТАТ!$AJ:$AJ,"с/с",ШТАТ!$X:$X,"Выполнение специальных задач")</f>
        <v>0</v>
      </c>
      <c r="U20" s="1197">
        <f t="shared" si="11"/>
        <v>0</v>
      </c>
      <c r="V20" s="392">
        <f>COUNTIFS(ШТАТ!$AL:$AL,$A20,ШТАТ!$AJ:$AJ,"о",ШТАТ!$U:$U,"госп")</f>
        <v>0</v>
      </c>
      <c r="W20" s="392">
        <f>COUNTIFS(ШТАТ!$AL:$AL,$A20,ШТАТ!$AJ:$AJ,"п",ШТАТ!$U:$U,"госп")</f>
        <v>0</v>
      </c>
      <c r="X20" s="392">
        <f>COUNTIFS(ШТАТ!$AL:$AL,$A20,ШТАТ!$AJ:$AJ,"к/с",ШТАТ!$U:$U,"госп")</f>
        <v>0</v>
      </c>
      <c r="Y20" s="392">
        <f>COUNTIFS(ШТАТ!$AL:$AL,$A20,ШТАТ!$AJ:$AJ,"с/с",ШТАТ!$U:$U,"госп")</f>
        <v>0</v>
      </c>
      <c r="Z20" s="1197">
        <f t="shared" si="12"/>
        <v>0</v>
      </c>
      <c r="AA20" s="392">
        <f>COUNTIFS(ШТАТ!$AL:$AL,$A20,ШТАТ!$AJ:$AJ,"о",ШТАТ!$U:$U,"Отпуск")</f>
        <v>0</v>
      </c>
      <c r="AB20" s="392">
        <f>COUNTIFS(ШТАТ!$AL:$AL,$A20,ШТАТ!$AJ:$AJ,"п",ШТАТ!$U:$U,"Отпуск")</f>
        <v>0</v>
      </c>
      <c r="AC20" s="392">
        <f>COUNTIFS(ШТАТ!$AL:$AL,$A20,ШТАТ!$AJ:$AJ,"к/с",ШТАТ!$U:$U,"Отпуск")</f>
        <v>1</v>
      </c>
      <c r="AD20" s="392">
        <f>COUNTIFS(ШТАТ!$AL:$AL,$A20,ШТАТ!$AJ:$AJ,"с/с",ШТАТ!$U:$U,"Отпуск")</f>
        <v>0</v>
      </c>
      <c r="AE20" s="1197">
        <f t="shared" si="13"/>
        <v>1</v>
      </c>
      <c r="AF20" s="392">
        <f>COUNTIFS(ШТАТ!$AL:$AL,$A20,ШТАТ!$AJ:$AJ,"о",ШТАТ!$U:$U,"СОЧ")</f>
        <v>0</v>
      </c>
      <c r="AG20" s="392">
        <f>COUNTIFS(ШТАТ!$AL:$AL,$A20,ШТАТ!$AJ:$AJ,"п",ШТАТ!$U:$U,"СОЧ")</f>
        <v>0</v>
      </c>
      <c r="AH20" s="392">
        <f>COUNTIFS(ШТАТ!$AL:$AL,$A20,ШТАТ!$AJ:$AJ,"к/с",ШТАТ!$U:$U,"СОЧ")</f>
        <v>0</v>
      </c>
      <c r="AI20" s="392">
        <f>COUNTIFS(ШТАТ!$AL:$AL,$A20,ШТАТ!$AJ:$AJ,"с/с",ШТАТ!$U:$U,"СОЧ")</f>
        <v>0</v>
      </c>
      <c r="AJ20" s="1197">
        <f t="shared" si="14"/>
        <v>0</v>
      </c>
      <c r="AK20" s="392">
        <f>COUNTIFS(ШТАТ!$AL:$AL,$A20,ШТАТ!$AJ:$AJ,"о",ШТАТ!$W:$W,"в/ч 38838")</f>
        <v>0</v>
      </c>
      <c r="AL20" s="392">
        <f>COUNTIFS(ШТАТ!$AL:$AL,$A20,ШТАТ!$AJ:$AJ,"п",ШТАТ!$W:$W,"в/ч 38838")</f>
        <v>0</v>
      </c>
      <c r="AM20" s="392">
        <f>COUNTIFS(ШТАТ!$AL:$AL,$A20,ШТАТ!$AJ:$AJ,"к/с",ШТАТ!$W:$W,"в/ч 38838")</f>
        <v>0</v>
      </c>
      <c r="AN20" s="392">
        <f>COUNTIFS(ШТАТ!$AL:$AL,$A20,ШТАТ!$AJ:$AJ,"с/с",ШТАТ!$W:$W,"в/ч 38838")</f>
        <v>77</v>
      </c>
      <c r="AO20" s="1197">
        <f t="shared" si="15"/>
        <v>77</v>
      </c>
      <c r="AP20" s="392">
        <f>COUNTIFS(ШТАТ!$AL:$AL,$A20,ШТАТ!$AJ:$AJ,"о",ШТАТ!$W:$W,"п. Ладушкино")</f>
        <v>0</v>
      </c>
      <c r="AQ20" s="392">
        <f>COUNTIFS(ШТАТ!$AL:$AL,$A20,ШТАТ!$AJ:$AJ,"п",ШТАТ!$W:$W,"п. Ладушкино")</f>
        <v>0</v>
      </c>
      <c r="AR20" s="392">
        <f>COUNTIFS(ШТАТ!$AL:$AL,$A20,ШТАТ!$AJ:$AJ,"к/с",ШТАТ!$W:$W,"п. Ладушкино")</f>
        <v>0</v>
      </c>
      <c r="AS20" s="392">
        <f>COUNTIFS(ШТАТ!$AL:$AL,$A20,ШТАТ!$AJ:$AJ,"с/с",ШТАТ!$W:$W,"п. Ладушкино")</f>
        <v>0</v>
      </c>
      <c r="AT20" s="1197">
        <f t="shared" si="16"/>
        <v>0</v>
      </c>
      <c r="AU20" s="392">
        <f>COUNTIFS(ШТАТ!$AL:$AL,$A20,ШТАТ!$AJ:$AJ,"о",ШТАТ!$W:$W,"Чкаловск")</f>
        <v>0</v>
      </c>
      <c r="AV20" s="392">
        <f>COUNTIFS(ШТАТ!$AL:$AL,$A20,ШТАТ!$AJ:$AJ,"п",ШТАТ!$W:$W,"Чкаловск")</f>
        <v>0</v>
      </c>
      <c r="AW20" s="392">
        <f>COUNTIFS(ШТАТ!$AL:$AL,$A20,ШТАТ!$AJ:$AJ,"к/с",ШТАТ!$W:$W,"Чкаловск")</f>
        <v>0</v>
      </c>
      <c r="AX20" s="392">
        <f>COUNTIFS(ШТАТ!$AL:$AL,$A20,ШТАТ!$AJ:$AJ,"с/с",ШТАТ!$W:$W,"Чкаловск")</f>
        <v>0</v>
      </c>
      <c r="AY20" s="1197">
        <f t="shared" si="17"/>
        <v>0</v>
      </c>
      <c r="AZ20" s="392">
        <f>COUNTIFS(ШТАТ!$AL:$AL,$A20,ШТАТ!$AJ:$AJ,"о",ШТАТ!$U:$U,"полигон")</f>
        <v>0</v>
      </c>
      <c r="BA20" s="392">
        <f>COUNTIFS(ШТАТ!$AL:$AL,$A20,ШТАТ!$AJ:$AJ,"п",ШТАТ!$U:$U,"полигон")</f>
        <v>0</v>
      </c>
      <c r="BB20" s="392">
        <f>COUNTIFS(ШТАТ!$AL:$AL,$A20,ШТАТ!$AJ:$AJ,"к/с",ШТАТ!$U:$U,"полигон")</f>
        <v>0</v>
      </c>
      <c r="BC20" s="392">
        <f>COUNTIFS(ШТАТ!$AL:$AL,$A20,ШТАТ!$AJ:$AJ,"с/с",ШТАТ!$U:$U,"полигон")</f>
        <v>1</v>
      </c>
      <c r="BD20" s="1197">
        <f t="shared" si="18"/>
        <v>1</v>
      </c>
    </row>
    <row r="21" spans="1:56" x14ac:dyDescent="0.25">
      <c r="A21" s="392" t="s">
        <v>479</v>
      </c>
      <c r="B21" s="392">
        <f>COUNTIFS(ШТАТ!$AL:$AL,$A21,ШТАТ!$AJ:$AJ,"о")</f>
        <v>4</v>
      </c>
      <c r="C21" s="392">
        <f>COUNTIFS(ШТАТ!$AL:$AL,$A21,ШТАТ!$AJ:$AJ,"п")</f>
        <v>1</v>
      </c>
      <c r="D21" s="392">
        <f>COUNTIFS(ШТАТ!$AL:$AL,$A21,ШТАТ!$AJ:$AJ,"к/с")</f>
        <v>1</v>
      </c>
      <c r="E21" s="392">
        <f>COUNTIFS(ШТАТ!$AL:$AL,$A21,ШТАТ!$AJ:$AJ,"с/с")</f>
        <v>33</v>
      </c>
      <c r="F21" s="1197">
        <f t="shared" si="9"/>
        <v>39</v>
      </c>
      <c r="G21" s="392">
        <f>COUNTIFS(ШТАТ!$AL:$AL,$A21,ШТАТ!$AJ:$AJ,"о",ШТАТ!$U:$U,"")</f>
        <v>1</v>
      </c>
      <c r="H21" s="392">
        <f>COUNTIFS(ШТАТ!$AL:$AL,$A21,ШТАТ!$AJ:$AJ,"п",ШТАТ!$U:$U,"")</f>
        <v>0</v>
      </c>
      <c r="I21" s="392">
        <f>COUNTIFS(ШТАТ!$AL:$AL,$A21,ШТАТ!$AJ:$AJ,"к/с",ШТАТ!$U:$U,"")</f>
        <v>0</v>
      </c>
      <c r="J21" s="392">
        <f>COUNTIFS(ШТАТ!$AL:$AL,$A21,ШТАТ!$AJ:$AJ,"с/с",ШТАТ!$U:$U,"")</f>
        <v>0</v>
      </c>
      <c r="K21" s="1197">
        <f t="shared" si="8"/>
        <v>1</v>
      </c>
      <c r="L21" s="392">
        <f>COUNTIFS(ШТАТ!$AL:$AL,$A21,ШТАТ!$AJ:$AJ,"о",ШТАТ!W:W,"г. Белгород")</f>
        <v>0</v>
      </c>
      <c r="M21" s="392">
        <f>COUNTIFS(ШТАТ!$AL:$AL,$A21,ШТАТ!$AJ:$AJ,"п",ШТАТ!$W:$W,"г. Белгород")</f>
        <v>0</v>
      </c>
      <c r="N21" s="392">
        <f>COUNTIFS(ШТАТ!$AL:$AL,$A21,ШТАТ!$AJ:$AJ,"к/с",ШТАТ!$W:$W,"г. Белгород")</f>
        <v>0</v>
      </c>
      <c r="O21" s="392">
        <f>COUNTIFS(ШТАТ!$AL:$AL,$A21,ШТАТ!$AJ:$AJ,"с/с",ШТАТ!Z:Z,"г. Белгород")</f>
        <v>0</v>
      </c>
      <c r="P21" s="1197">
        <f t="shared" si="10"/>
        <v>0</v>
      </c>
      <c r="Q21" s="392">
        <f>COUNTIFS(ШТАТ!$AL:$AL,$A21,ШТАТ!$AJ:$AJ,"о",ШТАТ!X:X,"Выполнение специальных задач")</f>
        <v>0</v>
      </c>
      <c r="R21" s="392">
        <f>COUNTIFS(ШТАТ!$AL:$AL,$A21,ШТАТ!$AJ:$AJ,"п",ШТАТ!$X:$X,"Выполнение специальных задач")</f>
        <v>1</v>
      </c>
      <c r="S21" s="392">
        <f>COUNTIFS(ШТАТ!$AL:$AL,$A21,ШТАТ!$AJ:$AJ,"к/с",ШТАТ!$X:$X,"Выполнение специальных задач")</f>
        <v>0</v>
      </c>
      <c r="T21" s="392">
        <f>COUNTIFS(ШТАТ!$AL:$AL,$A21,ШТАТ!$AJ:$AJ,"с/с",ШТАТ!$X:$X,"Выполнение специальных задач")</f>
        <v>0</v>
      </c>
      <c r="U21" s="1197">
        <f t="shared" si="11"/>
        <v>1</v>
      </c>
      <c r="V21" s="392">
        <f>COUNTIFS(ШТАТ!$AL:$AL,$A21,ШТАТ!$AJ:$AJ,"о",ШТАТ!$U:$U,"госп")</f>
        <v>0</v>
      </c>
      <c r="W21" s="392">
        <f>COUNTIFS(ШТАТ!$AL:$AL,$A21,ШТАТ!$AJ:$AJ,"п",ШТАТ!$U:$U,"госп")</f>
        <v>0</v>
      </c>
      <c r="X21" s="392">
        <f>COUNTIFS(ШТАТ!$AL:$AL,$A21,ШТАТ!$AJ:$AJ,"к/с",ШТАТ!$U:$U,"госп")</f>
        <v>0</v>
      </c>
      <c r="Y21" s="392">
        <f>COUNTIFS(ШТАТ!$AL:$AL,$A21,ШТАТ!$AJ:$AJ,"с/с",ШТАТ!$U:$U,"госп")</f>
        <v>0</v>
      </c>
      <c r="Z21" s="1197">
        <f t="shared" si="12"/>
        <v>0</v>
      </c>
      <c r="AA21" s="392">
        <f>COUNTIFS(ШТАТ!$AL:$AL,$A21,ШТАТ!$AJ:$AJ,"о",ШТАТ!$U:$U,"Отпуск")</f>
        <v>0</v>
      </c>
      <c r="AB21" s="392">
        <f>COUNTIFS(ШТАТ!$AL:$AL,$A21,ШТАТ!$AJ:$AJ,"п",ШТАТ!$U:$U,"Отпуск")</f>
        <v>0</v>
      </c>
      <c r="AC21" s="392">
        <f>COUNTIFS(ШТАТ!$AL:$AL,$A21,ШТАТ!$AJ:$AJ,"к/с",ШТАТ!$U:$U,"Отпуск")</f>
        <v>0</v>
      </c>
      <c r="AD21" s="392">
        <f>COUNTIFS(ШТАТ!$AL:$AL,$A21,ШТАТ!$AJ:$AJ,"с/с",ШТАТ!$U:$U,"Отпуск")</f>
        <v>0</v>
      </c>
      <c r="AE21" s="1197">
        <f t="shared" si="13"/>
        <v>0</v>
      </c>
      <c r="AF21" s="392">
        <f>COUNTIFS(ШТАТ!$AL:$AL,$A21,ШТАТ!$AJ:$AJ,"о",ШТАТ!$U:$U,"СОЧ")</f>
        <v>0</v>
      </c>
      <c r="AG21" s="392">
        <f>COUNTIFS(ШТАТ!$AL:$AL,$A21,ШТАТ!$AJ:$AJ,"п",ШТАТ!$U:$U,"СОЧ")</f>
        <v>0</v>
      </c>
      <c r="AH21" s="392">
        <f>COUNTIFS(ШТАТ!$AL:$AL,$A21,ШТАТ!$AJ:$AJ,"к/с",ШТАТ!$U:$U,"СОЧ")</f>
        <v>0</v>
      </c>
      <c r="AI21" s="392">
        <f>COUNTIFS(ШТАТ!$AL:$AL,$A21,ШТАТ!$AJ:$AJ,"с/с",ШТАТ!$U:$U,"СОЧ")</f>
        <v>0</v>
      </c>
      <c r="AJ21" s="1197">
        <f t="shared" si="14"/>
        <v>0</v>
      </c>
      <c r="AK21" s="392">
        <f>COUNTIFS(ШТАТ!$AL:$AL,$A21,ШТАТ!$AJ:$AJ,"о",ШТАТ!$W:$W,"в/ч 38838")</f>
        <v>2</v>
      </c>
      <c r="AL21" s="392">
        <f>COUNTIFS(ШТАТ!$AL:$AL,$A21,ШТАТ!$AJ:$AJ,"п",ШТАТ!$W:$W,"в/ч 38838")</f>
        <v>0</v>
      </c>
      <c r="AM21" s="392">
        <f>COUNTIFS(ШТАТ!$AL:$AL,$A21,ШТАТ!$AJ:$AJ,"к/с",ШТАТ!$W:$W,"в/ч 38838")</f>
        <v>1</v>
      </c>
      <c r="AN21" s="392">
        <f>COUNTIFS(ШТАТ!$AL:$AL,$A21,ШТАТ!$AJ:$AJ,"с/с",ШТАТ!$W:$W,"в/ч 38838")</f>
        <v>32</v>
      </c>
      <c r="AO21" s="1197">
        <f t="shared" si="15"/>
        <v>35</v>
      </c>
      <c r="AP21" s="392">
        <f>COUNTIFS(ШТАТ!$AL:$AL,$A21,ШТАТ!$AJ:$AJ,"о",ШТАТ!$W:$W,"п. Ладушкино")</f>
        <v>0</v>
      </c>
      <c r="AQ21" s="392">
        <f>COUNTIFS(ШТАТ!$AL:$AL,$A21,ШТАТ!$AJ:$AJ,"п",ШТАТ!$W:$W,"п. Ладушкино")</f>
        <v>0</v>
      </c>
      <c r="AR21" s="392">
        <f>COUNTIFS(ШТАТ!$AL:$AL,$A21,ШТАТ!$AJ:$AJ,"к/с",ШТАТ!$W:$W,"п. Ладушкино")</f>
        <v>0</v>
      </c>
      <c r="AS21" s="392">
        <f>COUNTIFS(ШТАТ!$AL:$AL,$A21,ШТАТ!$AJ:$AJ,"с/с",ШТАТ!$W:$W,"п. Ладушкино")</f>
        <v>0</v>
      </c>
      <c r="AT21" s="1197">
        <f t="shared" si="16"/>
        <v>0</v>
      </c>
      <c r="AU21" s="392">
        <f>COUNTIFS(ШТАТ!$AL:$AL,$A21,ШТАТ!$AJ:$AJ,"о",ШТАТ!$W:$W,"Чкаловск")</f>
        <v>0</v>
      </c>
      <c r="AV21" s="392">
        <f>COUNTIFS(ШТАТ!$AL:$AL,$A21,ШТАТ!$AJ:$AJ,"п",ШТАТ!$W:$W,"Чкаловск")</f>
        <v>0</v>
      </c>
      <c r="AW21" s="392">
        <f>COUNTIFS(ШТАТ!$AL:$AL,$A21,ШТАТ!$AJ:$AJ,"к/с",ШТАТ!$W:$W,"Чкаловск")</f>
        <v>0</v>
      </c>
      <c r="AX21" s="392">
        <f>COUNTIFS(ШТАТ!$AL:$AL,$A21,ШТАТ!$AJ:$AJ,"с/с",ШТАТ!$W:$W,"Чкаловск")</f>
        <v>0</v>
      </c>
      <c r="AY21" s="1197">
        <f t="shared" si="17"/>
        <v>0</v>
      </c>
      <c r="AZ21" s="392">
        <f>COUNTIFS(ШТАТ!$AL:$AL,$A21,ШТАТ!$AJ:$AJ,"о",ШТАТ!$U:$U,"полигон")</f>
        <v>0</v>
      </c>
      <c r="BA21" s="392">
        <f>COUNTIFS(ШТАТ!$AL:$AL,$A21,ШТАТ!$AJ:$AJ,"п",ШТАТ!$U:$U,"полигон")</f>
        <v>0</v>
      </c>
      <c r="BB21" s="392">
        <f>COUNTIFS(ШТАТ!$AL:$AL,$A21,ШТАТ!$AJ:$AJ,"к/с",ШТАТ!$U:$U,"полигон")</f>
        <v>0</v>
      </c>
      <c r="BC21" s="392">
        <f>COUNTIFS(ШТАТ!$AL:$AL,$A21,ШТАТ!$AJ:$AJ,"с/с",ШТАТ!$U:$U,"полигон")</f>
        <v>1</v>
      </c>
      <c r="BD21" s="1197">
        <f t="shared" si="18"/>
        <v>1</v>
      </c>
    </row>
    <row r="22" spans="1:56" x14ac:dyDescent="0.25">
      <c r="A22" s="392" t="s">
        <v>481</v>
      </c>
      <c r="B22" s="392">
        <f>COUNTIFS(ШТАТ!$AL:$AL,$A22,ШТАТ!$AJ:$AJ,"о")</f>
        <v>1</v>
      </c>
      <c r="C22" s="392">
        <f>COUNTIFS(ШТАТ!$AL:$AL,$A22,ШТАТ!$AJ:$AJ,"п")</f>
        <v>0</v>
      </c>
      <c r="D22" s="392">
        <f>COUNTIFS(ШТАТ!$AL:$AL,$A22,ШТАТ!$AJ:$AJ,"к/с")</f>
        <v>3</v>
      </c>
      <c r="E22" s="392">
        <f>COUNTIFS(ШТАТ!$AL:$AL,$A22,ШТАТ!$AJ:$AJ,"с/с")</f>
        <v>17</v>
      </c>
      <c r="F22" s="1197">
        <f t="shared" si="9"/>
        <v>21</v>
      </c>
      <c r="G22" s="392">
        <f>COUNTIFS(ШТАТ!$AL:$AL,$A22,ШТАТ!$AJ:$AJ,"о",ШТАТ!$U:$U,"")</f>
        <v>0</v>
      </c>
      <c r="H22" s="392">
        <f>COUNTIFS(ШТАТ!$AL:$AL,$A22,ШТАТ!$AJ:$AJ,"п",ШТАТ!$U:$U,"")</f>
        <v>0</v>
      </c>
      <c r="I22" s="392">
        <f>COUNTIFS(ШТАТ!$AL:$AL,$A22,ШТАТ!$AJ:$AJ,"к/с",ШТАТ!$U:$U,"")</f>
        <v>1</v>
      </c>
      <c r="J22" s="392">
        <f>COUNTIFS(ШТАТ!$AL:$AL,$A22,ШТАТ!$AJ:$AJ,"с/с",ШТАТ!$U:$U,"")</f>
        <v>0</v>
      </c>
      <c r="K22" s="1197">
        <f t="shared" si="8"/>
        <v>1</v>
      </c>
      <c r="L22" s="392">
        <f>COUNTIFS(ШТАТ!$AL:$AL,$A22,ШТАТ!$AJ:$AJ,"о",ШТАТ!W:W,"г. Белгород")</f>
        <v>1</v>
      </c>
      <c r="M22" s="392">
        <f>COUNTIFS(ШТАТ!$AL:$AL,$A22,ШТАТ!$AJ:$AJ,"п",ШТАТ!$W:$W,"г. Белгород")</f>
        <v>0</v>
      </c>
      <c r="N22" s="392">
        <f>COUNTIFS(ШТАТ!$AL:$AL,$A22,ШТАТ!$AJ:$AJ,"к/с",ШТАТ!$W:$W,"г. Белгород")</f>
        <v>0</v>
      </c>
      <c r="O22" s="392">
        <f>COUNTIFS(ШТАТ!$AL:$AL,$A22,ШТАТ!$AJ:$AJ,"с/с",ШТАТ!Z:Z,"г. Белгород")</f>
        <v>0</v>
      </c>
      <c r="P22" s="1197">
        <f t="shared" si="10"/>
        <v>1</v>
      </c>
      <c r="Q22" s="392">
        <f>COUNTIFS(ШТАТ!$AL:$AL,$A22,ШТАТ!$AJ:$AJ,"о",ШТАТ!X:X,"Выполнение специальных задач")</f>
        <v>0</v>
      </c>
      <c r="R22" s="392">
        <f>COUNTIFS(ШТАТ!$AL:$AL,$A22,ШТАТ!$AJ:$AJ,"п",ШТАТ!$X:$X,"Выполнение специальных задач")</f>
        <v>0</v>
      </c>
      <c r="S22" s="392">
        <f>COUNTIFS(ШТАТ!$AL:$AL,$A22,ШТАТ!$AJ:$AJ,"к/с",ШТАТ!$X:$X,"Выполнение специальных задач")</f>
        <v>0</v>
      </c>
      <c r="T22" s="392">
        <f>COUNTIFS(ШТАТ!$AL:$AL,$A22,ШТАТ!$AJ:$AJ,"с/с",ШТАТ!$X:$X,"Выполнение специальных задач")</f>
        <v>0</v>
      </c>
      <c r="U22" s="1197">
        <f t="shared" si="11"/>
        <v>0</v>
      </c>
      <c r="V22" s="392">
        <f>COUNTIFS(ШТАТ!$AL:$AL,$A22,ШТАТ!$AJ:$AJ,"о",ШТАТ!$U:$U,"госп")</f>
        <v>0</v>
      </c>
      <c r="W22" s="392">
        <f>COUNTIFS(ШТАТ!$AL:$AL,$A22,ШТАТ!$AJ:$AJ,"п",ШТАТ!$U:$U,"госп")</f>
        <v>0</v>
      </c>
      <c r="X22" s="392">
        <f>COUNTIFS(ШТАТ!$AL:$AL,$A22,ШТАТ!$AJ:$AJ,"к/с",ШТАТ!$U:$U,"госп")</f>
        <v>0</v>
      </c>
      <c r="Y22" s="392">
        <f>COUNTIFS(ШТАТ!$AL:$AL,$A22,ШТАТ!$AJ:$AJ,"с/с",ШТАТ!$U:$U,"госп")</f>
        <v>0</v>
      </c>
      <c r="Z22" s="1197">
        <f t="shared" si="12"/>
        <v>0</v>
      </c>
      <c r="AA22" s="392">
        <f>COUNTIFS(ШТАТ!$AL:$AL,$A22,ШТАТ!$AJ:$AJ,"о",ШТАТ!$U:$U,"Отпуск")</f>
        <v>0</v>
      </c>
      <c r="AB22" s="392">
        <f>COUNTIFS(ШТАТ!$AL:$AL,$A22,ШТАТ!$AJ:$AJ,"п",ШТАТ!$U:$U,"Отпуск")</f>
        <v>0</v>
      </c>
      <c r="AC22" s="392">
        <f>COUNTIFS(ШТАТ!$AL:$AL,$A22,ШТАТ!$AJ:$AJ,"к/с",ШТАТ!$U:$U,"Отпуск")</f>
        <v>2</v>
      </c>
      <c r="AD22" s="392">
        <f>COUNTIFS(ШТАТ!$AL:$AL,$A22,ШТАТ!$AJ:$AJ,"с/с",ШТАТ!$U:$U,"Отпуск")</f>
        <v>0</v>
      </c>
      <c r="AE22" s="1197">
        <f t="shared" si="13"/>
        <v>2</v>
      </c>
      <c r="AF22" s="392">
        <f>COUNTIFS(ШТАТ!$AL:$AL,$A22,ШТАТ!$AJ:$AJ,"о",ШТАТ!$U:$U,"СОЧ")</f>
        <v>0</v>
      </c>
      <c r="AG22" s="392">
        <f>COUNTIFS(ШТАТ!$AL:$AL,$A22,ШТАТ!$AJ:$AJ,"п",ШТАТ!$U:$U,"СОЧ")</f>
        <v>0</v>
      </c>
      <c r="AH22" s="392">
        <f>COUNTIFS(ШТАТ!$AL:$AL,$A22,ШТАТ!$AJ:$AJ,"к/с",ШТАТ!$U:$U,"СОЧ")</f>
        <v>0</v>
      </c>
      <c r="AI22" s="392">
        <f>COUNTIFS(ШТАТ!$AL:$AL,$A22,ШТАТ!$AJ:$AJ,"с/с",ШТАТ!$U:$U,"СОЧ")</f>
        <v>0</v>
      </c>
      <c r="AJ22" s="1197">
        <f t="shared" si="14"/>
        <v>0</v>
      </c>
      <c r="AK22" s="392">
        <f>COUNTIFS(ШТАТ!$AL:$AL,$A22,ШТАТ!$AJ:$AJ,"о",ШТАТ!$W:$W,"в/ч 38838")</f>
        <v>0</v>
      </c>
      <c r="AL22" s="392">
        <f>COUNTIFS(ШТАТ!$AL:$AL,$A22,ШТАТ!$AJ:$AJ,"п",ШТАТ!$W:$W,"в/ч 38838")</f>
        <v>0</v>
      </c>
      <c r="AM22" s="392">
        <f>COUNTIFS(ШТАТ!$AL:$AL,$A22,ШТАТ!$AJ:$AJ,"к/с",ШТАТ!$W:$W,"в/ч 38838")</f>
        <v>0</v>
      </c>
      <c r="AN22" s="392">
        <f>COUNTIFS(ШТАТ!$AL:$AL,$A22,ШТАТ!$AJ:$AJ,"с/с",ШТАТ!$W:$W,"в/ч 38838")</f>
        <v>17</v>
      </c>
      <c r="AO22" s="1197">
        <f t="shared" si="15"/>
        <v>17</v>
      </c>
      <c r="AP22" s="392">
        <f>COUNTIFS(ШТАТ!$AL:$AL,$A22,ШТАТ!$AJ:$AJ,"о",ШТАТ!$W:$W,"п. Ладушкино")</f>
        <v>0</v>
      </c>
      <c r="AQ22" s="392">
        <f>COUNTIFS(ШТАТ!$AL:$AL,$A22,ШТАТ!$AJ:$AJ,"п",ШТАТ!$W:$W,"п. Ладушкино")</f>
        <v>0</v>
      </c>
      <c r="AR22" s="392">
        <f>COUNTIFS(ШТАТ!$AL:$AL,$A22,ШТАТ!$AJ:$AJ,"к/с",ШТАТ!$W:$W,"п. Ладушкино")</f>
        <v>0</v>
      </c>
      <c r="AS22" s="392">
        <f>COUNTIFS(ШТАТ!$AL:$AL,$A22,ШТАТ!$AJ:$AJ,"с/с",ШТАТ!$W:$W,"п. Ладушкино")</f>
        <v>0</v>
      </c>
      <c r="AT22" s="1197">
        <f t="shared" si="16"/>
        <v>0</v>
      </c>
      <c r="AU22" s="392">
        <f>COUNTIFS(ШТАТ!$AL:$AL,$A22,ШТАТ!$AJ:$AJ,"о",ШТАТ!$W:$W,"Чкаловск")</f>
        <v>0</v>
      </c>
      <c r="AV22" s="392">
        <f>COUNTIFS(ШТАТ!$AL:$AL,$A22,ШТАТ!$AJ:$AJ,"п",ШТАТ!$W:$W,"Чкаловск")</f>
        <v>0</v>
      </c>
      <c r="AW22" s="392">
        <f>COUNTIFS(ШТАТ!$AL:$AL,$A22,ШТАТ!$AJ:$AJ,"к/с",ШТАТ!$W:$W,"Чкаловск")</f>
        <v>0</v>
      </c>
      <c r="AX22" s="392">
        <f>COUNTIFS(ШТАТ!$AL:$AL,$A22,ШТАТ!$AJ:$AJ,"с/с",ШТАТ!$W:$W,"Чкаловск")</f>
        <v>0</v>
      </c>
      <c r="AY22" s="1197">
        <f t="shared" si="17"/>
        <v>0</v>
      </c>
      <c r="AZ22" s="392">
        <f>COUNTIFS(ШТАТ!$AL:$AL,$A22,ШТАТ!$AJ:$AJ,"о",ШТАТ!$U:$U,"полигон")</f>
        <v>0</v>
      </c>
      <c r="BA22" s="392">
        <f>COUNTIFS(ШТАТ!$AL:$AL,$A22,ШТАТ!$AJ:$AJ,"п",ШТАТ!$U:$U,"полигон")</f>
        <v>0</v>
      </c>
      <c r="BB22" s="392">
        <f>COUNTIFS(ШТАТ!$AL:$AL,$A22,ШТАТ!$AJ:$AJ,"к/с",ШТАТ!$U:$U,"полигон")</f>
        <v>0</v>
      </c>
      <c r="BC22" s="392">
        <f>COUNTIFS(ШТАТ!$AL:$AL,$A22,ШТАТ!$AJ:$AJ,"с/с",ШТАТ!$U:$U,"полигон")</f>
        <v>0</v>
      </c>
      <c r="BD22" s="1197">
        <f t="shared" si="18"/>
        <v>0</v>
      </c>
    </row>
    <row r="23" spans="1:56" x14ac:dyDescent="0.25">
      <c r="A23" s="392" t="s">
        <v>924</v>
      </c>
      <c r="B23" s="392">
        <f>COUNTIFS(ШТАТ!$AL:$AL,$A23,ШТАТ!$AJ:$AJ,"о")</f>
        <v>1</v>
      </c>
      <c r="C23" s="392">
        <f>COUNTIFS(ШТАТ!$AL:$AL,$A23,ШТАТ!$AJ:$AJ,"п")</f>
        <v>0</v>
      </c>
      <c r="D23" s="392">
        <f>COUNTIFS(ШТАТ!$AL:$AL,$A23,ШТАТ!$AJ:$AJ,"к/с")</f>
        <v>0</v>
      </c>
      <c r="E23" s="392">
        <f>COUNTIFS(ШТАТ!$AL:$AL,$A23,ШТАТ!$AJ:$AJ,"с/с")</f>
        <v>12</v>
      </c>
      <c r="F23" s="1197">
        <f t="shared" si="9"/>
        <v>13</v>
      </c>
      <c r="G23" s="392">
        <f>COUNTIFS(ШТАТ!$AL:$AL,$A23,ШТАТ!$AJ:$AJ,"о",ШТАТ!$U:$U,"")</f>
        <v>1</v>
      </c>
      <c r="H23" s="392">
        <f>COUNTIFS(ШТАТ!$AL:$AL,$A23,ШТАТ!$AJ:$AJ,"п",ШТАТ!$U:$U,"")</f>
        <v>0</v>
      </c>
      <c r="I23" s="392">
        <f>COUNTIFS(ШТАТ!$AL:$AL,$A23,ШТАТ!$AJ:$AJ,"к/с",ШТАТ!$U:$U,"")</f>
        <v>0</v>
      </c>
      <c r="J23" s="392">
        <f>COUNTIFS(ШТАТ!$AL:$AL,$A23,ШТАТ!$AJ:$AJ,"с/с",ШТАТ!$U:$U,"")</f>
        <v>0</v>
      </c>
      <c r="K23" s="1197">
        <f t="shared" si="8"/>
        <v>1</v>
      </c>
      <c r="L23" s="392">
        <f>COUNTIFS(ШТАТ!$AL:$AL,$A23,ШТАТ!$AJ:$AJ,"о",ШТАТ!W:W,"г. Белгород")</f>
        <v>0</v>
      </c>
      <c r="M23" s="392">
        <f>COUNTIFS(ШТАТ!$AL:$AL,$A23,ШТАТ!$AJ:$AJ,"п",ШТАТ!$W:$W,"г. Белгород")</f>
        <v>0</v>
      </c>
      <c r="N23" s="392">
        <f>COUNTIFS(ШТАТ!$AL:$AL,$A23,ШТАТ!$AJ:$AJ,"к/с",ШТАТ!$W:$W,"г. Белгород")</f>
        <v>0</v>
      </c>
      <c r="O23" s="392">
        <f>COUNTIFS(ШТАТ!$AL:$AL,$A23,ШТАТ!$AJ:$AJ,"с/с",ШТАТ!Z:Z,"г. Белгород")</f>
        <v>0</v>
      </c>
      <c r="P23" s="1197">
        <f t="shared" si="10"/>
        <v>0</v>
      </c>
      <c r="Q23" s="392">
        <f>COUNTIFS(ШТАТ!$AL:$AL,$A23,ШТАТ!$AJ:$AJ,"о",ШТАТ!X:X,"Выполнение специальных задач")</f>
        <v>0</v>
      </c>
      <c r="R23" s="392">
        <f>COUNTIFS(ШТАТ!$AL:$AL,$A23,ШТАТ!$AJ:$AJ,"п",ШТАТ!$X:$X,"Выполнение специальных задач")</f>
        <v>0</v>
      </c>
      <c r="S23" s="392">
        <f>COUNTIFS(ШТАТ!$AL:$AL,$A23,ШТАТ!$AJ:$AJ,"к/с",ШТАТ!$X:$X,"Выполнение специальных задач")</f>
        <v>0</v>
      </c>
      <c r="T23" s="392">
        <f>COUNTIFS(ШТАТ!$AL:$AL,$A23,ШТАТ!$AJ:$AJ,"с/с",ШТАТ!$X:$X,"Выполнение специальных задач")</f>
        <v>0</v>
      </c>
      <c r="U23" s="1197">
        <f t="shared" si="11"/>
        <v>0</v>
      </c>
      <c r="V23" s="392">
        <f>COUNTIFS(ШТАТ!$AL:$AL,$A23,ШТАТ!$AJ:$AJ,"о",ШТАТ!$U:$U,"госп")</f>
        <v>0</v>
      </c>
      <c r="W23" s="392">
        <f>COUNTIFS(ШТАТ!$AL:$AL,$A23,ШТАТ!$AJ:$AJ,"п",ШТАТ!$U:$U,"госп")</f>
        <v>0</v>
      </c>
      <c r="X23" s="392">
        <f>COUNTIFS(ШТАТ!$AL:$AL,$A23,ШТАТ!$AJ:$AJ,"к/с",ШТАТ!$U:$U,"госп")</f>
        <v>0</v>
      </c>
      <c r="Y23" s="392">
        <f>COUNTIFS(ШТАТ!$AL:$AL,$A23,ШТАТ!$AJ:$AJ,"с/с",ШТАТ!$U:$U,"госп")</f>
        <v>0</v>
      </c>
      <c r="Z23" s="1197">
        <f t="shared" si="12"/>
        <v>0</v>
      </c>
      <c r="AA23" s="392">
        <f>COUNTIFS(ШТАТ!$AL:$AL,$A23,ШТАТ!$AJ:$AJ,"о",ШТАТ!$U:$U,"Отпуск")</f>
        <v>0</v>
      </c>
      <c r="AB23" s="392">
        <f>COUNTIFS(ШТАТ!$AL:$AL,$A23,ШТАТ!$AJ:$AJ,"п",ШТАТ!$U:$U,"Отпуск")</f>
        <v>0</v>
      </c>
      <c r="AC23" s="392">
        <f>COUNTIFS(ШТАТ!$AL:$AL,$A23,ШТАТ!$AJ:$AJ,"к/с",ШТАТ!$U:$U,"Отпуск")</f>
        <v>0</v>
      </c>
      <c r="AD23" s="392">
        <f>COUNTIFS(ШТАТ!$AL:$AL,$A23,ШТАТ!$AJ:$AJ,"с/с",ШТАТ!$U:$U,"Отпуск")</f>
        <v>0</v>
      </c>
      <c r="AE23" s="1197">
        <f t="shared" si="13"/>
        <v>0</v>
      </c>
      <c r="AF23" s="392">
        <f>COUNTIFS(ШТАТ!$AL:$AL,$A23,ШТАТ!$AJ:$AJ,"о",ШТАТ!$U:$U,"СОЧ")</f>
        <v>0</v>
      </c>
      <c r="AG23" s="392">
        <f>COUNTIFS(ШТАТ!$AL:$AL,$A23,ШТАТ!$AJ:$AJ,"п",ШТАТ!$U:$U,"СОЧ")</f>
        <v>0</v>
      </c>
      <c r="AH23" s="392">
        <f>COUNTIFS(ШТАТ!$AL:$AL,$A23,ШТАТ!$AJ:$AJ,"к/с",ШТАТ!$U:$U,"СОЧ")</f>
        <v>0</v>
      </c>
      <c r="AI23" s="392">
        <f>COUNTIFS(ШТАТ!$AL:$AL,$A23,ШТАТ!$AJ:$AJ,"с/с",ШТАТ!$U:$U,"СОЧ")</f>
        <v>0</v>
      </c>
      <c r="AJ23" s="1197">
        <f t="shared" si="14"/>
        <v>0</v>
      </c>
      <c r="AK23" s="392">
        <f>COUNTIFS(ШТАТ!$AL:$AL,$A23,ШТАТ!$AJ:$AJ,"о",ШТАТ!$W:$W,"в/ч 38838")</f>
        <v>0</v>
      </c>
      <c r="AL23" s="392">
        <f>COUNTIFS(ШТАТ!$AL:$AL,$A23,ШТАТ!$AJ:$AJ,"п",ШТАТ!$W:$W,"в/ч 38838")</f>
        <v>0</v>
      </c>
      <c r="AM23" s="392">
        <f>COUNTIFS(ШТАТ!$AL:$AL,$A23,ШТАТ!$AJ:$AJ,"к/с",ШТАТ!$W:$W,"в/ч 38838")</f>
        <v>0</v>
      </c>
      <c r="AN23" s="392">
        <f>COUNTIFS(ШТАТ!$AL:$AL,$A23,ШТАТ!$AJ:$AJ,"с/с",ШТАТ!$W:$W,"в/ч 38838")</f>
        <v>0</v>
      </c>
      <c r="AO23" s="1197">
        <f t="shared" si="15"/>
        <v>0</v>
      </c>
      <c r="AP23" s="392">
        <f>COUNTIFS(ШТАТ!$AL:$AL,$A23,ШТАТ!$AJ:$AJ,"о",ШТАТ!$W:$W,"п. Ладушкино")</f>
        <v>0</v>
      </c>
      <c r="AQ23" s="392">
        <f>COUNTIFS(ШТАТ!$AL:$AL,$A23,ШТАТ!$AJ:$AJ,"п",ШТАТ!$W:$W,"п. Ладушкино")</f>
        <v>0</v>
      </c>
      <c r="AR23" s="392">
        <f>COUNTIFS(ШТАТ!$AL:$AL,$A23,ШТАТ!$AJ:$AJ,"к/с",ШТАТ!$W:$W,"п. Ладушкино")</f>
        <v>0</v>
      </c>
      <c r="AS23" s="392">
        <f>COUNTIFS(ШТАТ!$AL:$AL,$A23,ШТАТ!$AJ:$AJ,"с/с",ШТАТ!$W:$W,"п. Ладушкино")</f>
        <v>0</v>
      </c>
      <c r="AT23" s="1197">
        <f t="shared" si="16"/>
        <v>0</v>
      </c>
      <c r="AU23" s="392">
        <f>COUNTIFS(ШТАТ!$AL:$AL,$A23,ШТАТ!$AJ:$AJ,"о",ШТАТ!$W:$W,"Чкаловск")</f>
        <v>0</v>
      </c>
      <c r="AV23" s="392">
        <f>COUNTIFS(ШТАТ!$AL:$AL,$A23,ШТАТ!$AJ:$AJ,"п",ШТАТ!$W:$W,"Чкаловск")</f>
        <v>0</v>
      </c>
      <c r="AW23" s="392">
        <f>COUNTIFS(ШТАТ!$AL:$AL,$A23,ШТАТ!$AJ:$AJ,"к/с",ШТАТ!$W:$W,"Чкаловск")</f>
        <v>0</v>
      </c>
      <c r="AX23" s="392">
        <f>COUNTIFS(ШТАТ!$AL:$AL,$A23,ШТАТ!$AJ:$AJ,"с/с",ШТАТ!$W:$W,"Чкаловск")</f>
        <v>0</v>
      </c>
      <c r="AY23" s="1197">
        <f t="shared" si="17"/>
        <v>0</v>
      </c>
      <c r="AZ23" s="392">
        <f>COUNTIFS(ШТАТ!$AL:$AL,$A23,ШТАТ!$AJ:$AJ,"о",ШТАТ!$U:$U,"полигон")</f>
        <v>0</v>
      </c>
      <c r="BA23" s="392">
        <f>COUNTIFS(ШТАТ!$AL:$AL,$A23,ШТАТ!$AJ:$AJ,"п",ШТАТ!$U:$U,"полигон")</f>
        <v>0</v>
      </c>
      <c r="BB23" s="392">
        <f>COUNTIFS(ШТАТ!$AL:$AL,$A23,ШТАТ!$AJ:$AJ,"к/с",ШТАТ!$U:$U,"полигон")</f>
        <v>0</v>
      </c>
      <c r="BC23" s="392">
        <f>COUNTIFS(ШТАТ!$AL:$AL,$A23,ШТАТ!$AJ:$AJ,"с/с",ШТАТ!$U:$U,"полигон")</f>
        <v>12</v>
      </c>
      <c r="BD23" s="1197">
        <f t="shared" si="18"/>
        <v>12</v>
      </c>
    </row>
    <row r="24" spans="1:56" x14ac:dyDescent="0.25">
      <c r="A24" s="392" t="s">
        <v>485</v>
      </c>
      <c r="B24" s="392">
        <f>COUNTIFS(ШТАТ!$AL:$AL,$A24,ШТАТ!$AJ:$AJ,"о")</f>
        <v>1</v>
      </c>
      <c r="C24" s="392">
        <f>COUNTIFS(ШТАТ!$AL:$AL,$A24,ШТАТ!$AJ:$AJ,"п")</f>
        <v>0</v>
      </c>
      <c r="D24" s="392">
        <f>COUNTIFS(ШТАТ!$AL:$AL,$A24,ШТАТ!$AJ:$AJ,"к/с")</f>
        <v>1</v>
      </c>
      <c r="E24" s="392">
        <f>COUNTIFS(ШТАТ!$AL:$AL,$A24,ШТАТ!$AJ:$AJ,"с/с")</f>
        <v>10</v>
      </c>
      <c r="F24" s="1197">
        <f t="shared" si="9"/>
        <v>12</v>
      </c>
      <c r="G24" s="392">
        <f>COUNTIFS(ШТАТ!$AL:$AL,$A24,ШТАТ!$AJ:$AJ,"о",ШТАТ!$U:$U,"")</f>
        <v>1</v>
      </c>
      <c r="H24" s="392">
        <f>COUNTIFS(ШТАТ!$AL:$AL,$A24,ШТАТ!$AJ:$AJ,"п",ШТАТ!$U:$U,"")</f>
        <v>0</v>
      </c>
      <c r="I24" s="392">
        <f>COUNTIFS(ШТАТ!$AL:$AL,$A24,ШТАТ!$AJ:$AJ,"к/с",ШТАТ!$U:$U,"")</f>
        <v>1</v>
      </c>
      <c r="J24" s="392">
        <f>COUNTIFS(ШТАТ!$AL:$AL,$A24,ШТАТ!$AJ:$AJ,"с/с",ШТАТ!$U:$U,"")</f>
        <v>0</v>
      </c>
      <c r="K24" s="1197">
        <f t="shared" si="8"/>
        <v>2</v>
      </c>
      <c r="L24" s="392">
        <f>COUNTIFS(ШТАТ!$AL:$AL,$A24,ШТАТ!$AJ:$AJ,"о",ШТАТ!W:W,"г. Белгород")</f>
        <v>0</v>
      </c>
      <c r="M24" s="392">
        <f>COUNTIFS(ШТАТ!$AL:$AL,$A24,ШТАТ!$AJ:$AJ,"п",ШТАТ!$W:$W,"г. Белгород")</f>
        <v>0</v>
      </c>
      <c r="N24" s="392">
        <f>COUNTIFS(ШТАТ!$AL:$AL,$A24,ШТАТ!$AJ:$AJ,"к/с",ШТАТ!$W:$W,"г. Белгород")</f>
        <v>0</v>
      </c>
      <c r="O24" s="392">
        <f>COUNTIFS(ШТАТ!$AL:$AL,$A24,ШТАТ!$AJ:$AJ,"с/с",ШТАТ!Z:Z,"г. Белгород")</f>
        <v>0</v>
      </c>
      <c r="P24" s="1197">
        <f t="shared" si="10"/>
        <v>0</v>
      </c>
      <c r="Q24" s="392">
        <f>COUNTIFS(ШТАТ!$AL:$AL,$A24,ШТАТ!$AJ:$AJ,"о",ШТАТ!X:X,"Выполнение специальных задач")</f>
        <v>0</v>
      </c>
      <c r="R24" s="392">
        <f>COUNTIFS(ШТАТ!$AL:$AL,$A24,ШТАТ!$AJ:$AJ,"п",ШТАТ!$X:$X,"Выполнение специальных задач")</f>
        <v>0</v>
      </c>
      <c r="S24" s="392">
        <f>COUNTIFS(ШТАТ!$AL:$AL,$A24,ШТАТ!$AJ:$AJ,"к/с",ШТАТ!$X:$X,"Выполнение специальных задач")</f>
        <v>0</v>
      </c>
      <c r="T24" s="392">
        <f>COUNTIFS(ШТАТ!$AL:$AL,$A24,ШТАТ!$AJ:$AJ,"с/с",ШТАТ!$X:$X,"Выполнение специальных задач")</f>
        <v>0</v>
      </c>
      <c r="U24" s="1197">
        <f t="shared" si="11"/>
        <v>0</v>
      </c>
      <c r="V24" s="392">
        <f>COUNTIFS(ШТАТ!$AL:$AL,$A24,ШТАТ!$AJ:$AJ,"о",ШТАТ!$U:$U,"госп")</f>
        <v>0</v>
      </c>
      <c r="W24" s="392">
        <f>COUNTIFS(ШТАТ!$AL:$AL,$A24,ШТАТ!$AJ:$AJ,"п",ШТАТ!$U:$U,"госп")</f>
        <v>0</v>
      </c>
      <c r="X24" s="392">
        <f>COUNTIFS(ШТАТ!$AL:$AL,$A24,ШТАТ!$AJ:$AJ,"к/с",ШТАТ!$U:$U,"госп")</f>
        <v>0</v>
      </c>
      <c r="Y24" s="392">
        <f>COUNTIFS(ШТАТ!$AL:$AL,$A24,ШТАТ!$AJ:$AJ,"с/с",ШТАТ!$U:$U,"госп")</f>
        <v>0</v>
      </c>
      <c r="Z24" s="1197">
        <f t="shared" si="12"/>
        <v>0</v>
      </c>
      <c r="AA24" s="392">
        <f>COUNTIFS(ШТАТ!$AL:$AL,$A24,ШТАТ!$AJ:$AJ,"о",ШТАТ!$U:$U,"Отпуск")</f>
        <v>0</v>
      </c>
      <c r="AB24" s="392">
        <f>COUNTIFS(ШТАТ!$AL:$AL,$A24,ШТАТ!$AJ:$AJ,"п",ШТАТ!$U:$U,"Отпуск")</f>
        <v>0</v>
      </c>
      <c r="AC24" s="392">
        <f>COUNTIFS(ШТАТ!$AL:$AL,$A24,ШТАТ!$AJ:$AJ,"к/с",ШТАТ!$U:$U,"Отпуск")</f>
        <v>0</v>
      </c>
      <c r="AD24" s="392">
        <f>COUNTIFS(ШТАТ!$AL:$AL,$A24,ШТАТ!$AJ:$AJ,"с/с",ШТАТ!$U:$U,"Отпуск")</f>
        <v>0</v>
      </c>
      <c r="AE24" s="1197">
        <f t="shared" si="13"/>
        <v>0</v>
      </c>
      <c r="AF24" s="392">
        <f>COUNTIFS(ШТАТ!$AL:$AL,$A24,ШТАТ!$AJ:$AJ,"о",ШТАТ!$U:$U,"СОЧ")</f>
        <v>0</v>
      </c>
      <c r="AG24" s="392">
        <f>COUNTIFS(ШТАТ!$AL:$AL,$A24,ШТАТ!$AJ:$AJ,"п",ШТАТ!$U:$U,"СОЧ")</f>
        <v>0</v>
      </c>
      <c r="AH24" s="392">
        <f>COUNTIFS(ШТАТ!$AL:$AL,$A24,ШТАТ!$AJ:$AJ,"к/с",ШТАТ!$U:$U,"СОЧ")</f>
        <v>0</v>
      </c>
      <c r="AI24" s="392">
        <f>COUNTIFS(ШТАТ!$AL:$AL,$A24,ШТАТ!$AJ:$AJ,"с/с",ШТАТ!$U:$U,"СОЧ")</f>
        <v>0</v>
      </c>
      <c r="AJ24" s="1197">
        <f t="shared" si="14"/>
        <v>0</v>
      </c>
      <c r="AK24" s="392">
        <f>COUNTIFS(ШТАТ!$AL:$AL,$A24,ШТАТ!$AJ:$AJ,"о",ШТАТ!$W:$W,"в/ч 38838")</f>
        <v>0</v>
      </c>
      <c r="AL24" s="392">
        <f>COUNTIFS(ШТАТ!$AL:$AL,$A24,ШТАТ!$AJ:$AJ,"п",ШТАТ!$W:$W,"в/ч 38838")</f>
        <v>0</v>
      </c>
      <c r="AM24" s="392">
        <f>COUNTIFS(ШТАТ!$AL:$AL,$A24,ШТАТ!$AJ:$AJ,"к/с",ШТАТ!$W:$W,"в/ч 38838")</f>
        <v>0</v>
      </c>
      <c r="AN24" s="392">
        <f>COUNTIFS(ШТАТ!$AL:$AL,$A24,ШТАТ!$AJ:$AJ,"с/с",ШТАТ!$W:$W,"в/ч 38838")</f>
        <v>2</v>
      </c>
      <c r="AO24" s="1197">
        <f t="shared" si="15"/>
        <v>2</v>
      </c>
      <c r="AP24" s="392">
        <f>COUNTIFS(ШТАТ!$AL:$AL,$A24,ШТАТ!$AJ:$AJ,"о",ШТАТ!$W:$W,"п. Ладушкино")</f>
        <v>0</v>
      </c>
      <c r="AQ24" s="392">
        <f>COUNTIFS(ШТАТ!$AL:$AL,$A24,ШТАТ!$AJ:$AJ,"п",ШТАТ!$W:$W,"п. Ладушкино")</f>
        <v>0</v>
      </c>
      <c r="AR24" s="392">
        <f>COUNTIFS(ШТАТ!$AL:$AL,$A24,ШТАТ!$AJ:$AJ,"к/с",ШТАТ!$W:$W,"п. Ладушкино")</f>
        <v>0</v>
      </c>
      <c r="AS24" s="392">
        <f>COUNTIFS(ШТАТ!$AL:$AL,$A24,ШТАТ!$AJ:$AJ,"с/с",ШТАТ!$W:$W,"п. Ладушкино")</f>
        <v>0</v>
      </c>
      <c r="AT24" s="1197">
        <f t="shared" si="16"/>
        <v>0</v>
      </c>
      <c r="AU24" s="392">
        <f>COUNTIFS(ШТАТ!$AL:$AL,$A24,ШТАТ!$AJ:$AJ,"о",ШТАТ!$W:$W,"Чкаловск")</f>
        <v>0</v>
      </c>
      <c r="AV24" s="392">
        <f>COUNTIFS(ШТАТ!$AL:$AL,$A24,ШТАТ!$AJ:$AJ,"п",ШТАТ!$W:$W,"Чкаловск")</f>
        <v>0</v>
      </c>
      <c r="AW24" s="392">
        <f>COUNTIFS(ШТАТ!$AL:$AL,$A24,ШТАТ!$AJ:$AJ,"к/с",ШТАТ!$W:$W,"Чкаловск")</f>
        <v>0</v>
      </c>
      <c r="AX24" s="392">
        <f>COUNTIFS(ШТАТ!$AL:$AL,$A24,ШТАТ!$AJ:$AJ,"с/с",ШТАТ!$W:$W,"Чкаловск")</f>
        <v>0</v>
      </c>
      <c r="AY24" s="1197">
        <f t="shared" si="17"/>
        <v>0</v>
      </c>
      <c r="AZ24" s="392">
        <f>COUNTIFS(ШТАТ!$AL:$AL,$A24,ШТАТ!$AJ:$AJ,"о",ШТАТ!$U:$U,"полигон")</f>
        <v>0</v>
      </c>
      <c r="BA24" s="392">
        <f>COUNTIFS(ШТАТ!$AL:$AL,$A24,ШТАТ!$AJ:$AJ,"п",ШТАТ!$U:$U,"полигон")</f>
        <v>0</v>
      </c>
      <c r="BB24" s="392">
        <f>COUNTIFS(ШТАТ!$AL:$AL,$A24,ШТАТ!$AJ:$AJ,"к/с",ШТАТ!$U:$U,"полигон")</f>
        <v>0</v>
      </c>
      <c r="BC24" s="392">
        <f>COUNTIFS(ШТАТ!$AL:$AL,$A24,ШТАТ!$AJ:$AJ,"с/с",ШТАТ!$U:$U,"полигон")</f>
        <v>8</v>
      </c>
      <c r="BD24" s="1197">
        <f t="shared" si="18"/>
        <v>8</v>
      </c>
    </row>
    <row r="25" spans="1:56" x14ac:dyDescent="0.25">
      <c r="A25" s="392" t="s">
        <v>487</v>
      </c>
      <c r="B25" s="392">
        <f>COUNTIFS(ШТАТ!$AL:$AL,$A25,ШТАТ!$AJ:$AJ,"о")</f>
        <v>0</v>
      </c>
      <c r="C25" s="392">
        <f>COUNTIFS(ШТАТ!$AL:$AL,$A25,ШТАТ!$AJ:$AJ,"п")</f>
        <v>0</v>
      </c>
      <c r="D25" s="392">
        <f>COUNTIFS(ШТАТ!$AL:$AL,$A25,ШТАТ!$AJ:$AJ,"к/с")</f>
        <v>0</v>
      </c>
      <c r="E25" s="392">
        <f>COUNTIFS(ШТАТ!$AL:$AL,$A25,ШТАТ!$AJ:$AJ,"с/с")</f>
        <v>11</v>
      </c>
      <c r="F25" s="1197">
        <f t="shared" si="9"/>
        <v>11</v>
      </c>
      <c r="G25" s="392">
        <f>COUNTIFS(ШТАТ!$AL:$AL,$A25,ШТАТ!$AJ:$AJ,"о",ШТАТ!$U:$U,"")</f>
        <v>0</v>
      </c>
      <c r="H25" s="392">
        <f>COUNTIFS(ШТАТ!$AL:$AL,$A25,ШТАТ!$AJ:$AJ,"п",ШТАТ!$U:$U,"")</f>
        <v>0</v>
      </c>
      <c r="I25" s="392">
        <f>COUNTIFS(ШТАТ!$AL:$AL,$A25,ШТАТ!$AJ:$AJ,"к/с",ШТАТ!$U:$U,"")</f>
        <v>0</v>
      </c>
      <c r="J25" s="392">
        <f>COUNTIFS(ШТАТ!$AL:$AL,$A25,ШТАТ!$AJ:$AJ,"с/с",ШТАТ!$U:$U,"")</f>
        <v>0</v>
      </c>
      <c r="K25" s="1197">
        <f t="shared" si="8"/>
        <v>0</v>
      </c>
      <c r="L25" s="392">
        <f>COUNTIFS(ШТАТ!$AL:$AL,$A25,ШТАТ!$AJ:$AJ,"о",ШТАТ!W:W,"г. Белгород")</f>
        <v>0</v>
      </c>
      <c r="M25" s="392">
        <f>COUNTIFS(ШТАТ!$AL:$AL,$A25,ШТАТ!$AJ:$AJ,"п",ШТАТ!$W:$W,"г. Белгород")</f>
        <v>0</v>
      </c>
      <c r="N25" s="392">
        <f>COUNTIFS(ШТАТ!$AL:$AL,$A25,ШТАТ!$AJ:$AJ,"к/с",ШТАТ!$W:$W,"г. Белгород")</f>
        <v>0</v>
      </c>
      <c r="O25" s="392">
        <f>COUNTIFS(ШТАТ!$AL:$AL,$A25,ШТАТ!$AJ:$AJ,"с/с",ШТАТ!Z:Z,"г. Белгород")</f>
        <v>0</v>
      </c>
      <c r="P25" s="1197">
        <f t="shared" si="10"/>
        <v>0</v>
      </c>
      <c r="Q25" s="392">
        <f>COUNTIFS(ШТАТ!$AL:$AL,$A25,ШТАТ!$AJ:$AJ,"о",ШТАТ!X:X,"Выполнение специальных задач")</f>
        <v>0</v>
      </c>
      <c r="R25" s="392">
        <f>COUNTIFS(ШТАТ!$AL:$AL,$A25,ШТАТ!$AJ:$AJ,"п",ШТАТ!$X:$X,"Выполнение специальных задач")</f>
        <v>0</v>
      </c>
      <c r="S25" s="392">
        <f>COUNTIFS(ШТАТ!$AL:$AL,$A25,ШТАТ!$AJ:$AJ,"к/с",ШТАТ!$X:$X,"Выполнение специальных задач")</f>
        <v>0</v>
      </c>
      <c r="T25" s="392">
        <f>COUNTIFS(ШТАТ!$AL:$AL,$A25,ШТАТ!$AJ:$AJ,"с/с",ШТАТ!$X:$X,"Выполнение специальных задач")</f>
        <v>0</v>
      </c>
      <c r="U25" s="1197">
        <f t="shared" si="11"/>
        <v>0</v>
      </c>
      <c r="V25" s="392">
        <f>COUNTIFS(ШТАТ!$AL:$AL,$A25,ШТАТ!$AJ:$AJ,"о",ШТАТ!$U:$U,"госп")</f>
        <v>0</v>
      </c>
      <c r="W25" s="392">
        <f>COUNTIFS(ШТАТ!$AL:$AL,$A25,ШТАТ!$AJ:$AJ,"п",ШТАТ!$U:$U,"госп")</f>
        <v>0</v>
      </c>
      <c r="X25" s="392">
        <f>COUNTIFS(ШТАТ!$AL:$AL,$A25,ШТАТ!$AJ:$AJ,"к/с",ШТАТ!$U:$U,"госп")</f>
        <v>0</v>
      </c>
      <c r="Y25" s="392">
        <f>COUNTIFS(ШТАТ!$AL:$AL,$A25,ШТАТ!$AJ:$AJ,"с/с",ШТАТ!$U:$U,"госп")</f>
        <v>0</v>
      </c>
      <c r="Z25" s="1197">
        <f t="shared" si="12"/>
        <v>0</v>
      </c>
      <c r="AA25" s="392">
        <f>COUNTIFS(ШТАТ!$AL:$AL,$A25,ШТАТ!$AJ:$AJ,"о",ШТАТ!$U:$U,"Отпуск")</f>
        <v>0</v>
      </c>
      <c r="AB25" s="392">
        <f>COUNTIFS(ШТАТ!$AL:$AL,$A25,ШТАТ!$AJ:$AJ,"п",ШТАТ!$U:$U,"Отпуск")</f>
        <v>0</v>
      </c>
      <c r="AC25" s="392">
        <f>COUNTIFS(ШТАТ!$AL:$AL,$A25,ШТАТ!$AJ:$AJ,"к/с",ШТАТ!$U:$U,"Отпуск")</f>
        <v>0</v>
      </c>
      <c r="AD25" s="392">
        <f>COUNTIFS(ШТАТ!$AL:$AL,$A25,ШТАТ!$AJ:$AJ,"с/с",ШТАТ!$U:$U,"Отпуск")</f>
        <v>0</v>
      </c>
      <c r="AE25" s="1197">
        <f t="shared" si="13"/>
        <v>0</v>
      </c>
      <c r="AF25" s="392">
        <f>COUNTIFS(ШТАТ!$AL:$AL,$A25,ШТАТ!$AJ:$AJ,"о",ШТАТ!$U:$U,"СОЧ")</f>
        <v>0</v>
      </c>
      <c r="AG25" s="392">
        <f>COUNTIFS(ШТАТ!$AL:$AL,$A25,ШТАТ!$AJ:$AJ,"п",ШТАТ!$U:$U,"СОЧ")</f>
        <v>0</v>
      </c>
      <c r="AH25" s="392">
        <f>COUNTIFS(ШТАТ!$AL:$AL,$A25,ШТАТ!$AJ:$AJ,"к/с",ШТАТ!$U:$U,"СОЧ")</f>
        <v>0</v>
      </c>
      <c r="AI25" s="392">
        <f>COUNTIFS(ШТАТ!$AL:$AL,$A25,ШТАТ!$AJ:$AJ,"с/с",ШТАТ!$U:$U,"СОЧ")</f>
        <v>0</v>
      </c>
      <c r="AJ25" s="1197">
        <f t="shared" si="14"/>
        <v>0</v>
      </c>
      <c r="AK25" s="392">
        <f>COUNTIFS(ШТАТ!$AL:$AL,$A25,ШТАТ!$AJ:$AJ,"о",ШТАТ!$W:$W,"в/ч 38838")</f>
        <v>0</v>
      </c>
      <c r="AL25" s="392">
        <f>COUNTIFS(ШТАТ!$AL:$AL,$A25,ШТАТ!$AJ:$AJ,"п",ШТАТ!$W:$W,"в/ч 38838")</f>
        <v>0</v>
      </c>
      <c r="AM25" s="392">
        <f>COUNTIFS(ШТАТ!$AL:$AL,$A25,ШТАТ!$AJ:$AJ,"к/с",ШТАТ!$W:$W,"в/ч 38838")</f>
        <v>0</v>
      </c>
      <c r="AN25" s="392">
        <f>COUNTIFS(ШТАТ!$AL:$AL,$A25,ШТАТ!$AJ:$AJ,"с/с",ШТАТ!$W:$W,"в/ч 38838")</f>
        <v>9</v>
      </c>
      <c r="AO25" s="1197">
        <f t="shared" si="15"/>
        <v>9</v>
      </c>
      <c r="AP25" s="392">
        <f>COUNTIFS(ШТАТ!$AL:$AL,$A25,ШТАТ!$AJ:$AJ,"о",ШТАТ!$W:$W,"п. Ладушкино")</f>
        <v>0</v>
      </c>
      <c r="AQ25" s="392">
        <f>COUNTIFS(ШТАТ!$AL:$AL,$A25,ШТАТ!$AJ:$AJ,"п",ШТАТ!$W:$W,"п. Ладушкино")</f>
        <v>0</v>
      </c>
      <c r="AR25" s="392">
        <f>COUNTIFS(ШТАТ!$AL:$AL,$A25,ШТАТ!$AJ:$AJ,"к/с",ШТАТ!$W:$W,"п. Ладушкино")</f>
        <v>0</v>
      </c>
      <c r="AS25" s="392">
        <f>COUNTIFS(ШТАТ!$AL:$AL,$A25,ШТАТ!$AJ:$AJ,"с/с",ШТАТ!$W:$W,"п. Ладушкино")</f>
        <v>0</v>
      </c>
      <c r="AT25" s="1197">
        <f t="shared" si="16"/>
        <v>0</v>
      </c>
      <c r="AU25" s="392">
        <f>COUNTIFS(ШТАТ!$AL:$AL,$A25,ШТАТ!$AJ:$AJ,"о",ШТАТ!$W:$W,"Чкаловск")</f>
        <v>0</v>
      </c>
      <c r="AV25" s="392">
        <f>COUNTIFS(ШТАТ!$AL:$AL,$A25,ШТАТ!$AJ:$AJ,"п",ШТАТ!$W:$W,"Чкаловск")</f>
        <v>0</v>
      </c>
      <c r="AW25" s="392">
        <f>COUNTIFS(ШТАТ!$AL:$AL,$A25,ШТАТ!$AJ:$AJ,"к/с",ШТАТ!$W:$W,"Чкаловск")</f>
        <v>0</v>
      </c>
      <c r="AX25" s="392">
        <f>COUNTIFS(ШТАТ!$AL:$AL,$A25,ШТАТ!$AJ:$AJ,"с/с",ШТАТ!$W:$W,"Чкаловск")</f>
        <v>0</v>
      </c>
      <c r="AY25" s="1197">
        <f t="shared" si="17"/>
        <v>0</v>
      </c>
      <c r="AZ25" s="392">
        <f>COUNTIFS(ШТАТ!$AL:$AL,$A25,ШТАТ!$AJ:$AJ,"о",ШТАТ!$U:$U,"полигон")</f>
        <v>0</v>
      </c>
      <c r="BA25" s="392">
        <f>COUNTIFS(ШТАТ!$AL:$AL,$A25,ШТАТ!$AJ:$AJ,"п",ШТАТ!$U:$U,"полигон")</f>
        <v>0</v>
      </c>
      <c r="BB25" s="392">
        <f>COUNTIFS(ШТАТ!$AL:$AL,$A25,ШТАТ!$AJ:$AJ,"к/с",ШТАТ!$U:$U,"полигон")</f>
        <v>0</v>
      </c>
      <c r="BC25" s="392">
        <f>COUNTIFS(ШТАТ!$AL:$AL,$A25,ШТАТ!$AJ:$AJ,"с/с",ШТАТ!$U:$U,"полигон")</f>
        <v>1</v>
      </c>
      <c r="BD25" s="1197">
        <f t="shared" si="18"/>
        <v>1</v>
      </c>
    </row>
    <row r="26" spans="1:56" x14ac:dyDescent="0.25">
      <c r="A26" s="392" t="s">
        <v>489</v>
      </c>
      <c r="B26" s="392">
        <f>COUNTIFS(ШТАТ!$AL:$AL,$A26,ШТАТ!$AJ:$AJ,"о")</f>
        <v>0</v>
      </c>
      <c r="C26" s="392">
        <f>COUNTIFS(ШТАТ!$AL:$AL,$A26,ШТАТ!$AJ:$AJ,"п")</f>
        <v>1</v>
      </c>
      <c r="D26" s="392">
        <f>COUNTIFS(ШТАТ!$AL:$AL,$A26,ШТАТ!$AJ:$AJ,"к/с")</f>
        <v>3</v>
      </c>
      <c r="E26" s="392">
        <f>COUNTIFS(ШТАТ!$AL:$AL,$A26,ШТАТ!$AJ:$AJ,"с/с")</f>
        <v>22</v>
      </c>
      <c r="F26" s="1197">
        <f t="shared" si="9"/>
        <v>26</v>
      </c>
      <c r="G26" s="392">
        <f>COUNTIFS(ШТАТ!$AL:$AL,$A26,ШТАТ!$AJ:$AJ,"о",ШТАТ!$U:$U,"")</f>
        <v>0</v>
      </c>
      <c r="H26" s="392">
        <f>COUNTIFS(ШТАТ!$AL:$AL,$A26,ШТАТ!$AJ:$AJ,"п",ШТАТ!$U:$U,"")</f>
        <v>1</v>
      </c>
      <c r="I26" s="392">
        <f>COUNTIFS(ШТАТ!$AL:$AL,$A26,ШТАТ!$AJ:$AJ,"к/с",ШТАТ!$U:$U,"")</f>
        <v>1</v>
      </c>
      <c r="J26" s="392">
        <f>COUNTIFS(ШТАТ!$AL:$AL,$A26,ШТАТ!$AJ:$AJ,"с/с",ШТАТ!$U:$U,"")</f>
        <v>0</v>
      </c>
      <c r="K26" s="1197">
        <f t="shared" si="8"/>
        <v>2</v>
      </c>
      <c r="L26" s="392">
        <f>COUNTIFS(ШТАТ!$AL:$AL,$A26,ШТАТ!$AJ:$AJ,"о",ШТАТ!W:W,"г. Белгород")</f>
        <v>0</v>
      </c>
      <c r="M26" s="392">
        <f>COUNTIFS(ШТАТ!$AL:$AL,$A26,ШТАТ!$AJ:$AJ,"п",ШТАТ!$W:$W,"г. Белгород")</f>
        <v>0</v>
      </c>
      <c r="N26" s="392">
        <f>COUNTIFS(ШТАТ!$AL:$AL,$A26,ШТАТ!$AJ:$AJ,"к/с",ШТАТ!$W:$W,"г. Белгород")</f>
        <v>1</v>
      </c>
      <c r="O26" s="392">
        <f>COUNTIFS(ШТАТ!$AL:$AL,$A26,ШТАТ!$AJ:$AJ,"с/с",ШТАТ!Z:Z,"г. Белгород")</f>
        <v>0</v>
      </c>
      <c r="P26" s="1197">
        <f t="shared" si="10"/>
        <v>1</v>
      </c>
      <c r="Q26" s="392">
        <f>COUNTIFS(ШТАТ!$AL:$AL,$A26,ШТАТ!$AJ:$AJ,"о",ШТАТ!X:X,"Выполнение специальных задач")</f>
        <v>0</v>
      </c>
      <c r="R26" s="392">
        <f>COUNTIFS(ШТАТ!$AL:$AL,$A26,ШТАТ!$AJ:$AJ,"п",ШТАТ!$X:$X,"Выполнение специальных задач")</f>
        <v>0</v>
      </c>
      <c r="S26" s="392">
        <f>COUNTIFS(ШТАТ!$AL:$AL,$A26,ШТАТ!$AJ:$AJ,"к/с",ШТАТ!$X:$X,"Выполнение специальных задач")</f>
        <v>0</v>
      </c>
      <c r="T26" s="392">
        <f>COUNTIFS(ШТАТ!$AL:$AL,$A26,ШТАТ!$AJ:$AJ,"с/с",ШТАТ!$X:$X,"Выполнение специальных задач")</f>
        <v>0</v>
      </c>
      <c r="U26" s="1197">
        <f t="shared" si="11"/>
        <v>0</v>
      </c>
      <c r="V26" s="392">
        <f>COUNTIFS(ШТАТ!$AL:$AL,$A26,ШТАТ!$AJ:$AJ,"о",ШТАТ!$U:$U,"госп")</f>
        <v>0</v>
      </c>
      <c r="W26" s="392">
        <f>COUNTIFS(ШТАТ!$AL:$AL,$A26,ШТАТ!$AJ:$AJ,"п",ШТАТ!$U:$U,"госп")</f>
        <v>0</v>
      </c>
      <c r="X26" s="392">
        <f>COUNTIFS(ШТАТ!$AL:$AL,$A26,ШТАТ!$AJ:$AJ,"к/с",ШТАТ!$U:$U,"госп")</f>
        <v>0</v>
      </c>
      <c r="Y26" s="392">
        <f>COUNTIFS(ШТАТ!$AL:$AL,$A26,ШТАТ!$AJ:$AJ,"с/с",ШТАТ!$U:$U,"госп")</f>
        <v>0</v>
      </c>
      <c r="Z26" s="1197">
        <f t="shared" si="12"/>
        <v>0</v>
      </c>
      <c r="AA26" s="392">
        <f>COUNTIFS(ШТАТ!$AL:$AL,$A26,ШТАТ!$AJ:$AJ,"о",ШТАТ!$U:$U,"Отпуск")</f>
        <v>0</v>
      </c>
      <c r="AB26" s="392">
        <f>COUNTIFS(ШТАТ!$AL:$AL,$A26,ШТАТ!$AJ:$AJ,"п",ШТАТ!$U:$U,"Отпуск")</f>
        <v>0</v>
      </c>
      <c r="AC26" s="392">
        <f>COUNTIFS(ШТАТ!$AL:$AL,$A26,ШТАТ!$AJ:$AJ,"к/с",ШТАТ!$U:$U,"Отпуск")</f>
        <v>0</v>
      </c>
      <c r="AD26" s="392">
        <f>COUNTIFS(ШТАТ!$AL:$AL,$A26,ШТАТ!$AJ:$AJ,"с/с",ШТАТ!$U:$U,"Отпуск")</f>
        <v>0</v>
      </c>
      <c r="AE26" s="1197">
        <f t="shared" si="13"/>
        <v>0</v>
      </c>
      <c r="AF26" s="392">
        <f>COUNTIFS(ШТАТ!$AL:$AL,$A26,ШТАТ!$AJ:$AJ,"о",ШТАТ!$U:$U,"СОЧ")</f>
        <v>0</v>
      </c>
      <c r="AG26" s="392">
        <f>COUNTIFS(ШТАТ!$AL:$AL,$A26,ШТАТ!$AJ:$AJ,"п",ШТАТ!$U:$U,"СОЧ")</f>
        <v>0</v>
      </c>
      <c r="AH26" s="392">
        <f>COUNTIFS(ШТАТ!$AL:$AL,$A26,ШТАТ!$AJ:$AJ,"к/с",ШТАТ!$U:$U,"СОЧ")</f>
        <v>1</v>
      </c>
      <c r="AI26" s="392">
        <f>COUNTIFS(ШТАТ!$AL:$AL,$A26,ШТАТ!$AJ:$AJ,"с/с",ШТАТ!$U:$U,"СОЧ")</f>
        <v>0</v>
      </c>
      <c r="AJ26" s="1197">
        <f t="shared" si="14"/>
        <v>1</v>
      </c>
      <c r="AK26" s="392">
        <f>COUNTIFS(ШТАТ!$AL:$AL,$A26,ШТАТ!$AJ:$AJ,"о",ШТАТ!$W:$W,"в/ч 38838")</f>
        <v>0</v>
      </c>
      <c r="AL26" s="392">
        <f>COUNTIFS(ШТАТ!$AL:$AL,$A26,ШТАТ!$AJ:$AJ,"п",ШТАТ!$W:$W,"в/ч 38838")</f>
        <v>0</v>
      </c>
      <c r="AM26" s="392">
        <f>COUNTIFS(ШТАТ!$AL:$AL,$A26,ШТАТ!$AJ:$AJ,"к/с",ШТАТ!$W:$W,"в/ч 38838")</f>
        <v>0</v>
      </c>
      <c r="AN26" s="392">
        <f>COUNTIFS(ШТАТ!$AL:$AL,$A26,ШТАТ!$AJ:$AJ,"с/с",ШТАТ!$W:$W,"в/ч 38838")</f>
        <v>2</v>
      </c>
      <c r="AO26" s="1197">
        <f t="shared" si="15"/>
        <v>2</v>
      </c>
      <c r="AP26" s="392">
        <f>COUNTIFS(ШТАТ!$AL:$AL,$A26,ШТАТ!$AJ:$AJ,"о",ШТАТ!$W:$W,"п. Ладушкино")</f>
        <v>0</v>
      </c>
      <c r="AQ26" s="392">
        <f>COUNTIFS(ШТАТ!$AL:$AL,$A26,ШТАТ!$AJ:$AJ,"п",ШТАТ!$W:$W,"п. Ладушкино")</f>
        <v>0</v>
      </c>
      <c r="AR26" s="392">
        <f>COUNTIFS(ШТАТ!$AL:$AL,$A26,ШТАТ!$AJ:$AJ,"к/с",ШТАТ!$W:$W,"п. Ладушкино")</f>
        <v>0</v>
      </c>
      <c r="AS26" s="392">
        <f>COUNTIFS(ШТАТ!$AL:$AL,$A26,ШТАТ!$AJ:$AJ,"с/с",ШТАТ!$W:$W,"п. Ладушкино")</f>
        <v>0</v>
      </c>
      <c r="AT26" s="1197">
        <f t="shared" si="16"/>
        <v>0</v>
      </c>
      <c r="AU26" s="392">
        <f>COUNTIFS(ШТАТ!$AL:$AL,$A26,ШТАТ!$AJ:$AJ,"о",ШТАТ!$W:$W,"Чкаловск")</f>
        <v>0</v>
      </c>
      <c r="AV26" s="392">
        <f>COUNTIFS(ШТАТ!$AL:$AL,$A26,ШТАТ!$AJ:$AJ,"п",ШТАТ!$W:$W,"Чкаловск")</f>
        <v>0</v>
      </c>
      <c r="AW26" s="392">
        <f>COUNTIFS(ШТАТ!$AL:$AL,$A26,ШТАТ!$AJ:$AJ,"к/с",ШТАТ!$W:$W,"Чкаловск")</f>
        <v>0</v>
      </c>
      <c r="AX26" s="392">
        <f>COUNTIFS(ШТАТ!$AL:$AL,$A26,ШТАТ!$AJ:$AJ,"с/с",ШТАТ!$W:$W,"Чкаловск")</f>
        <v>0</v>
      </c>
      <c r="AY26" s="1197">
        <f t="shared" si="17"/>
        <v>0</v>
      </c>
      <c r="AZ26" s="392">
        <f>COUNTIFS(ШТАТ!$AL:$AL,$A26,ШТАТ!$AJ:$AJ,"о",ШТАТ!$U:$U,"полигон")</f>
        <v>0</v>
      </c>
      <c r="BA26" s="392">
        <f>COUNTIFS(ШТАТ!$AL:$AL,$A26,ШТАТ!$AJ:$AJ,"п",ШТАТ!$U:$U,"полигон")</f>
        <v>0</v>
      </c>
      <c r="BB26" s="392">
        <f>COUNTIFS(ШТАТ!$AL:$AL,$A26,ШТАТ!$AJ:$AJ,"к/с",ШТАТ!$U:$U,"полигон")</f>
        <v>0</v>
      </c>
      <c r="BC26" s="392">
        <f>COUNTIFS(ШТАТ!$AL:$AL,$A26,ШТАТ!$AJ:$AJ,"с/с",ШТАТ!$U:$U,"полигон")</f>
        <v>20</v>
      </c>
      <c r="BD26" s="1197">
        <f t="shared" si="18"/>
        <v>20</v>
      </c>
    </row>
    <row r="27" spans="1:56" x14ac:dyDescent="0.25">
      <c r="A27" s="626" t="s">
        <v>4614</v>
      </c>
      <c r="B27" s="1250">
        <f t="shared" ref="B27:AG27" si="19">SUM(B17:B26)</f>
        <v>24</v>
      </c>
      <c r="C27" s="1250">
        <f t="shared" si="19"/>
        <v>8</v>
      </c>
      <c r="D27" s="1250">
        <f t="shared" si="19"/>
        <v>14</v>
      </c>
      <c r="E27" s="1250">
        <f t="shared" si="19"/>
        <v>356</v>
      </c>
      <c r="F27" s="1250">
        <f t="shared" si="19"/>
        <v>402</v>
      </c>
      <c r="G27" s="1250">
        <f t="shared" si="19"/>
        <v>15</v>
      </c>
      <c r="H27" s="1250">
        <f t="shared" si="19"/>
        <v>6</v>
      </c>
      <c r="I27" s="1250">
        <f t="shared" si="19"/>
        <v>6</v>
      </c>
      <c r="J27" s="1250">
        <f t="shared" si="19"/>
        <v>8</v>
      </c>
      <c r="K27" s="1250">
        <f t="shared" si="19"/>
        <v>35</v>
      </c>
      <c r="L27" s="1250">
        <f t="shared" si="19"/>
        <v>4</v>
      </c>
      <c r="M27" s="1250">
        <f t="shared" si="19"/>
        <v>0</v>
      </c>
      <c r="N27" s="1250">
        <f t="shared" si="19"/>
        <v>3</v>
      </c>
      <c r="O27" s="1250">
        <f t="shared" si="19"/>
        <v>0</v>
      </c>
      <c r="P27" s="1250">
        <f t="shared" si="19"/>
        <v>7</v>
      </c>
      <c r="Q27" s="1250">
        <f t="shared" si="19"/>
        <v>1</v>
      </c>
      <c r="R27" s="1250">
        <f t="shared" si="19"/>
        <v>2</v>
      </c>
      <c r="S27" s="1250">
        <f t="shared" si="19"/>
        <v>0</v>
      </c>
      <c r="T27" s="1250">
        <f t="shared" si="19"/>
        <v>0</v>
      </c>
      <c r="U27" s="1250">
        <f t="shared" si="19"/>
        <v>3</v>
      </c>
      <c r="V27" s="1250">
        <f t="shared" si="19"/>
        <v>0</v>
      </c>
      <c r="W27" s="1250">
        <f t="shared" si="19"/>
        <v>0</v>
      </c>
      <c r="X27" s="1250">
        <f t="shared" si="19"/>
        <v>0</v>
      </c>
      <c r="Y27" s="1250">
        <f t="shared" si="19"/>
        <v>3</v>
      </c>
      <c r="Z27" s="1250">
        <f t="shared" si="19"/>
        <v>3</v>
      </c>
      <c r="AA27" s="1250">
        <f t="shared" si="19"/>
        <v>0</v>
      </c>
      <c r="AB27" s="1250">
        <f t="shared" si="19"/>
        <v>0</v>
      </c>
      <c r="AC27" s="1250">
        <f t="shared" si="19"/>
        <v>3</v>
      </c>
      <c r="AD27" s="1250">
        <f t="shared" si="19"/>
        <v>0</v>
      </c>
      <c r="AE27" s="1250">
        <f t="shared" si="19"/>
        <v>3</v>
      </c>
      <c r="AF27" s="1250">
        <f t="shared" si="19"/>
        <v>0</v>
      </c>
      <c r="AG27" s="1250">
        <f t="shared" si="19"/>
        <v>0</v>
      </c>
      <c r="AH27" s="1250">
        <f t="shared" ref="AH27:BD27" si="20">SUM(AH17:AH26)</f>
        <v>1</v>
      </c>
      <c r="AI27" s="1250">
        <f t="shared" si="20"/>
        <v>0</v>
      </c>
      <c r="AJ27" s="1250">
        <f t="shared" si="20"/>
        <v>1</v>
      </c>
      <c r="AK27" s="1250">
        <f t="shared" si="20"/>
        <v>2</v>
      </c>
      <c r="AL27" s="1250">
        <f t="shared" si="20"/>
        <v>0</v>
      </c>
      <c r="AM27" s="1250">
        <f t="shared" si="20"/>
        <v>1</v>
      </c>
      <c r="AN27" s="1250">
        <f t="shared" si="20"/>
        <v>226</v>
      </c>
      <c r="AO27" s="1250">
        <f t="shared" si="20"/>
        <v>229</v>
      </c>
      <c r="AP27" s="1250">
        <f t="shared" si="20"/>
        <v>0</v>
      </c>
      <c r="AQ27" s="1250">
        <f t="shared" si="20"/>
        <v>0</v>
      </c>
      <c r="AR27" s="1250">
        <f t="shared" si="20"/>
        <v>0</v>
      </c>
      <c r="AS27" s="1250">
        <f t="shared" si="20"/>
        <v>13</v>
      </c>
      <c r="AT27" s="1250">
        <f t="shared" si="20"/>
        <v>13</v>
      </c>
      <c r="AU27" s="1250">
        <f t="shared" si="20"/>
        <v>0</v>
      </c>
      <c r="AV27" s="1250">
        <f t="shared" si="20"/>
        <v>0</v>
      </c>
      <c r="AW27" s="1250">
        <f t="shared" si="20"/>
        <v>0</v>
      </c>
      <c r="AX27" s="1250">
        <f t="shared" si="20"/>
        <v>14</v>
      </c>
      <c r="AY27" s="1250">
        <f t="shared" si="20"/>
        <v>14</v>
      </c>
      <c r="AZ27" s="1250">
        <f t="shared" si="20"/>
        <v>0</v>
      </c>
      <c r="BA27" s="1250">
        <f t="shared" si="20"/>
        <v>0</v>
      </c>
      <c r="BB27" s="1250">
        <f t="shared" si="20"/>
        <v>0</v>
      </c>
      <c r="BC27" s="1250">
        <f t="shared" si="20"/>
        <v>43</v>
      </c>
      <c r="BD27" s="1250">
        <f t="shared" si="20"/>
        <v>43</v>
      </c>
    </row>
    <row r="28" spans="1:56" x14ac:dyDescent="0.25">
      <c r="A28" s="1251"/>
      <c r="B28" s="1248"/>
      <c r="C28" s="1248"/>
      <c r="D28" s="1248"/>
      <c r="E28" s="1248"/>
      <c r="F28" s="1248"/>
      <c r="G28" s="1248"/>
      <c r="H28" s="1248"/>
      <c r="I28" s="1248"/>
      <c r="J28" s="1248"/>
      <c r="K28" s="1248"/>
      <c r="L28" s="1248"/>
      <c r="M28" s="1248"/>
      <c r="N28" s="1248"/>
      <c r="O28" s="1248"/>
      <c r="P28" s="1248"/>
      <c r="Q28" s="1248"/>
      <c r="R28" s="1248"/>
      <c r="S28" s="1248"/>
      <c r="T28" s="1248"/>
      <c r="U28" s="1248"/>
      <c r="V28" s="1248"/>
      <c r="W28" s="1248"/>
      <c r="X28" s="1248"/>
      <c r="Y28" s="1248"/>
      <c r="Z28" s="1248"/>
      <c r="AA28" s="1248"/>
      <c r="AB28" s="1248"/>
      <c r="AC28" s="1248"/>
      <c r="AD28" s="1248"/>
      <c r="AE28" s="1248"/>
      <c r="AF28" s="1248"/>
      <c r="AG28" s="1248"/>
      <c r="AH28" s="1248"/>
      <c r="AI28" s="1248"/>
      <c r="AJ28" s="1248"/>
      <c r="AK28" s="1248"/>
      <c r="AL28" s="1248"/>
      <c r="AM28" s="1248"/>
      <c r="AN28" s="1248"/>
      <c r="AO28" s="1248"/>
      <c r="AP28" s="1248"/>
      <c r="AQ28" s="1248"/>
      <c r="AR28" s="1248"/>
      <c r="AS28" s="1248"/>
      <c r="AT28" s="1248"/>
      <c r="AU28" s="1248"/>
      <c r="AV28" s="1248"/>
      <c r="AW28" s="1248"/>
      <c r="AX28" s="1248"/>
      <c r="AY28" s="1248"/>
      <c r="AZ28" s="1248"/>
      <c r="BA28" s="1248"/>
      <c r="BB28" s="1248"/>
      <c r="BC28" s="1248"/>
      <c r="BD28" s="1249"/>
    </row>
    <row r="29" spans="1:56" x14ac:dyDescent="0.25">
      <c r="A29" s="1614" t="s">
        <v>871</v>
      </c>
      <c r="B29" s="1614" t="s">
        <v>873</v>
      </c>
      <c r="C29" s="1614"/>
      <c r="D29" s="1614"/>
      <c r="E29" s="1614"/>
      <c r="F29" s="1614"/>
      <c r="G29" s="1614" t="s">
        <v>874</v>
      </c>
      <c r="H29" s="1614"/>
      <c r="I29" s="1614"/>
      <c r="J29" s="1614"/>
      <c r="K29" s="1614"/>
      <c r="L29" s="1608" t="s">
        <v>56</v>
      </c>
      <c r="M29" s="1609"/>
      <c r="N29" s="1609"/>
      <c r="O29" s="1609"/>
      <c r="P29" s="1610"/>
      <c r="Q29" s="1608" t="s">
        <v>901</v>
      </c>
      <c r="R29" s="1609"/>
      <c r="S29" s="1609"/>
      <c r="T29" s="1609"/>
      <c r="U29" s="1610"/>
      <c r="V29" s="1608" t="s">
        <v>3512</v>
      </c>
      <c r="W29" s="1609"/>
      <c r="X29" s="1609"/>
      <c r="Y29" s="1609"/>
      <c r="Z29" s="1610"/>
      <c r="AA29" s="1608" t="s">
        <v>1497</v>
      </c>
      <c r="AB29" s="1609"/>
      <c r="AC29" s="1609"/>
      <c r="AD29" s="1609"/>
      <c r="AE29" s="1610"/>
      <c r="AF29" s="1608" t="s">
        <v>886</v>
      </c>
      <c r="AG29" s="1609"/>
      <c r="AH29" s="1609"/>
      <c r="AI29" s="1609"/>
      <c r="AJ29" s="1610"/>
      <c r="AK29" s="1608" t="s">
        <v>2039</v>
      </c>
      <c r="AL29" s="1609"/>
      <c r="AM29" s="1609"/>
      <c r="AN29" s="1609"/>
      <c r="AO29" s="1610"/>
      <c r="AP29" s="1608" t="s">
        <v>4617</v>
      </c>
      <c r="AQ29" s="1609"/>
      <c r="AR29" s="1609"/>
      <c r="AS29" s="1609"/>
      <c r="AT29" s="1610"/>
      <c r="AU29" s="1608" t="s">
        <v>4050</v>
      </c>
      <c r="AV29" s="1609"/>
      <c r="AW29" s="1609"/>
      <c r="AX29" s="1609"/>
      <c r="AY29" s="1610"/>
      <c r="AZ29" s="1611" t="s">
        <v>3259</v>
      </c>
      <c r="BA29" s="1612"/>
      <c r="BB29" s="1612"/>
      <c r="BC29" s="1612"/>
      <c r="BD29" s="1613"/>
    </row>
    <row r="30" spans="1:56" ht="81.75" x14ac:dyDescent="0.25">
      <c r="A30" s="1607"/>
      <c r="B30" s="1245" t="s">
        <v>4609</v>
      </c>
      <c r="C30" s="1245" t="s">
        <v>4610</v>
      </c>
      <c r="D30" s="1245" t="s">
        <v>4611</v>
      </c>
      <c r="E30" s="1245" t="s">
        <v>4612</v>
      </c>
      <c r="F30" s="1246" t="s">
        <v>4038</v>
      </c>
      <c r="G30" s="1245" t="s">
        <v>4609</v>
      </c>
      <c r="H30" s="1245" t="s">
        <v>4610</v>
      </c>
      <c r="I30" s="1245" t="s">
        <v>4611</v>
      </c>
      <c r="J30" s="1245" t="s">
        <v>4612</v>
      </c>
      <c r="K30" s="1246" t="s">
        <v>4038</v>
      </c>
      <c r="L30" s="1245" t="s">
        <v>4609</v>
      </c>
      <c r="M30" s="1245" t="s">
        <v>4610</v>
      </c>
      <c r="N30" s="1245" t="s">
        <v>4611</v>
      </c>
      <c r="O30" s="1245" t="s">
        <v>4612</v>
      </c>
      <c r="P30" s="1246" t="s">
        <v>4038</v>
      </c>
      <c r="Q30" s="1245" t="s">
        <v>4609</v>
      </c>
      <c r="R30" s="1245" t="s">
        <v>4610</v>
      </c>
      <c r="S30" s="1245" t="s">
        <v>4611</v>
      </c>
      <c r="T30" s="1245" t="s">
        <v>4612</v>
      </c>
      <c r="U30" s="1246" t="s">
        <v>4038</v>
      </c>
      <c r="V30" s="1245" t="s">
        <v>4609</v>
      </c>
      <c r="W30" s="1245" t="s">
        <v>4610</v>
      </c>
      <c r="X30" s="1245" t="s">
        <v>4611</v>
      </c>
      <c r="Y30" s="1245" t="s">
        <v>4612</v>
      </c>
      <c r="Z30" s="1246" t="s">
        <v>4038</v>
      </c>
      <c r="AA30" s="1245" t="s">
        <v>4609</v>
      </c>
      <c r="AB30" s="1245" t="s">
        <v>4610</v>
      </c>
      <c r="AC30" s="1245" t="s">
        <v>4611</v>
      </c>
      <c r="AD30" s="1245" t="s">
        <v>4612</v>
      </c>
      <c r="AE30" s="1246" t="s">
        <v>4038</v>
      </c>
      <c r="AF30" s="1245" t="s">
        <v>4609</v>
      </c>
      <c r="AG30" s="1245" t="s">
        <v>4610</v>
      </c>
      <c r="AH30" s="1245" t="s">
        <v>4611</v>
      </c>
      <c r="AI30" s="1245" t="s">
        <v>4612</v>
      </c>
      <c r="AJ30" s="1246" t="s">
        <v>4038</v>
      </c>
      <c r="AK30" s="1245" t="s">
        <v>4609</v>
      </c>
      <c r="AL30" s="1245" t="s">
        <v>4610</v>
      </c>
      <c r="AM30" s="1245" t="s">
        <v>4611</v>
      </c>
      <c r="AN30" s="1245" t="s">
        <v>4612</v>
      </c>
      <c r="AO30" s="1246" t="s">
        <v>4038</v>
      </c>
      <c r="AP30" s="1245" t="s">
        <v>4609</v>
      </c>
      <c r="AQ30" s="1245" t="s">
        <v>4610</v>
      </c>
      <c r="AR30" s="1245" t="s">
        <v>4611</v>
      </c>
      <c r="AS30" s="1245" t="s">
        <v>4612</v>
      </c>
      <c r="AT30" s="1246" t="s">
        <v>4038</v>
      </c>
      <c r="AU30" s="1245" t="s">
        <v>4609</v>
      </c>
      <c r="AV30" s="1245" t="s">
        <v>4610</v>
      </c>
      <c r="AW30" s="1245" t="s">
        <v>4611</v>
      </c>
      <c r="AX30" s="1245" t="s">
        <v>4612</v>
      </c>
      <c r="AY30" s="1246" t="s">
        <v>4038</v>
      </c>
      <c r="AZ30" s="1245" t="s">
        <v>4609</v>
      </c>
      <c r="BA30" s="1245" t="s">
        <v>4610</v>
      </c>
      <c r="BB30" s="1245" t="s">
        <v>4611</v>
      </c>
      <c r="BC30" s="1245" t="s">
        <v>4612</v>
      </c>
      <c r="BD30" s="1246" t="s">
        <v>4038</v>
      </c>
    </row>
    <row r="31" spans="1:56" x14ac:dyDescent="0.25">
      <c r="A31" s="392" t="s">
        <v>491</v>
      </c>
      <c r="B31" s="392">
        <f>COUNTIFS(ШТАТ!$AL:$AL,$A31,ШТАТ!$AJ:$AJ,"о")</f>
        <v>4</v>
      </c>
      <c r="C31" s="392">
        <f>COUNTIFS(ШТАТ!$AL:$AL,$A31,ШТАТ!$AJ:$AJ,"п")</f>
        <v>0</v>
      </c>
      <c r="D31" s="392">
        <f>COUNTIFS(ШТАТ!$AL:$AL,$A31,ШТАТ!$AJ:$AJ,"к/с")</f>
        <v>0</v>
      </c>
      <c r="E31" s="392">
        <f>COUNTIFS(ШТАТ!$AL:$AL,$A31,ШТАТ!$AJ:$AJ,"с/с")</f>
        <v>0</v>
      </c>
      <c r="F31" s="1197">
        <f>SUM(B31:E31)</f>
        <v>4</v>
      </c>
      <c r="G31" s="392">
        <f>COUNTIFS(ШТАТ!$AL:$AL,$A31,ШТАТ!$AJ:$AJ,"о",ШТАТ!$U:$U,"")</f>
        <v>4</v>
      </c>
      <c r="H31" s="392">
        <f>COUNTIFS(ШТАТ!$AL:$AL,$A31,ШТАТ!$AJ:$AJ,"п",ШТАТ!$U:$U,"")</f>
        <v>0</v>
      </c>
      <c r="I31" s="392">
        <f>COUNTIFS(ШТАТ!$AL:$AL,$A31,ШТАТ!$AJ:$AJ,"к/с",ШТАТ!$U:$U,"")</f>
        <v>0</v>
      </c>
      <c r="J31" s="392">
        <f>COUNTIFS(ШТАТ!$AL:$AL,$A31,ШТАТ!$AJ:$AJ,"с/с",ШТАТ!$U:$U,"")</f>
        <v>0</v>
      </c>
      <c r="K31" s="1197">
        <f t="shared" ref="K31:K40" si="21">SUM(G31:J31)</f>
        <v>4</v>
      </c>
      <c r="L31" s="392">
        <f>COUNTIFS(ШТАТ!$AL:$AL,$A31,ШТАТ!$AJ:$AJ,"о",ШТАТ!$W:$W,"г. Белгород")</f>
        <v>0</v>
      </c>
      <c r="M31" s="392">
        <f>COUNTIFS(ШТАТ!$AL:$AL,$A31,ШТАТ!$AJ:$AJ,"п",ШТАТ!$W:$W,"г. Белгород")</f>
        <v>0</v>
      </c>
      <c r="N31" s="392">
        <f>COUNTIFS(ШТАТ!$AL:$AL,$A31,ШТАТ!$AJ:$AJ,"к/с",ШТАТ!$W:$W,"г. Белгород")</f>
        <v>0</v>
      </c>
      <c r="O31" s="392">
        <f>COUNTIFS(ШТАТ!$AL:$AL,$A31,ШТАТ!$AJ:$AJ,"с/с",ШТАТ!Z:Z,"г. Белгород")</f>
        <v>0</v>
      </c>
      <c r="P31" s="1197">
        <f>SUM(L31:O31)</f>
        <v>0</v>
      </c>
      <c r="Q31" s="392">
        <f>COUNTIFS(ШТАТ!$AL:$AL,$A31,ШТАТ!$AJ:$AJ,"о",ШТАТ!$X:$X,"Выполнение специальных задач")</f>
        <v>0</v>
      </c>
      <c r="R31" s="392">
        <f>COUNTIFS(ШТАТ!$AL:$AL,$A31,ШТАТ!$AJ:$AJ,"п",ШТАТ!$X:$X,"Выполнение специальных задач")</f>
        <v>0</v>
      </c>
      <c r="S31" s="392">
        <f>COUNTIFS(ШТАТ!$AL:$AL,$A31,ШТАТ!$AJ:$AJ,"к/с",ШТАТ!$X:$X,"Выполнение специальных задач")</f>
        <v>0</v>
      </c>
      <c r="T31" s="392">
        <f>COUNTIFS(ШТАТ!$AL:$AL,$A31,ШТАТ!$AJ:$AJ,"с/с",ШТАТ!$X:$X,"Выполнение специальных задач")</f>
        <v>0</v>
      </c>
      <c r="U31" s="1197">
        <f>SUM(Q31:T31)</f>
        <v>0</v>
      </c>
      <c r="V31" s="392">
        <f>COUNTIFS(ШТАТ!$AL:$AL,$A31,ШТАТ!$AJ:$AJ,"о",ШТАТ!$U:$U,"госп")</f>
        <v>0</v>
      </c>
      <c r="W31" s="392">
        <f>COUNTIFS(ШТАТ!$AL:$AL,$A31,ШТАТ!$AJ:$AJ,"п",ШТАТ!$U:$U,"госп")</f>
        <v>0</v>
      </c>
      <c r="X31" s="392">
        <f>COUNTIFS(ШТАТ!$AL:$AL,$A31,ШТАТ!$AJ:$AJ,"к/с",ШТАТ!$U:$U,"госп")</f>
        <v>0</v>
      </c>
      <c r="Y31" s="392">
        <f>COUNTIFS(ШТАТ!$AL:$AL,$A31,ШТАТ!$AJ:$AJ,"с/с",ШТАТ!$U:$U,"госп")</f>
        <v>0</v>
      </c>
      <c r="Z31" s="1197">
        <f>SUM(V31:Y31)</f>
        <v>0</v>
      </c>
      <c r="AA31" s="392">
        <f>COUNTIFS(ШТАТ!$AL:$AL,$A31,ШТАТ!$AJ:$AJ,"о",ШТАТ!$U:$U,"Отпуск")</f>
        <v>0</v>
      </c>
      <c r="AB31" s="392">
        <f>COUNTIFS(ШТАТ!$AL:$AL,$A31,ШТАТ!$AJ:$AJ,"п",ШТАТ!$U:$U,"Отпуск")</f>
        <v>0</v>
      </c>
      <c r="AC31" s="392">
        <f>COUNTIFS(ШТАТ!$AL:$AL,$A31,ШТАТ!$AJ:$AJ,"к/с",ШТАТ!$U:$U,"Отпуск")</f>
        <v>0</v>
      </c>
      <c r="AD31" s="392">
        <f>COUNTIFS(ШТАТ!$AL:$AL,$A31,ШТАТ!$AJ:$AJ,"с/с",ШТАТ!$U:$U,"Отпуск")</f>
        <v>0</v>
      </c>
      <c r="AE31" s="1197">
        <f>SUM(AA31:AD31)</f>
        <v>0</v>
      </c>
      <c r="AF31" s="392">
        <f>COUNTIFS(ШТАТ!$AL:$AL,$A31,ШТАТ!$AJ:$AJ,"о",ШТАТ!$U:$U,"СОЧ")</f>
        <v>0</v>
      </c>
      <c r="AG31" s="392">
        <f>COUNTIFS(ШТАТ!$AL:$AL,$A31,ШТАТ!$AJ:$AJ,"п",ШТАТ!$U:$U,"СОЧ")</f>
        <v>0</v>
      </c>
      <c r="AH31" s="392">
        <f>COUNTIFS(ШТАТ!$AL:$AL,$A31,ШТАТ!$AJ:$AJ,"к/с",ШТАТ!$U:$U,"СОЧ")</f>
        <v>0</v>
      </c>
      <c r="AI31" s="392">
        <f>COUNTIFS(ШТАТ!$AL:$AL,$A31,ШТАТ!$AJ:$AJ,"с/с",ШТАТ!$U:$U,"СОЧ")</f>
        <v>0</v>
      </c>
      <c r="AJ31" s="1197">
        <f>SUM(AF31:AI31)</f>
        <v>0</v>
      </c>
      <c r="AK31" s="392">
        <f>COUNTIFS(ШТАТ!$AL:$AL,$A31,ШТАТ!$AJ:$AJ,"о",ШТАТ!$W:$W,"в/ч 06414")</f>
        <v>0</v>
      </c>
      <c r="AL31" s="392">
        <f>COUNTIFS(ШТАТ!$AL:$AL,$A31,ШТАТ!$AJ:$AJ,"п",ШТАТ!$W:$W,"в/ч 06414")</f>
        <v>0</v>
      </c>
      <c r="AM31" s="392">
        <f>COUNTIFS(ШТАТ!$AL:$AL,$A31,ШТАТ!$AJ:$AJ,"к/с",ШТАТ!$W:$W,"в/ч 06414")</f>
        <v>0</v>
      </c>
      <c r="AN31" s="392">
        <f>COUNTIFS(ШТАТ!$AL:$AL,$A31,ШТАТ!$AJ:$AJ,"с/с",ШТАТ!$W:$W,"в/ч 06414")</f>
        <v>0</v>
      </c>
      <c r="AO31" s="1197">
        <f>SUM(AK31:AN31)</f>
        <v>0</v>
      </c>
      <c r="AP31" s="392">
        <f>COUNTIFS(ШТАТ!$AL:$AL,$A31,ШТАТ!$AJ:$AJ,"о",ШТАТ!$X:$X,"Подготовка экипажей боевых машин пехоты")</f>
        <v>0</v>
      </c>
      <c r="AQ31" s="392">
        <f>COUNTIFS(ШТАТ!$AL:$AL,$A31,ШТАТ!$AJ:$AJ,"п",ШТАТ!$X:$X,"Подготовка экипажей боевых машин пехоты")</f>
        <v>0</v>
      </c>
      <c r="AR31" s="392">
        <f>COUNTIFS(ШТАТ!$AL:$AL,$A31,ШТАТ!$AJ:$AJ,"к/с",ШТАТ!$X:$X,"Подготовка экипажей боевых машин пехоты")</f>
        <v>0</v>
      </c>
      <c r="AS31" s="392">
        <f>COUNTIFS(ШТАТ!$AL:$AL,$A31,ШТАТ!$AJ:$AJ,"с/с",ШТАТ!$X:$X,"Подготовка экипажей боевых машин пехоты")</f>
        <v>0</v>
      </c>
      <c r="AT31" s="1197">
        <f>SUM(AP31:AS31)</f>
        <v>0</v>
      </c>
      <c r="AU31" s="392">
        <f>COUNTIFS(ШТАТ!$AL:$AL,$A31,ШТАТ!$AJ:$AJ,"о",ШТАТ!$W:$W,"пос. Гвардейское")</f>
        <v>0</v>
      </c>
      <c r="AV31" s="392">
        <f>COUNTIFS(ШТАТ!$AL:$AL,$A31,ШТАТ!$AJ:$AJ,"п",ШТАТ!$W:$W,"пос. Гвардейское")</f>
        <v>0</v>
      </c>
      <c r="AW31" s="392">
        <f>COUNTIFS(ШТАТ!$AL:$AL,$A31,ШТАТ!$AJ:$AJ,"к/с",ШТАТ!$W:$W,"пос. Гвардейское")</f>
        <v>0</v>
      </c>
      <c r="AX31" s="392">
        <f>COUNTIFS(ШТАТ!$AL:$AL,$A31,ШТАТ!$AJ:$AJ,"с/с",ШТАТ!$W:$W,"пос. Гвардейское")</f>
        <v>0</v>
      </c>
      <c r="AY31" s="1197">
        <f>SUM(AU31:AX31)</f>
        <v>0</v>
      </c>
      <c r="AZ31" s="392">
        <f>COUNTIFS(ШТАТ!$AL:$AL,$A31,ШТАТ!$AJ:$AJ,"о",ШТАТ!$U:$U,"полигон")</f>
        <v>0</v>
      </c>
      <c r="BA31" s="392">
        <f>COUNTIFS(ШТАТ!$AL:$AL,$A31,ШТАТ!$AJ:$AJ,"п",ШТАТ!$U:$U,"полигон")</f>
        <v>0</v>
      </c>
      <c r="BB31" s="392">
        <f>COUNTIFS(ШТАТ!$AL:$AL,$A31,ШТАТ!$AJ:$AJ,"к/с",ШТАТ!$U:$U,"полигон")</f>
        <v>0</v>
      </c>
      <c r="BC31" s="392">
        <f>COUNTIFS(ШТАТ!$AL:$AL,$A31,ШТАТ!$AJ:$AJ,"с/с",ШТАТ!$U:$U,"полигон")</f>
        <v>0</v>
      </c>
      <c r="BD31" s="1197">
        <f>SUM(AZ31:BC31)</f>
        <v>0</v>
      </c>
    </row>
    <row r="32" spans="1:56" x14ac:dyDescent="0.25">
      <c r="A32" s="392" t="s">
        <v>494</v>
      </c>
      <c r="B32" s="392">
        <f>COUNTIFS(ШТАТ!$AL:$AL,$A32,ШТАТ!$AJ:$AJ,"о")</f>
        <v>5</v>
      </c>
      <c r="C32" s="392">
        <f>COUNTIFS(ШТАТ!$AL:$AL,$A32,ШТАТ!$AJ:$AJ,"п")</f>
        <v>2</v>
      </c>
      <c r="D32" s="392">
        <f>COUNTIFS(ШТАТ!$AL:$AL,$A32,ШТАТ!$AJ:$AJ,"к/с")</f>
        <v>33</v>
      </c>
      <c r="E32" s="392">
        <f>COUNTIFS(ШТАТ!$AL:$AL,$A32,ШТАТ!$AJ:$AJ,"с/с")</f>
        <v>47</v>
      </c>
      <c r="F32" s="1197">
        <f t="shared" ref="F32:F40" si="22">SUM(B32:E32)</f>
        <v>87</v>
      </c>
      <c r="G32" s="392">
        <f>COUNTIFS(ШТАТ!$AL:$AL,$A32,ШТАТ!$AJ:$AJ,"о",ШТАТ!$U:$U,"")</f>
        <v>2</v>
      </c>
      <c r="H32" s="392">
        <f>COUNTIFS(ШТАТ!$AL:$AL,$A32,ШТАТ!$AJ:$AJ,"п",ШТАТ!$U:$U,"")</f>
        <v>0</v>
      </c>
      <c r="I32" s="392">
        <f>COUNTIFS(ШТАТ!$AL:$AL,$A32,ШТАТ!$AJ:$AJ,"к/с",ШТАТ!$U:$U,"")</f>
        <v>8</v>
      </c>
      <c r="J32" s="392">
        <f>COUNTIFS(ШТАТ!$AL:$AL,$A32,ШТАТ!$AJ:$AJ,"с/с",ШТАТ!$U:$U,"")</f>
        <v>0</v>
      </c>
      <c r="K32" s="1197">
        <f t="shared" si="21"/>
        <v>10</v>
      </c>
      <c r="L32" s="392">
        <f>COUNTIFS(ШТАТ!$AL:$AL,$A32,ШТАТ!$AJ:$AJ,"о",ШТАТ!W:W,"г. Белгород")</f>
        <v>0</v>
      </c>
      <c r="M32" s="392">
        <f>COUNTIFS(ШТАТ!$AL:$AL,$A32,ШТАТ!$AJ:$AJ,"п",ШТАТ!$W:$W,"г. Белгород")</f>
        <v>0</v>
      </c>
      <c r="N32" s="392">
        <f>COUNTIFS(ШТАТ!$AL:$AL,$A32,ШТАТ!$AJ:$AJ,"к/с",ШТАТ!$W:$W,"г. Белгород")</f>
        <v>11</v>
      </c>
      <c r="O32" s="392">
        <f>COUNTIFS(ШТАТ!$AL:$AL,$A32,ШТАТ!$AJ:$AJ,"с/с",ШТАТ!Z:Z,"г. Белгород")</f>
        <v>0</v>
      </c>
      <c r="P32" s="1197">
        <f t="shared" ref="P32:P40" si="23">SUM(L32:O32)</f>
        <v>11</v>
      </c>
      <c r="Q32" s="392">
        <f>COUNTIFS(ШТАТ!$AL:$AL,$A32,ШТАТ!$AJ:$AJ,"о",ШТАТ!X:X,"Выполнение специальных задач")</f>
        <v>2</v>
      </c>
      <c r="R32" s="392">
        <f>COUNTIFS(ШТАТ!$AL:$AL,$A32,ШТАТ!$AJ:$AJ,"п",ШТАТ!$X:$X,"Выполнение специальных задач")</f>
        <v>0</v>
      </c>
      <c r="S32" s="392">
        <f>COUNTIFS(ШТАТ!$AL:$AL,$A32,ШТАТ!$AJ:$AJ,"к/с",ШТАТ!$X:$X,"Выполнение специальных задач")</f>
        <v>5</v>
      </c>
      <c r="T32" s="392">
        <f>COUNTIFS(ШТАТ!$AL:$AL,$A32,ШТАТ!$AJ:$AJ,"с/с",ШТАТ!$X:$X,"Выполнение специальных задач")</f>
        <v>0</v>
      </c>
      <c r="U32" s="1197">
        <f t="shared" ref="U32:U40" si="24">SUM(Q32:T32)</f>
        <v>7</v>
      </c>
      <c r="V32" s="392">
        <f>COUNTIFS(ШТАТ!$AL:$AL,$A32,ШТАТ!$AJ:$AJ,"о",ШТАТ!$U:$U,"госп")</f>
        <v>0</v>
      </c>
      <c r="W32" s="392">
        <f>COUNTIFS(ШТАТ!$AL:$AL,$A32,ШТАТ!$AJ:$AJ,"п",ШТАТ!$U:$U,"госп")</f>
        <v>1</v>
      </c>
      <c r="X32" s="392">
        <f>COUNTIFS(ШТАТ!$AL:$AL,$A32,ШТАТ!$AJ:$AJ,"к/с",ШТАТ!$U:$U,"госп")</f>
        <v>0</v>
      </c>
      <c r="Y32" s="392">
        <f>COUNTIFS(ШТАТ!$AL:$AL,$A32,ШТАТ!$AJ:$AJ,"с/с",ШТАТ!$U:$U,"госп")</f>
        <v>0</v>
      </c>
      <c r="Z32" s="1197">
        <f t="shared" ref="Z32:Z40" si="25">SUM(V32:Y32)</f>
        <v>1</v>
      </c>
      <c r="AA32" s="392">
        <f>COUNTIFS(ШТАТ!$AL:$AL,$A32,ШТАТ!$AJ:$AJ,"о",ШТАТ!$U:$U,"Отпуск")</f>
        <v>0</v>
      </c>
      <c r="AB32" s="392">
        <f>COUNTIFS(ШТАТ!$AL:$AL,$A32,ШТАТ!$AJ:$AJ,"п",ШТАТ!$U:$U,"Отпуск")</f>
        <v>0</v>
      </c>
      <c r="AC32" s="392">
        <f>COUNTIFS(ШТАТ!$AL:$AL,$A32,ШТАТ!$AJ:$AJ,"к/с",ШТАТ!$U:$U,"Отпуск")</f>
        <v>1</v>
      </c>
      <c r="AD32" s="392">
        <f>COUNTIFS(ШТАТ!$AL:$AL,$A32,ШТАТ!$AJ:$AJ,"с/с",ШТАТ!$U:$U,"Отпуск")</f>
        <v>0</v>
      </c>
      <c r="AE32" s="1197">
        <f t="shared" ref="AE32:AE40" si="26">SUM(AA32:AD32)</f>
        <v>1</v>
      </c>
      <c r="AF32" s="392">
        <f>COUNTIFS(ШТАТ!$AL:$AL,$A32,ШТАТ!$AJ:$AJ,"о",ШТАТ!$U:$U,"СОЧ")</f>
        <v>0</v>
      </c>
      <c r="AG32" s="392">
        <f>COUNTIFS(ШТАТ!$AL:$AL,$A32,ШТАТ!$AJ:$AJ,"п",ШТАТ!$U:$U,"СОЧ")</f>
        <v>0</v>
      </c>
      <c r="AH32" s="392">
        <f>COUNTIFS(ШТАТ!$AL:$AL,$A32,ШТАТ!$AJ:$AJ,"к/с",ШТАТ!$U:$U,"СОЧ")</f>
        <v>6</v>
      </c>
      <c r="AI32" s="392">
        <f>COUNTIFS(ШТАТ!$AL:$AL,$A32,ШТАТ!$AJ:$AJ,"с/с",ШТАТ!$U:$U,"СОЧ")</f>
        <v>0</v>
      </c>
      <c r="AJ32" s="1197">
        <f t="shared" ref="AJ32:AJ40" si="27">SUM(AF32:AI32)</f>
        <v>6</v>
      </c>
      <c r="AK32" s="392">
        <f>COUNTIFS(ШТАТ!$AL:$AL,$A32,ШТАТ!$AJ:$AJ,"о",ШТАТ!$W:$W,"в/ч 06414")</f>
        <v>1</v>
      </c>
      <c r="AL32" s="392">
        <f>COUNTIFS(ШТАТ!$AL:$AL,$A32,ШТАТ!$AJ:$AJ,"п",ШТАТ!$W:$W,"в/ч 06414")</f>
        <v>1</v>
      </c>
      <c r="AM32" s="392">
        <f>COUNTIFS(ШТАТ!$AL:$AL,$A32,ШТАТ!$AJ:$AJ,"к/с",ШТАТ!$W:$W,"в/ч 06414")</f>
        <v>0</v>
      </c>
      <c r="AN32" s="392">
        <f>COUNTIFS(ШТАТ!$AL:$AL,$A32,ШТАТ!$AJ:$AJ,"с/с",ШТАТ!$W:$W,"в/ч 06414")</f>
        <v>47</v>
      </c>
      <c r="AO32" s="1197">
        <f t="shared" ref="AO32:AO40" si="28">SUM(AK32:AN32)</f>
        <v>49</v>
      </c>
      <c r="AP32" s="392">
        <f>COUNTIFS(ШТАТ!$AL:$AL,$A32,ШТАТ!$AJ:$AJ,"о",ШТАТ!$X:$X,"Подготовка экипажей боевых машин пехоты")</f>
        <v>0</v>
      </c>
      <c r="AQ32" s="392">
        <f>COUNTIFS(ШТАТ!$AL:$AL,$A32,ШТАТ!$AJ:$AJ,"п",ШТАТ!$X:$X,"Подготовка экипажей боевых машин пехоты")</f>
        <v>0</v>
      </c>
      <c r="AR32" s="392">
        <f>COUNTIFS(ШТАТ!$AL:$AL,$A32,ШТАТ!$AJ:$AJ,"к/с",ШТАТ!$X:$X,"Подготовка экипажей боевых машин пехоты")</f>
        <v>0</v>
      </c>
      <c r="AS32" s="392">
        <f>COUNTIFS(ШТАТ!$AL:$AL,$A32,ШТАТ!$AJ:$AJ,"с/с",ШТАТ!$X:$X,"Подготовка экипажей боевых машин пехоты")</f>
        <v>0</v>
      </c>
      <c r="AT32" s="1197">
        <f t="shared" ref="AT32:AT40" si="29">SUM(AP32:AS32)</f>
        <v>0</v>
      </c>
      <c r="AU32" s="392">
        <f>COUNTIFS(ШТАТ!$AL:$AL,$A32,ШТАТ!$AJ:$AJ,"о",ШТАТ!$W:$W,"пос. Гвардейское")</f>
        <v>0</v>
      </c>
      <c r="AV32" s="392">
        <f>COUNTIFS(ШТАТ!$AL:$AL,$A32,ШТАТ!$AJ:$AJ,"п",ШТАТ!$W:$W,"пос. Гвардейское")</f>
        <v>0</v>
      </c>
      <c r="AW32" s="392">
        <f>COUNTIFS(ШТАТ!$AL:$AL,$A32,ШТАТ!$AJ:$AJ,"к/с",ШТАТ!$W:$W,"пос. Гвардейское")</f>
        <v>0</v>
      </c>
      <c r="AX32" s="392">
        <f>COUNTIFS(ШТАТ!$AL:$AL,$A32,ШТАТ!$AJ:$AJ,"с/с",ШТАТ!$W:$W,"пос. Гвардейское")</f>
        <v>0</v>
      </c>
      <c r="AY32" s="1197">
        <f t="shared" ref="AY32:AY40" si="30">SUM(AU32:AX32)</f>
        <v>0</v>
      </c>
      <c r="AZ32" s="392">
        <f>COUNTIFS(ШТАТ!$AL:$AL,$A32,ШТАТ!$AJ:$AJ,"о",ШТАТ!$U:$U,"полигон")</f>
        <v>0</v>
      </c>
      <c r="BA32" s="392">
        <f>COUNTIFS(ШТАТ!$AL:$AL,$A32,ШТАТ!$AJ:$AJ,"п",ШТАТ!$U:$U,"полигон")</f>
        <v>0</v>
      </c>
      <c r="BB32" s="392">
        <f>COUNTIFS(ШТАТ!$AL:$AL,$A32,ШТАТ!$AJ:$AJ,"к/с",ШТАТ!$U:$U,"полигон")</f>
        <v>0</v>
      </c>
      <c r="BC32" s="392">
        <f>COUNTIFS(ШТАТ!$AL:$AL,$A32,ШТАТ!$AJ:$AJ,"с/с",ШТАТ!$U:$U,"полигон")</f>
        <v>0</v>
      </c>
      <c r="BD32" s="1197">
        <f t="shared" ref="BD32:BD40" si="31">SUM(AZ32:BC32)</f>
        <v>0</v>
      </c>
    </row>
    <row r="33" spans="1:56" x14ac:dyDescent="0.25">
      <c r="A33" s="392" t="s">
        <v>496</v>
      </c>
      <c r="B33" s="392">
        <f>COUNTIFS(ШТАТ!$AL:$AL,$A33,ШТАТ!$AJ:$AJ,"о")</f>
        <v>4</v>
      </c>
      <c r="C33" s="392">
        <f>COUNTIFS(ШТАТ!$AL:$AL,$A33,ШТАТ!$AJ:$AJ,"п")</f>
        <v>2</v>
      </c>
      <c r="D33" s="392">
        <f>COUNTIFS(ШТАТ!$AL:$AL,$A33,ШТАТ!$AJ:$AJ,"к/с")</f>
        <v>62</v>
      </c>
      <c r="E33" s="392">
        <v>25</v>
      </c>
      <c r="F33" s="1197">
        <f t="shared" si="22"/>
        <v>93</v>
      </c>
      <c r="G33" s="392">
        <f>COUNTIFS(ШТАТ!$AL:$AL,$A33,ШТАТ!$AJ:$AJ,"о",ШТАТ!$U:$U,"")</f>
        <v>3</v>
      </c>
      <c r="H33" s="392">
        <f>COUNTIFS(ШТАТ!$AL:$AL,$A33,ШТАТ!$AJ:$AJ,"п",ШТАТ!$U:$U,"")</f>
        <v>1</v>
      </c>
      <c r="I33" s="392">
        <f>COUNTIFS(ШТАТ!$AL:$AL,$A33,ШТАТ!$AJ:$AJ,"к/с",ШТАТ!$U:$U,"")</f>
        <v>16</v>
      </c>
      <c r="J33" s="392">
        <v>21</v>
      </c>
      <c r="K33" s="1197">
        <f t="shared" si="21"/>
        <v>41</v>
      </c>
      <c r="L33" s="392">
        <f>COUNTIFS(ШТАТ!$AL:$AL,$A33,ШТАТ!$AJ:$AJ,"о",ШТАТ!W:W,"г. Белгород")</f>
        <v>0</v>
      </c>
      <c r="M33" s="392">
        <f>COUNTIFS(ШТАТ!$AL:$AL,$A33,ШТАТ!$AJ:$AJ,"п",ШТАТ!$W:$W,"г. Белгород")</f>
        <v>0</v>
      </c>
      <c r="N33" s="392">
        <f>COUNTIFS(ШТАТ!$AL:$AL,$A33,ШТАТ!$AJ:$AJ,"к/с",ШТАТ!$W:$W,"г. Белгород")</f>
        <v>13</v>
      </c>
      <c r="O33" s="392">
        <f>COUNTIFS(ШТАТ!$AL:$AL,$A33,ШТАТ!$AJ:$AJ,"с/с",ШТАТ!Z:Z,"г. Белгород")</f>
        <v>0</v>
      </c>
      <c r="P33" s="1197">
        <f t="shared" si="23"/>
        <v>13</v>
      </c>
      <c r="Q33" s="392">
        <f>COUNTIFS(ШТАТ!$AL:$AL,$A33,ШТАТ!$AJ:$AJ,"о",ШТАТ!X:X,"Выполнение специальных задач")</f>
        <v>1</v>
      </c>
      <c r="R33" s="392">
        <f>COUNTIFS(ШТАТ!$AL:$AL,$A33,ШТАТ!$AJ:$AJ,"п",ШТАТ!$X:$X,"Выполнение специальных задач")</f>
        <v>0</v>
      </c>
      <c r="S33" s="392">
        <f>COUNTIFS(ШТАТ!$AL:$AL,$A33,ШТАТ!$AJ:$AJ,"к/с",ШТАТ!$X:$X,"Выполнение специальных задач")</f>
        <v>13</v>
      </c>
      <c r="T33" s="392">
        <f>COUNTIFS(ШТАТ!$AL:$AL,$A33,ШТАТ!$AJ:$AJ,"с/с",ШТАТ!$X:$X,"Выполнение специальных задач")</f>
        <v>0</v>
      </c>
      <c r="U33" s="1197">
        <f t="shared" si="24"/>
        <v>14</v>
      </c>
      <c r="V33" s="392">
        <f>COUNTIFS(ШТАТ!$AL:$AL,$A33,ШТАТ!$AJ:$AJ,"о",ШТАТ!$U:$U,"госп")</f>
        <v>0</v>
      </c>
      <c r="W33" s="392">
        <f>COUNTIFS(ШТАТ!$AL:$AL,$A33,ШТАТ!$AJ:$AJ,"п",ШТАТ!$U:$U,"госп")</f>
        <v>0</v>
      </c>
      <c r="X33" s="392">
        <f>COUNTIFS(ШТАТ!$AL:$AL,$A33,ШТАТ!$AJ:$AJ,"к/с",ШТАТ!$U:$U,"госп")</f>
        <v>1</v>
      </c>
      <c r="Y33" s="392">
        <f>COUNTIFS(ШТАТ!$AL:$AL,$A33,ШТАТ!$AJ:$AJ,"с/с",ШТАТ!$U:$U,"госп")</f>
        <v>0</v>
      </c>
      <c r="Z33" s="1197">
        <f t="shared" si="25"/>
        <v>1</v>
      </c>
      <c r="AA33" s="392">
        <f>COUNTIFS(ШТАТ!$AL:$AL,$A33,ШТАТ!$AJ:$AJ,"о",ШТАТ!$U:$U,"Отпуск")</f>
        <v>0</v>
      </c>
      <c r="AB33" s="392">
        <f>COUNTIFS(ШТАТ!$AL:$AL,$A33,ШТАТ!$AJ:$AJ,"п",ШТАТ!$U:$U,"Отпуск")</f>
        <v>0</v>
      </c>
      <c r="AC33" s="392">
        <f>COUNTIFS(ШТАТ!$AL:$AL,$A33,ШТАТ!$AJ:$AJ,"к/с",ШТАТ!$U:$U,"Отпуск")</f>
        <v>0</v>
      </c>
      <c r="AD33" s="392">
        <f>COUNTIFS(ШТАТ!$AL:$AL,$A33,ШТАТ!$AJ:$AJ,"с/с",ШТАТ!$U:$U,"Отпуск")</f>
        <v>0</v>
      </c>
      <c r="AE33" s="1197">
        <f t="shared" si="26"/>
        <v>0</v>
      </c>
      <c r="AF33" s="392">
        <f>COUNTIFS(ШТАТ!$AL:$AL,$A33,ШТАТ!$AJ:$AJ,"о",ШТАТ!$U:$U,"СОЧ")</f>
        <v>0</v>
      </c>
      <c r="AG33" s="392">
        <f>COUNTIFS(ШТАТ!$AL:$AL,$A33,ШТАТ!$AJ:$AJ,"п",ШТАТ!$U:$U,"СОЧ")</f>
        <v>0</v>
      </c>
      <c r="AH33" s="392">
        <f>COUNTIFS(ШТАТ!$AL:$AL,$A33,ШТАТ!$AJ:$AJ,"к/с",ШТАТ!$U:$U,"СОЧ")</f>
        <v>9</v>
      </c>
      <c r="AI33" s="392">
        <f>COUNTIFS(ШТАТ!$AL:$AL,$A33,ШТАТ!$AJ:$AJ,"с/с",ШТАТ!$U:$U,"СОЧ")</f>
        <v>0</v>
      </c>
      <c r="AJ33" s="1197">
        <f t="shared" si="27"/>
        <v>9</v>
      </c>
      <c r="AK33" s="392">
        <f>COUNTIFS(ШТАТ!$AL:$AL,$A33,ШТАТ!$AJ:$AJ,"о",ШТАТ!$W:$W,"в/ч 06414")</f>
        <v>0</v>
      </c>
      <c r="AL33" s="392">
        <f>COUNTIFS(ШТАТ!$AL:$AL,$A33,ШТАТ!$AJ:$AJ,"п",ШТАТ!$W:$W,"в/ч 06414")</f>
        <v>0</v>
      </c>
      <c r="AM33" s="392">
        <f>COUNTIFS(ШТАТ!$AL:$AL,$A33,ШТАТ!$AJ:$AJ,"к/с",ШТАТ!$W:$W,"в/ч 06414")</f>
        <v>0</v>
      </c>
      <c r="AN33" s="392">
        <f>COUNTIFS(ШТАТ!$AL:$AL,$A33,ШТАТ!$AJ:$AJ,"с/с",ШТАТ!$W:$W,"в/ч 06414")</f>
        <v>0</v>
      </c>
      <c r="AO33" s="1197">
        <f t="shared" si="28"/>
        <v>0</v>
      </c>
      <c r="AP33" s="392">
        <f>COUNTIFS(ШТАТ!$AL:$AL,$A33,ШТАТ!$AJ:$AJ,"о",ШТАТ!$X:$X,"Подготовка экипажей боевых машин пехоты")</f>
        <v>0</v>
      </c>
      <c r="AQ33" s="392">
        <f>COUNTIFS(ШТАТ!$AL:$AL,$A33,ШТАТ!$AJ:$AJ,"п",ШТАТ!$X:$X,"Подготовка экипажей боевых машин пехоты")</f>
        <v>0</v>
      </c>
      <c r="AR33" s="392">
        <f>COUNTIFS(ШТАТ!$AL:$AL,$A33,ШТАТ!$AJ:$AJ,"к/с",ШТАТ!$X:$X,"Подготовка экипажей боевых машин пехоты")</f>
        <v>0</v>
      </c>
      <c r="AS33" s="392">
        <f>COUNTIFS(ШТАТ!$AL:$AL,$A33,ШТАТ!$AJ:$AJ,"с/с",ШТАТ!$X:$X,"Подготовка экипажей боевых машин пехоты")</f>
        <v>0</v>
      </c>
      <c r="AT33" s="1197">
        <f t="shared" si="29"/>
        <v>0</v>
      </c>
      <c r="AU33" s="392">
        <f>COUNTIFS(ШТАТ!$AL:$AL,$A33,ШТАТ!$AJ:$AJ,"о",ШТАТ!$W:$W,"пос. Гвардейское")</f>
        <v>0</v>
      </c>
      <c r="AV33" s="392">
        <f>COUNTIFS(ШТАТ!$AL:$AL,$A33,ШТАТ!$AJ:$AJ,"п",ШТАТ!$W:$W,"пос. Гвардейское")</f>
        <v>0</v>
      </c>
      <c r="AW33" s="392">
        <f>COUNTIFS(ШТАТ!$AL:$AL,$A33,ШТАТ!$AJ:$AJ,"к/с",ШТАТ!$W:$W,"пос. Гвардейское")</f>
        <v>0</v>
      </c>
      <c r="AX33" s="392">
        <f>COUNTIFS(ШТАТ!$AL:$AL,$A33,ШТАТ!$AJ:$AJ,"с/с",ШТАТ!$W:$W,"пос. Гвардейское")</f>
        <v>4</v>
      </c>
      <c r="AY33" s="1197">
        <f t="shared" si="30"/>
        <v>4</v>
      </c>
      <c r="AZ33" s="392">
        <f>COUNTIFS(ШТАТ!$AL:$AL,$A33,ШТАТ!$AJ:$AJ,"о",ШТАТ!$U:$U,"полигон")</f>
        <v>0</v>
      </c>
      <c r="BA33" s="392">
        <f>COUNTIFS(ШТАТ!$AL:$AL,$A33,ШТАТ!$AJ:$AJ,"п",ШТАТ!$U:$U,"полигон")</f>
        <v>0</v>
      </c>
      <c r="BB33" s="392">
        <f>COUNTIFS(ШТАТ!$AL:$AL,$A33,ШТАТ!$AJ:$AJ,"к/с",ШТАТ!$U:$U,"полигон")</f>
        <v>1</v>
      </c>
      <c r="BC33" s="392">
        <f>COUNTIFS(ШТАТ!$AL:$AL,$A33,ШТАТ!$AJ:$AJ,"с/с",ШТАТ!$U:$U,"полигон")</f>
        <v>0</v>
      </c>
      <c r="BD33" s="1197">
        <f t="shared" si="31"/>
        <v>1</v>
      </c>
    </row>
    <row r="34" spans="1:56" x14ac:dyDescent="0.25">
      <c r="A34" s="392" t="s">
        <v>497</v>
      </c>
      <c r="B34" s="392">
        <f>COUNTIFS(ШТАТ!$AL:$AL,$A34,ШТАТ!$AJ:$AJ,"о")</f>
        <v>5</v>
      </c>
      <c r="C34" s="392">
        <f>COUNTIFS(ШТАТ!$AL:$AL,$A34,ШТАТ!$AJ:$AJ,"п")</f>
        <v>2</v>
      </c>
      <c r="D34" s="392">
        <f>COUNTIFS(ШТАТ!$AL:$AL,$A34,ШТАТ!$AJ:$AJ,"к/с")</f>
        <v>60</v>
      </c>
      <c r="E34" s="392">
        <v>25</v>
      </c>
      <c r="F34" s="1197">
        <f t="shared" si="22"/>
        <v>92</v>
      </c>
      <c r="G34" s="392">
        <f>COUNTIFS(ШТАТ!$AL:$AL,$A34,ШТАТ!$AJ:$AJ,"о",ШТАТ!$U:$U,"")</f>
        <v>1</v>
      </c>
      <c r="H34" s="392">
        <f>COUNTIFS(ШТАТ!$AL:$AL,$A34,ШТАТ!$AJ:$AJ,"п",ШТАТ!$U:$U,"")</f>
        <v>0</v>
      </c>
      <c r="I34" s="392">
        <f>COUNTIFS(ШТАТ!$AL:$AL,$A34,ШТАТ!$AJ:$AJ,"к/с",ШТАТ!$U:$U,"")</f>
        <v>12</v>
      </c>
      <c r="J34" s="392">
        <v>18</v>
      </c>
      <c r="K34" s="1197">
        <f t="shared" si="21"/>
        <v>31</v>
      </c>
      <c r="L34" s="392">
        <f>COUNTIFS(ШТАТ!$AL:$AL,$A34,ШТАТ!$AJ:$AJ,"о",ШТАТ!W:W,"г. Белгород")</f>
        <v>2</v>
      </c>
      <c r="M34" s="392">
        <f>COUNTIFS(ШТАТ!$AL:$AL,$A34,ШТАТ!$AJ:$AJ,"п",ШТАТ!$W:$W,"г. Белгород")</f>
        <v>0</v>
      </c>
      <c r="N34" s="392">
        <f>COUNTIFS(ШТАТ!$AL:$AL,$A34,ШТАТ!$AJ:$AJ,"к/с",ШТАТ!$W:$W,"г. Белгород")</f>
        <v>17</v>
      </c>
      <c r="O34" s="392">
        <f>COUNTIFS(ШТАТ!$AL:$AL,$A34,ШТАТ!$AJ:$AJ,"с/с",ШТАТ!Z:Z,"г. Белгород")</f>
        <v>0</v>
      </c>
      <c r="P34" s="1197">
        <f t="shared" si="23"/>
        <v>19</v>
      </c>
      <c r="Q34" s="392">
        <f>COUNTIFS(ШТАТ!$AL:$AL,$A34,ШТАТ!$AJ:$AJ,"о",ШТАТ!X:X,"Выполнение специальных задач")</f>
        <v>0</v>
      </c>
      <c r="R34" s="392">
        <f>COUNTIFS(ШТАТ!$AL:$AL,$A34,ШТАТ!$AJ:$AJ,"п",ШТАТ!$X:$X,"Выполнение специальных задач")</f>
        <v>0</v>
      </c>
      <c r="S34" s="392">
        <f>COUNTIFS(ШТАТ!$AL:$AL,$A34,ШТАТ!$AJ:$AJ,"к/с",ШТАТ!$X:$X,"Выполнение специальных задач")</f>
        <v>7</v>
      </c>
      <c r="T34" s="392">
        <f>COUNTIFS(ШТАТ!$AL:$AL,$A34,ШТАТ!$AJ:$AJ,"с/с",ШТАТ!$X:$X,"Выполнение специальных задач")</f>
        <v>0</v>
      </c>
      <c r="U34" s="1197">
        <f t="shared" si="24"/>
        <v>7</v>
      </c>
      <c r="V34" s="392">
        <f>COUNTIFS(ШТАТ!$AL:$AL,$A34,ШТАТ!$AJ:$AJ,"о",ШТАТ!$U:$U,"госп")</f>
        <v>0</v>
      </c>
      <c r="W34" s="392">
        <f>COUNTIFS(ШТАТ!$AL:$AL,$A34,ШТАТ!$AJ:$AJ,"п",ШТАТ!$U:$U,"госп")</f>
        <v>0</v>
      </c>
      <c r="X34" s="392">
        <f>COUNTIFS(ШТАТ!$AL:$AL,$A34,ШТАТ!$AJ:$AJ,"к/с",ШТАТ!$U:$U,"госп")</f>
        <v>6</v>
      </c>
      <c r="Y34" s="392">
        <f>COUNTIFS(ШТАТ!$AL:$AL,$A34,ШТАТ!$AJ:$AJ,"с/с",ШТАТ!$U:$U,"госп")</f>
        <v>1</v>
      </c>
      <c r="Z34" s="1197">
        <f t="shared" si="25"/>
        <v>7</v>
      </c>
      <c r="AA34" s="392">
        <f>COUNTIFS(ШТАТ!$AL:$AL,$A34,ШТАТ!$AJ:$AJ,"о",ШТАТ!$U:$U,"Отпуск")</f>
        <v>0</v>
      </c>
      <c r="AB34" s="392">
        <f>COUNTIFS(ШТАТ!$AL:$AL,$A34,ШТАТ!$AJ:$AJ,"п",ШТАТ!$U:$U,"Отпуск")</f>
        <v>0</v>
      </c>
      <c r="AC34" s="392">
        <f>COUNTIFS(ШТАТ!$AL:$AL,$A34,ШТАТ!$AJ:$AJ,"к/с",ШТАТ!$U:$U,"Отпуск")</f>
        <v>1</v>
      </c>
      <c r="AD34" s="392">
        <f>COUNTIFS(ШТАТ!$AL:$AL,$A34,ШТАТ!$AJ:$AJ,"с/с",ШТАТ!$U:$U,"Отпуск")</f>
        <v>0</v>
      </c>
      <c r="AE34" s="1197">
        <f t="shared" si="26"/>
        <v>1</v>
      </c>
      <c r="AF34" s="392">
        <f>COUNTIFS(ШТАТ!$AL:$AL,$A34,ШТАТ!$AJ:$AJ,"о",ШТАТ!$U:$U,"СОЧ")</f>
        <v>0</v>
      </c>
      <c r="AG34" s="392">
        <f>COUNTIFS(ШТАТ!$AL:$AL,$A34,ШТАТ!$AJ:$AJ,"п",ШТАТ!$U:$U,"СОЧ")</f>
        <v>0</v>
      </c>
      <c r="AH34" s="392">
        <f>COUNTIFS(ШТАТ!$AL:$AL,$A34,ШТАТ!$AJ:$AJ,"к/с",ШТАТ!$U:$U,"СОЧ")</f>
        <v>12</v>
      </c>
      <c r="AI34" s="392">
        <f>COUNTIFS(ШТАТ!$AL:$AL,$A34,ШТАТ!$AJ:$AJ,"с/с",ШТАТ!$U:$U,"СОЧ")</f>
        <v>0</v>
      </c>
      <c r="AJ34" s="1197">
        <f t="shared" si="27"/>
        <v>12</v>
      </c>
      <c r="AK34" s="392">
        <f>COUNTIFS(ШТАТ!$AL:$AL,$A34,ШТАТ!$AJ:$AJ,"о",ШТАТ!$W:$W,"в/ч 06414")</f>
        <v>0</v>
      </c>
      <c r="AL34" s="392">
        <f>COUNTIFS(ШТАТ!$AL:$AL,$A34,ШТАТ!$AJ:$AJ,"п",ШТАТ!$W:$W,"в/ч 06414")</f>
        <v>0</v>
      </c>
      <c r="AM34" s="392">
        <f>COUNTIFS(ШТАТ!$AL:$AL,$A34,ШТАТ!$AJ:$AJ,"к/с",ШТАТ!$W:$W,"в/ч 06414")</f>
        <v>0</v>
      </c>
      <c r="AN34" s="392">
        <f>COUNTIFS(ШТАТ!$AL:$AL,$A34,ШТАТ!$AJ:$AJ,"с/с",ШТАТ!$W:$W,"в/ч 06414")</f>
        <v>0</v>
      </c>
      <c r="AO34" s="1197">
        <f t="shared" si="28"/>
        <v>0</v>
      </c>
      <c r="AP34" s="392">
        <f>COUNTIFS(ШТАТ!$AL:$AL,$A34,ШТАТ!$AJ:$AJ,"о",ШТАТ!$X:$X,"Подготовка экипажей боевых машин пехоты")</f>
        <v>0</v>
      </c>
      <c r="AQ34" s="392">
        <f>COUNTIFS(ШТАТ!$AL:$AL,$A34,ШТАТ!$AJ:$AJ,"п",ШТАТ!$X:$X,"Подготовка экипажей боевых машин пехоты")</f>
        <v>0</v>
      </c>
      <c r="AR34" s="392">
        <f>COUNTIFS(ШТАТ!$AL:$AL,$A34,ШТАТ!$AJ:$AJ,"к/с",ШТАТ!$X:$X,"Подготовка экипажей боевых машин пехоты")</f>
        <v>0</v>
      </c>
      <c r="AS34" s="392">
        <f>COUNTIFS(ШТАТ!$AL:$AL,$A34,ШТАТ!$AJ:$AJ,"с/с",ШТАТ!$X:$X,"Подготовка экипажей боевых машин пехоты")</f>
        <v>0</v>
      </c>
      <c r="AT34" s="1197">
        <f t="shared" si="29"/>
        <v>0</v>
      </c>
      <c r="AU34" s="392">
        <f>COUNTIFS(ШТАТ!$AL:$AL,$A34,ШТАТ!$AJ:$AJ,"о",ШТАТ!$W:$W,"пос. Гвардейское")</f>
        <v>0</v>
      </c>
      <c r="AV34" s="392">
        <f>COUNTIFS(ШТАТ!$AL:$AL,$A34,ШТАТ!$AJ:$AJ,"п",ШТАТ!$W:$W,"пос. Гвардейское")</f>
        <v>0</v>
      </c>
      <c r="AW34" s="392">
        <f>COUNTIFS(ШТАТ!$AL:$AL,$A34,ШТАТ!$AJ:$AJ,"к/с",ШТАТ!$W:$W,"пос. Гвардейское")</f>
        <v>0</v>
      </c>
      <c r="AX34" s="392">
        <f>COUNTIFS(ШТАТ!$AL:$AL,$A34,ШТАТ!$AJ:$AJ,"с/с",ШТАТ!$W:$W,"пос. Гвардейское")</f>
        <v>4</v>
      </c>
      <c r="AY34" s="1197">
        <f t="shared" si="30"/>
        <v>4</v>
      </c>
      <c r="AZ34" s="392">
        <f>COUNTIFS(ШТАТ!$AL:$AL,$A34,ШТАТ!$AJ:$AJ,"о",ШТАТ!$U:$U,"полигон")</f>
        <v>0</v>
      </c>
      <c r="BA34" s="392">
        <f>COUNTIFS(ШТАТ!$AL:$AL,$A34,ШТАТ!$AJ:$AJ,"п",ШТАТ!$U:$U,"полигон")</f>
        <v>0</v>
      </c>
      <c r="BB34" s="392">
        <f>COUNTIFS(ШТАТ!$AL:$AL,$A34,ШТАТ!$AJ:$AJ,"к/с",ШТАТ!$U:$U,"полигон")</f>
        <v>0</v>
      </c>
      <c r="BC34" s="392">
        <f>COUNTIFS(ШТАТ!$AL:$AL,$A34,ШТАТ!$AJ:$AJ,"с/с",ШТАТ!$U:$U,"полигон")</f>
        <v>0</v>
      </c>
      <c r="BD34" s="1197">
        <f t="shared" si="31"/>
        <v>0</v>
      </c>
    </row>
    <row r="35" spans="1:56" x14ac:dyDescent="0.25">
      <c r="A35" s="392" t="s">
        <v>499</v>
      </c>
      <c r="B35" s="392">
        <f>COUNTIFS(ШТАТ!$AL:$AL,$A35,ШТАТ!$AJ:$AJ,"о")</f>
        <v>4</v>
      </c>
      <c r="C35" s="392">
        <f>COUNTIFS(ШТАТ!$AL:$AL,$A35,ШТАТ!$AJ:$AJ,"п")</f>
        <v>1</v>
      </c>
      <c r="D35" s="392">
        <f>COUNTIFS(ШТАТ!$AL:$AL,$A35,ШТАТ!$AJ:$AJ,"к/с")</f>
        <v>19</v>
      </c>
      <c r="E35" s="392">
        <v>19</v>
      </c>
      <c r="F35" s="1197">
        <f t="shared" si="22"/>
        <v>43</v>
      </c>
      <c r="G35" s="392">
        <f>COUNTIFS(ШТАТ!$AL:$AL,$A35,ШТАТ!$AJ:$AJ,"о",ШТАТ!$U:$U,"")</f>
        <v>1</v>
      </c>
      <c r="H35" s="392">
        <f>COUNTIFS(ШТАТ!$AL:$AL,$A35,ШТАТ!$AJ:$AJ,"п",ШТАТ!$U:$U,"")</f>
        <v>1</v>
      </c>
      <c r="I35" s="392">
        <f>COUNTIFS(ШТАТ!$AL:$AL,$A35,ШТАТ!$AJ:$AJ,"к/с",ШТАТ!$U:$U,"")</f>
        <v>3</v>
      </c>
      <c r="J35" s="392">
        <v>14</v>
      </c>
      <c r="K35" s="1197">
        <f t="shared" si="21"/>
        <v>19</v>
      </c>
      <c r="L35" s="392">
        <f>COUNTIFS(ШТАТ!$AL:$AL,$A35,ШТАТ!$AJ:$AJ,"о",ШТАТ!W:W,"г. Белгород")</f>
        <v>0</v>
      </c>
      <c r="M35" s="392">
        <f>COUNTIFS(ШТАТ!$AL:$AL,$A35,ШТАТ!$AJ:$AJ,"п",ШТАТ!$W:$W,"г. Белгород")</f>
        <v>0</v>
      </c>
      <c r="N35" s="392">
        <f>COUNTIFS(ШТАТ!$AL:$AL,$A35,ШТАТ!$AJ:$AJ,"к/с",ШТАТ!$W:$W,"г. Белгород")</f>
        <v>8</v>
      </c>
      <c r="O35" s="392">
        <f>COUNTIFS(ШТАТ!$AL:$AL,$A35,ШТАТ!$AJ:$AJ,"с/с",ШТАТ!Z:Z,"г. Белгород")</f>
        <v>0</v>
      </c>
      <c r="P35" s="1197">
        <f t="shared" si="23"/>
        <v>8</v>
      </c>
      <c r="Q35" s="392">
        <f>COUNTIFS(ШТАТ!$AL:$AL,$A35,ШТАТ!$AJ:$AJ,"о",ШТАТ!X:X,"Выполнение специальных задач")</f>
        <v>1</v>
      </c>
      <c r="R35" s="392">
        <f>COUNTIFS(ШТАТ!$AL:$AL,$A35,ШТАТ!$AJ:$AJ,"п",ШТАТ!$X:$X,"Выполнение специальных задач")</f>
        <v>0</v>
      </c>
      <c r="S35" s="392">
        <f>COUNTIFS(ШТАТ!$AL:$AL,$A35,ШТАТ!$AJ:$AJ,"к/с",ШТАТ!$X:$X,"Выполнение специальных задач")</f>
        <v>3</v>
      </c>
      <c r="T35" s="392">
        <f>COUNTIFS(ШТАТ!$AL:$AL,$A35,ШТАТ!$AJ:$AJ,"с/с",ШТАТ!$X:$X,"Выполнение специальных задач")</f>
        <v>0</v>
      </c>
      <c r="U35" s="1197">
        <f t="shared" si="24"/>
        <v>4</v>
      </c>
      <c r="V35" s="392">
        <f>COUNTIFS(ШТАТ!$AL:$AL,$A35,ШТАТ!$AJ:$AJ,"о",ШТАТ!$U:$U,"госп")</f>
        <v>0</v>
      </c>
      <c r="W35" s="392">
        <f>COUNTIFS(ШТАТ!$AL:$AL,$A35,ШТАТ!$AJ:$AJ,"п",ШТАТ!$U:$U,"госп")</f>
        <v>0</v>
      </c>
      <c r="X35" s="392">
        <f>COUNTIFS(ШТАТ!$AL:$AL,$A35,ШТАТ!$AJ:$AJ,"к/с",ШТАТ!$U:$U,"госп")</f>
        <v>0</v>
      </c>
      <c r="Y35" s="392">
        <f>COUNTIFS(ШТАТ!$AL:$AL,$A35,ШТАТ!$AJ:$AJ,"с/с",ШТАТ!$U:$U,"госп")</f>
        <v>0</v>
      </c>
      <c r="Z35" s="1197">
        <f t="shared" si="25"/>
        <v>0</v>
      </c>
      <c r="AA35" s="392">
        <f>COUNTIFS(ШТАТ!$AL:$AL,$A35,ШТАТ!$AJ:$AJ,"о",ШТАТ!$U:$U,"Отпуск")</f>
        <v>0</v>
      </c>
      <c r="AB35" s="392">
        <f>COUNTIFS(ШТАТ!$AL:$AL,$A35,ШТАТ!$AJ:$AJ,"п",ШТАТ!$U:$U,"Отпуск")</f>
        <v>0</v>
      </c>
      <c r="AC35" s="392">
        <f>COUNTIFS(ШТАТ!$AL:$AL,$A35,ШТАТ!$AJ:$AJ,"к/с",ШТАТ!$U:$U,"Отпуск")</f>
        <v>1</v>
      </c>
      <c r="AD35" s="392">
        <f>COUNTIFS(ШТАТ!$AL:$AL,$A35,ШТАТ!$AJ:$AJ,"с/с",ШТАТ!$U:$U,"Отпуск")</f>
        <v>0</v>
      </c>
      <c r="AE35" s="1197">
        <f t="shared" si="26"/>
        <v>1</v>
      </c>
      <c r="AF35" s="392">
        <f>COUNTIFS(ШТАТ!$AL:$AL,$A35,ШТАТ!$AJ:$AJ,"о",ШТАТ!$U:$U,"СОЧ")</f>
        <v>0</v>
      </c>
      <c r="AG35" s="392">
        <f>COUNTIFS(ШТАТ!$AL:$AL,$A35,ШТАТ!$AJ:$AJ,"п",ШТАТ!$U:$U,"СОЧ")</f>
        <v>0</v>
      </c>
      <c r="AH35" s="392">
        <f>COUNTIFS(ШТАТ!$AL:$AL,$A35,ШТАТ!$AJ:$AJ,"к/с",ШТАТ!$U:$U,"СОЧ")</f>
        <v>3</v>
      </c>
      <c r="AI35" s="392">
        <f>COUNTIFS(ШТАТ!$AL:$AL,$A35,ШТАТ!$AJ:$AJ,"с/с",ШТАТ!$U:$U,"СОЧ")</f>
        <v>0</v>
      </c>
      <c r="AJ35" s="1197">
        <f t="shared" si="27"/>
        <v>3</v>
      </c>
      <c r="AK35" s="392">
        <f>COUNTIFS(ШТАТ!$AL:$AL,$A35,ШТАТ!$AJ:$AJ,"о",ШТАТ!$W:$W,"в/ч 06414")</f>
        <v>1</v>
      </c>
      <c r="AL35" s="392">
        <f>COUNTIFS(ШТАТ!$AL:$AL,$A35,ШТАТ!$AJ:$AJ,"п",ШТАТ!$W:$W,"в/ч 06414")</f>
        <v>0</v>
      </c>
      <c r="AM35" s="392">
        <f>COUNTIFS(ШТАТ!$AL:$AL,$A35,ШТАТ!$AJ:$AJ,"к/с",ШТАТ!$W:$W,"в/ч 06414")</f>
        <v>0</v>
      </c>
      <c r="AN35" s="392">
        <f>COUNTIFS(ШТАТ!$AL:$AL,$A35,ШТАТ!$AJ:$AJ,"с/с",ШТАТ!$W:$W,"в/ч 06414")</f>
        <v>1</v>
      </c>
      <c r="AO35" s="1197">
        <f t="shared" si="28"/>
        <v>2</v>
      </c>
      <c r="AP35" s="392">
        <f>COUNTIFS(ШТАТ!$AL:$AL,$A35,ШТАТ!$AJ:$AJ,"о",ШТАТ!$X:$X,"Подготовка экипажей боевых машин пехоты")</f>
        <v>0</v>
      </c>
      <c r="AQ35" s="392">
        <f>COUNTIFS(ШТАТ!$AL:$AL,$A35,ШТАТ!$AJ:$AJ,"п",ШТАТ!$X:$X,"Подготовка экипажей боевых машин пехоты")</f>
        <v>0</v>
      </c>
      <c r="AR35" s="392">
        <f>COUNTIFS(ШТАТ!$AL:$AL,$A35,ШТАТ!$AJ:$AJ,"к/с",ШТАТ!$X:$X,"Подготовка экипажей боевых машин пехоты")</f>
        <v>0</v>
      </c>
      <c r="AS35" s="392">
        <f>COUNTIFS(ШТАТ!$AL:$AL,$A35,ШТАТ!$AJ:$AJ,"с/с",ШТАТ!$X:$X,"Подготовка экипажей боевых машин пехоты")</f>
        <v>0</v>
      </c>
      <c r="AT35" s="1197">
        <f t="shared" si="29"/>
        <v>0</v>
      </c>
      <c r="AU35" s="392">
        <f>COUNTIFS(ШТАТ!$AL:$AL,$A35,ШТАТ!$AJ:$AJ,"о",ШТАТ!$W:$W,"пос. Гвардейское")</f>
        <v>0</v>
      </c>
      <c r="AV35" s="392">
        <f>COUNTIFS(ШТАТ!$AL:$AL,$A35,ШТАТ!$AJ:$AJ,"п",ШТАТ!$W:$W,"пос. Гвардейское")</f>
        <v>0</v>
      </c>
      <c r="AW35" s="392">
        <f>COUNTIFS(ШТАТ!$AL:$AL,$A35,ШТАТ!$AJ:$AJ,"к/с",ШТАТ!$W:$W,"пос. Гвардейское")</f>
        <v>0</v>
      </c>
      <c r="AX35" s="392">
        <f>COUNTIFS(ШТАТ!$AL:$AL,$A35,ШТАТ!$AJ:$AJ,"с/с",ШТАТ!$W:$W,"пос. Гвардейское")</f>
        <v>2</v>
      </c>
      <c r="AY35" s="1197">
        <f t="shared" si="30"/>
        <v>2</v>
      </c>
      <c r="AZ35" s="392">
        <f>COUNTIFS(ШТАТ!$AL:$AL,$A35,ШТАТ!$AJ:$AJ,"о",ШТАТ!$U:$U,"полигон")</f>
        <v>0</v>
      </c>
      <c r="BA35" s="392">
        <f>COUNTIFS(ШТАТ!$AL:$AL,$A35,ШТАТ!$AJ:$AJ,"п",ШТАТ!$U:$U,"полигон")</f>
        <v>0</v>
      </c>
      <c r="BB35" s="392">
        <f>COUNTIFS(ШТАТ!$AL:$AL,$A35,ШТАТ!$AJ:$AJ,"к/с",ШТАТ!$U:$U,"полигон")</f>
        <v>0</v>
      </c>
      <c r="BC35" s="392">
        <f>COUNTIFS(ШТАТ!$AL:$AL,$A35,ШТАТ!$AJ:$AJ,"с/с",ШТАТ!$U:$U,"полигон")</f>
        <v>0</v>
      </c>
      <c r="BD35" s="1197">
        <f t="shared" si="31"/>
        <v>0</v>
      </c>
    </row>
    <row r="36" spans="1:56" x14ac:dyDescent="0.25">
      <c r="A36" s="392" t="s">
        <v>500</v>
      </c>
      <c r="B36" s="392">
        <f>COUNTIFS(ШТАТ!$AL:$AL,$A36,ШТАТ!$AJ:$AJ,"о")</f>
        <v>1</v>
      </c>
      <c r="C36" s="392">
        <f>COUNTIFS(ШТАТ!$AL:$AL,$A36,ШТАТ!$AJ:$AJ,"п")</f>
        <v>0</v>
      </c>
      <c r="D36" s="392">
        <f>COUNTIFS(ШТАТ!$AL:$AL,$A36,ШТАТ!$AJ:$AJ,"к/с")</f>
        <v>8</v>
      </c>
      <c r="E36" s="392">
        <v>8</v>
      </c>
      <c r="F36" s="1197">
        <f t="shared" si="22"/>
        <v>17</v>
      </c>
      <c r="G36" s="392">
        <f>COUNTIFS(ШТАТ!$AL:$AL,$A36,ШТАТ!$AJ:$AJ,"о",ШТАТ!$U:$U,"")</f>
        <v>0</v>
      </c>
      <c r="H36" s="392">
        <f>COUNTIFS(ШТАТ!$AL:$AL,$A36,ШТАТ!$AJ:$AJ,"п",ШТАТ!$U:$U,"")</f>
        <v>0</v>
      </c>
      <c r="I36" s="392">
        <f>COUNTIFS(ШТАТ!$AL:$AL,$A36,ШТАТ!$AJ:$AJ,"к/с",ШТАТ!$U:$U,"")</f>
        <v>2</v>
      </c>
      <c r="J36" s="392">
        <v>6</v>
      </c>
      <c r="K36" s="1197">
        <f t="shared" si="21"/>
        <v>8</v>
      </c>
      <c r="L36" s="392">
        <f>COUNTIFS(ШТАТ!$AL:$AL,$A36,ШТАТ!$AJ:$AJ,"о",ШТАТ!W:W,"г. Белгород")</f>
        <v>1</v>
      </c>
      <c r="M36" s="392">
        <f>COUNTIFS(ШТАТ!$AL:$AL,$A36,ШТАТ!$AJ:$AJ,"п",ШТАТ!$W:$W,"г. Белгород")</f>
        <v>0</v>
      </c>
      <c r="N36" s="392">
        <f>COUNTIFS(ШТАТ!$AL:$AL,$A36,ШТАТ!$AJ:$AJ,"к/с",ШТАТ!$W:$W,"г. Белгород")</f>
        <v>1</v>
      </c>
      <c r="O36" s="392">
        <f>COUNTIFS(ШТАТ!$AL:$AL,$A36,ШТАТ!$AJ:$AJ,"с/с",ШТАТ!Z:Z,"г. Белгород")</f>
        <v>0</v>
      </c>
      <c r="P36" s="1197">
        <f t="shared" si="23"/>
        <v>2</v>
      </c>
      <c r="Q36" s="392">
        <f>COUNTIFS(ШТАТ!$AL:$AL,$A36,ШТАТ!$AJ:$AJ,"о",ШТАТ!X:X,"Выполнение специальных задач")</f>
        <v>0</v>
      </c>
      <c r="R36" s="392">
        <f>COUNTIFS(ШТАТ!$AL:$AL,$A36,ШТАТ!$AJ:$AJ,"п",ШТАТ!$X:$X,"Выполнение специальных задач")</f>
        <v>0</v>
      </c>
      <c r="S36" s="392">
        <f>COUNTIFS(ШТАТ!$AL:$AL,$A36,ШТАТ!$AJ:$AJ,"к/с",ШТАТ!$X:$X,"Выполнение специальных задач")</f>
        <v>2</v>
      </c>
      <c r="T36" s="392">
        <f>COUNTIFS(ШТАТ!$AL:$AL,$A36,ШТАТ!$AJ:$AJ,"с/с",ШТАТ!$X:$X,"Выполнение специальных задач")</f>
        <v>0</v>
      </c>
      <c r="U36" s="1197">
        <f t="shared" si="24"/>
        <v>2</v>
      </c>
      <c r="V36" s="392">
        <f>COUNTIFS(ШТАТ!$AL:$AL,$A36,ШТАТ!$AJ:$AJ,"о",ШТАТ!$U:$U,"госп")</f>
        <v>0</v>
      </c>
      <c r="W36" s="392">
        <f>COUNTIFS(ШТАТ!$AL:$AL,$A36,ШТАТ!$AJ:$AJ,"п",ШТАТ!$U:$U,"госп")</f>
        <v>0</v>
      </c>
      <c r="X36" s="392">
        <f>COUNTIFS(ШТАТ!$AL:$AL,$A36,ШТАТ!$AJ:$AJ,"к/с",ШТАТ!$U:$U,"госп")</f>
        <v>0</v>
      </c>
      <c r="Y36" s="392">
        <f>COUNTIFS(ШТАТ!$AL:$AL,$A36,ШТАТ!$AJ:$AJ,"с/с",ШТАТ!$U:$U,"госп")</f>
        <v>0</v>
      </c>
      <c r="Z36" s="1197">
        <f t="shared" si="25"/>
        <v>0</v>
      </c>
      <c r="AA36" s="392">
        <f>COUNTIFS(ШТАТ!$AL:$AL,$A36,ШТАТ!$AJ:$AJ,"о",ШТАТ!$U:$U,"Отпуск")</f>
        <v>0</v>
      </c>
      <c r="AB36" s="392">
        <f>COUNTIFS(ШТАТ!$AL:$AL,$A36,ШТАТ!$AJ:$AJ,"п",ШТАТ!$U:$U,"Отпуск")</f>
        <v>0</v>
      </c>
      <c r="AC36" s="392">
        <f>COUNTIFS(ШТАТ!$AL:$AL,$A36,ШТАТ!$AJ:$AJ,"к/с",ШТАТ!$U:$U,"Отпуск")</f>
        <v>0</v>
      </c>
      <c r="AD36" s="392">
        <f>COUNTIFS(ШТАТ!$AL:$AL,$A36,ШТАТ!$AJ:$AJ,"с/с",ШТАТ!$U:$U,"Отпуск")</f>
        <v>0</v>
      </c>
      <c r="AE36" s="1197">
        <f t="shared" si="26"/>
        <v>0</v>
      </c>
      <c r="AF36" s="392">
        <f>COUNTIFS(ШТАТ!$AL:$AL,$A36,ШТАТ!$AJ:$AJ,"о",ШТАТ!$U:$U,"СОЧ")</f>
        <v>0</v>
      </c>
      <c r="AG36" s="392">
        <f>COUNTIFS(ШТАТ!$AL:$AL,$A36,ШТАТ!$AJ:$AJ,"п",ШТАТ!$U:$U,"СОЧ")</f>
        <v>0</v>
      </c>
      <c r="AH36" s="392">
        <f>COUNTIFS(ШТАТ!$AL:$AL,$A36,ШТАТ!$AJ:$AJ,"к/с",ШТАТ!$U:$U,"СОЧ")</f>
        <v>1</v>
      </c>
      <c r="AI36" s="392">
        <f>COUNTIFS(ШТАТ!$AL:$AL,$A36,ШТАТ!$AJ:$AJ,"с/с",ШТАТ!$U:$U,"СОЧ")</f>
        <v>0</v>
      </c>
      <c r="AJ36" s="1197">
        <f t="shared" si="27"/>
        <v>1</v>
      </c>
      <c r="AK36" s="392">
        <f>COUNTIFS(ШТАТ!$AL:$AL,$A36,ШТАТ!$AJ:$AJ,"о",ШТАТ!$W:$W,"в/ч 06414")</f>
        <v>0</v>
      </c>
      <c r="AL36" s="392">
        <f>COUNTIFS(ШТАТ!$AL:$AL,$A36,ШТАТ!$AJ:$AJ,"п",ШТАТ!$W:$W,"в/ч 06414")</f>
        <v>0</v>
      </c>
      <c r="AM36" s="392">
        <f>COUNTIFS(ШТАТ!$AL:$AL,$A36,ШТАТ!$AJ:$AJ,"к/с",ШТАТ!$W:$W,"в/ч 06414")</f>
        <v>0</v>
      </c>
      <c r="AN36" s="392">
        <f>COUNTIFS(ШТАТ!$AL:$AL,$A36,ШТАТ!$AJ:$AJ,"с/с",ШТАТ!$W:$W,"в/ч 06414")</f>
        <v>1</v>
      </c>
      <c r="AO36" s="1197">
        <f t="shared" si="28"/>
        <v>1</v>
      </c>
      <c r="AP36" s="392">
        <f>COUNTIFS(ШТАТ!$AL:$AL,$A36,ШТАТ!$AJ:$AJ,"о",ШТАТ!$X:$X,"Подготовка экипажей боевых машин пехоты")</f>
        <v>0</v>
      </c>
      <c r="AQ36" s="392">
        <f>COUNTIFS(ШТАТ!$AL:$AL,$A36,ШТАТ!$AJ:$AJ,"п",ШТАТ!$X:$X,"Подготовка экипажей боевых машин пехоты")</f>
        <v>0</v>
      </c>
      <c r="AR36" s="392">
        <f>COUNTIFS(ШТАТ!$AL:$AL,$A36,ШТАТ!$AJ:$AJ,"к/с",ШТАТ!$X:$X,"Подготовка экипажей боевых машин пехоты")</f>
        <v>0</v>
      </c>
      <c r="AS36" s="392">
        <f>COUNTIFS(ШТАТ!$AL:$AL,$A36,ШТАТ!$AJ:$AJ,"с/с",ШТАТ!$X:$X,"Подготовка экипажей боевых машин пехоты")</f>
        <v>0</v>
      </c>
      <c r="AT36" s="1197">
        <f t="shared" si="29"/>
        <v>0</v>
      </c>
      <c r="AU36" s="392">
        <f>COUNTIFS(ШТАТ!$AL:$AL,$A36,ШТАТ!$AJ:$AJ,"о",ШТАТ!$W:$W,"пос. Гвардейское")</f>
        <v>0</v>
      </c>
      <c r="AV36" s="392">
        <f>COUNTIFS(ШТАТ!$AL:$AL,$A36,ШТАТ!$AJ:$AJ,"п",ШТАТ!$W:$W,"пос. Гвардейское")</f>
        <v>0</v>
      </c>
      <c r="AW36" s="392">
        <f>COUNTIFS(ШТАТ!$AL:$AL,$A36,ШТАТ!$AJ:$AJ,"к/с",ШТАТ!$W:$W,"пос. Гвардейское")</f>
        <v>0</v>
      </c>
      <c r="AX36" s="392">
        <f>COUNTIFS(ШТАТ!$AL:$AL,$A36,ШТАТ!$AJ:$AJ,"с/с",ШТАТ!$W:$W,"пос. Гвардейское")</f>
        <v>1</v>
      </c>
      <c r="AY36" s="1197">
        <f t="shared" si="30"/>
        <v>1</v>
      </c>
      <c r="AZ36" s="392">
        <f>COUNTIFS(ШТАТ!$AL:$AL,$A36,ШТАТ!$AJ:$AJ,"о",ШТАТ!$U:$U,"полигон")</f>
        <v>0</v>
      </c>
      <c r="BA36" s="392">
        <f>COUNTIFS(ШТАТ!$AL:$AL,$A36,ШТАТ!$AJ:$AJ,"п",ШТАТ!$U:$U,"полигон")</f>
        <v>0</v>
      </c>
      <c r="BB36" s="392">
        <f>COUNTIFS(ШТАТ!$AL:$AL,$A36,ШТАТ!$AJ:$AJ,"к/с",ШТАТ!$U:$U,"полигон")</f>
        <v>0</v>
      </c>
      <c r="BC36" s="392">
        <f>COUNTIFS(ШТАТ!$AL:$AL,$A36,ШТАТ!$AJ:$AJ,"с/с",ШТАТ!$U:$U,"полигон")</f>
        <v>0</v>
      </c>
      <c r="BD36" s="1197">
        <f t="shared" si="31"/>
        <v>0</v>
      </c>
    </row>
    <row r="37" spans="1:56" x14ac:dyDescent="0.25">
      <c r="A37" s="392" t="s">
        <v>923</v>
      </c>
      <c r="B37" s="392">
        <f>COUNTIFS(ШТАТ!$AL:$AL,$A37,ШТАТ!$AJ:$AJ,"о")</f>
        <v>1</v>
      </c>
      <c r="C37" s="392">
        <f>COUNTIFS(ШТАТ!$AL:$AL,$A37,ШТАТ!$AJ:$AJ,"п")</f>
        <v>0</v>
      </c>
      <c r="D37" s="392">
        <f>COUNTIFS(ШТАТ!$AL:$AL,$A37,ШТАТ!$AJ:$AJ,"к/с")</f>
        <v>3</v>
      </c>
      <c r="E37" s="392">
        <v>9</v>
      </c>
      <c r="F37" s="1197">
        <f t="shared" si="22"/>
        <v>13</v>
      </c>
      <c r="G37" s="392">
        <f>COUNTIFS(ШТАТ!$AL:$AL,$A37,ШТАТ!$AJ:$AJ,"о",ШТАТ!$U:$U,"")</f>
        <v>1</v>
      </c>
      <c r="H37" s="392">
        <f>COUNTIFS(ШТАТ!$AL:$AL,$A37,ШТАТ!$AJ:$AJ,"п",ШТАТ!$U:$U,"")</f>
        <v>0</v>
      </c>
      <c r="I37" s="392">
        <f>COUNTIFS(ШТАТ!$AL:$AL,$A37,ШТАТ!$AJ:$AJ,"к/с",ШТАТ!$U:$U,"")</f>
        <v>0</v>
      </c>
      <c r="J37" s="392">
        <v>9</v>
      </c>
      <c r="K37" s="1197">
        <f t="shared" si="21"/>
        <v>10</v>
      </c>
      <c r="L37" s="392">
        <f>COUNTIFS(ШТАТ!$AL:$AL,$A37,ШТАТ!$AJ:$AJ,"о",ШТАТ!W:W,"г. Белгород")</f>
        <v>0</v>
      </c>
      <c r="M37" s="392">
        <f>COUNTIFS(ШТАТ!$AL:$AL,$A37,ШТАТ!$AJ:$AJ,"п",ШТАТ!$W:$W,"г. Белгород")</f>
        <v>0</v>
      </c>
      <c r="N37" s="392">
        <f>COUNTIFS(ШТАТ!$AL:$AL,$A37,ШТАТ!$AJ:$AJ,"к/с",ШТАТ!$W:$W,"г. Белгород")</f>
        <v>1</v>
      </c>
      <c r="O37" s="392">
        <f>COUNTIFS(ШТАТ!$AL:$AL,$A37,ШТАТ!$AJ:$AJ,"с/с",ШТАТ!Z:Z,"г. Белгород")</f>
        <v>0</v>
      </c>
      <c r="P37" s="1197">
        <f t="shared" si="23"/>
        <v>1</v>
      </c>
      <c r="Q37" s="392">
        <f>COUNTIFS(ШТАТ!$AL:$AL,$A37,ШТАТ!$AJ:$AJ,"о",ШТАТ!X:X,"Выполнение специальных задач")</f>
        <v>0</v>
      </c>
      <c r="R37" s="392">
        <f>COUNTIFS(ШТАТ!$AL:$AL,$A37,ШТАТ!$AJ:$AJ,"п",ШТАТ!$X:$X,"Выполнение специальных задач")</f>
        <v>0</v>
      </c>
      <c r="S37" s="392">
        <f>COUNTIFS(ШТАТ!$AL:$AL,$A37,ШТАТ!$AJ:$AJ,"к/с",ШТАТ!$X:$X,"Выполнение специальных задач")</f>
        <v>1</v>
      </c>
      <c r="T37" s="392">
        <f>COUNTIFS(ШТАТ!$AL:$AL,$A37,ШТАТ!$AJ:$AJ,"с/с",ШТАТ!$X:$X,"Выполнение специальных задач")</f>
        <v>0</v>
      </c>
      <c r="U37" s="1197">
        <f t="shared" si="24"/>
        <v>1</v>
      </c>
      <c r="V37" s="392">
        <f>COUNTIFS(ШТАТ!$AL:$AL,$A37,ШТАТ!$AJ:$AJ,"о",ШТАТ!$U:$U,"госп")</f>
        <v>0</v>
      </c>
      <c r="W37" s="392">
        <f>COUNTIFS(ШТАТ!$AL:$AL,$A37,ШТАТ!$AJ:$AJ,"п",ШТАТ!$U:$U,"госп")</f>
        <v>0</v>
      </c>
      <c r="X37" s="392">
        <f>COUNTIFS(ШТАТ!$AL:$AL,$A37,ШТАТ!$AJ:$AJ,"к/с",ШТАТ!$U:$U,"госп")</f>
        <v>0</v>
      </c>
      <c r="Y37" s="392">
        <f>COUNTIFS(ШТАТ!$AL:$AL,$A37,ШТАТ!$AJ:$AJ,"с/с",ШТАТ!$U:$U,"госп")</f>
        <v>0</v>
      </c>
      <c r="Z37" s="1197">
        <f t="shared" si="25"/>
        <v>0</v>
      </c>
      <c r="AA37" s="392">
        <f>COUNTIFS(ШТАТ!$AL:$AL,$A37,ШТАТ!$AJ:$AJ,"о",ШТАТ!$U:$U,"Отпуск")</f>
        <v>0</v>
      </c>
      <c r="AB37" s="392">
        <f>COUNTIFS(ШТАТ!$AL:$AL,$A37,ШТАТ!$AJ:$AJ,"п",ШТАТ!$U:$U,"Отпуск")</f>
        <v>0</v>
      </c>
      <c r="AC37" s="392">
        <f>COUNTIFS(ШТАТ!$AL:$AL,$A37,ШТАТ!$AJ:$AJ,"к/с",ШТАТ!$U:$U,"Отпуск")</f>
        <v>1</v>
      </c>
      <c r="AD37" s="392">
        <f>COUNTIFS(ШТАТ!$AL:$AL,$A37,ШТАТ!$AJ:$AJ,"с/с",ШТАТ!$U:$U,"Отпуск")</f>
        <v>0</v>
      </c>
      <c r="AE37" s="1197">
        <f t="shared" si="26"/>
        <v>1</v>
      </c>
      <c r="AF37" s="392">
        <f>COUNTIFS(ШТАТ!$AL:$AL,$A37,ШТАТ!$AJ:$AJ,"о",ШТАТ!$U:$U,"СОЧ")</f>
        <v>0</v>
      </c>
      <c r="AG37" s="392">
        <f>COUNTIFS(ШТАТ!$AL:$AL,$A37,ШТАТ!$AJ:$AJ,"п",ШТАТ!$U:$U,"СОЧ")</f>
        <v>0</v>
      </c>
      <c r="AH37" s="392">
        <f>COUNTIFS(ШТАТ!$AL:$AL,$A37,ШТАТ!$AJ:$AJ,"к/с",ШТАТ!$U:$U,"СОЧ")</f>
        <v>0</v>
      </c>
      <c r="AI37" s="392">
        <f>COUNTIFS(ШТАТ!$AL:$AL,$A37,ШТАТ!$AJ:$AJ,"с/с",ШТАТ!$U:$U,"СОЧ")</f>
        <v>0</v>
      </c>
      <c r="AJ37" s="1197">
        <f t="shared" si="27"/>
        <v>0</v>
      </c>
      <c r="AK37" s="392">
        <f>COUNTIFS(ШТАТ!$AL:$AL,$A37,ШТАТ!$AJ:$AJ,"о",ШТАТ!$W:$W,"в/ч 06414")</f>
        <v>0</v>
      </c>
      <c r="AL37" s="392">
        <f>COUNTIFS(ШТАТ!$AL:$AL,$A37,ШТАТ!$AJ:$AJ,"п",ШТАТ!$W:$W,"в/ч 06414")</f>
        <v>0</v>
      </c>
      <c r="AM37" s="392">
        <f>COUNTIFS(ШТАТ!$AL:$AL,$A37,ШТАТ!$AJ:$AJ,"к/с",ШТАТ!$W:$W,"в/ч 06414")</f>
        <v>0</v>
      </c>
      <c r="AN37" s="392">
        <f>COUNTIFS(ШТАТ!$AL:$AL,$A37,ШТАТ!$AJ:$AJ,"с/с",ШТАТ!$W:$W,"в/ч 06414")</f>
        <v>0</v>
      </c>
      <c r="AO37" s="1197">
        <f t="shared" si="28"/>
        <v>0</v>
      </c>
      <c r="AP37" s="392">
        <f>COUNTIFS(ШТАТ!$AL:$AL,$A37,ШТАТ!$AJ:$AJ,"о",ШТАТ!$X:$X,"Подготовка экипажей боевых машин пехоты")</f>
        <v>0</v>
      </c>
      <c r="AQ37" s="392">
        <f>COUNTIFS(ШТАТ!$AL:$AL,$A37,ШТАТ!$AJ:$AJ,"п",ШТАТ!$X:$X,"Подготовка экипажей боевых машин пехоты")</f>
        <v>0</v>
      </c>
      <c r="AR37" s="392">
        <f>COUNTIFS(ШТАТ!$AL:$AL,$A37,ШТАТ!$AJ:$AJ,"к/с",ШТАТ!$X:$X,"Подготовка экипажей боевых машин пехоты")</f>
        <v>0</v>
      </c>
      <c r="AS37" s="392">
        <f>COUNTIFS(ШТАТ!$AL:$AL,$A37,ШТАТ!$AJ:$AJ,"с/с",ШТАТ!$X:$X,"Подготовка экипажей боевых машин пехоты")</f>
        <v>0</v>
      </c>
      <c r="AT37" s="1197">
        <f t="shared" si="29"/>
        <v>0</v>
      </c>
      <c r="AU37" s="392">
        <f>COUNTIFS(ШТАТ!$AL:$AL,$A37,ШТАТ!$AJ:$AJ,"о",ШТАТ!$W:$W,"пос. Гвардейское")</f>
        <v>0</v>
      </c>
      <c r="AV37" s="392">
        <f>COUNTIFS(ШТАТ!$AL:$AL,$A37,ШТАТ!$AJ:$AJ,"п",ШТАТ!$W:$W,"пос. Гвардейское")</f>
        <v>0</v>
      </c>
      <c r="AW37" s="392">
        <f>COUNTIFS(ШТАТ!$AL:$AL,$A37,ШТАТ!$AJ:$AJ,"к/с",ШТАТ!$W:$W,"пос. Гвардейское")</f>
        <v>0</v>
      </c>
      <c r="AX37" s="392">
        <f>COUNTIFS(ШТАТ!$AL:$AL,$A37,ШТАТ!$AJ:$AJ,"с/с",ШТАТ!$W:$W,"пос. Гвардейское")</f>
        <v>0</v>
      </c>
      <c r="AY37" s="1197">
        <f t="shared" si="30"/>
        <v>0</v>
      </c>
      <c r="AZ37" s="392">
        <f>COUNTIFS(ШТАТ!$AL:$AL,$A37,ШТАТ!$AJ:$AJ,"о",ШТАТ!$U:$U,"полигон")</f>
        <v>0</v>
      </c>
      <c r="BA37" s="392">
        <f>COUNTIFS(ШТАТ!$AL:$AL,$A37,ШТАТ!$AJ:$AJ,"п",ШТАТ!$U:$U,"полигон")</f>
        <v>0</v>
      </c>
      <c r="BB37" s="392">
        <f>COUNTIFS(ШТАТ!$AL:$AL,$A37,ШТАТ!$AJ:$AJ,"к/с",ШТАТ!$U:$U,"полигон")</f>
        <v>0</v>
      </c>
      <c r="BC37" s="392">
        <f>COUNTIFS(ШТАТ!$AL:$AL,$A37,ШТАТ!$AJ:$AJ,"с/с",ШТАТ!$U:$U,"полигон")</f>
        <v>0</v>
      </c>
      <c r="BD37" s="1197">
        <f t="shared" si="31"/>
        <v>0</v>
      </c>
    </row>
    <row r="38" spans="1:56" x14ac:dyDescent="0.25">
      <c r="A38" s="392" t="s">
        <v>503</v>
      </c>
      <c r="B38" s="392">
        <f>COUNTIFS(ШТАТ!$AL:$AL,$A38,ШТАТ!$AJ:$AJ,"о")</f>
        <v>1</v>
      </c>
      <c r="C38" s="392">
        <f>COUNTIFS(ШТАТ!$AL:$AL,$A38,ШТАТ!$AJ:$AJ,"п")</f>
        <v>0</v>
      </c>
      <c r="D38" s="392">
        <f>COUNTIFS(ШТАТ!$AL:$AL,$A38,ШТАТ!$AJ:$AJ,"к/с")</f>
        <v>6</v>
      </c>
      <c r="E38" s="392">
        <v>5</v>
      </c>
      <c r="F38" s="1197">
        <f t="shared" si="22"/>
        <v>12</v>
      </c>
      <c r="G38" s="392">
        <f>COUNTIFS(ШТАТ!$AL:$AL,$A38,ШТАТ!$AJ:$AJ,"о",ШТАТ!$U:$U,"")</f>
        <v>0</v>
      </c>
      <c r="H38" s="392">
        <f>COUNTIFS(ШТАТ!$AL:$AL,$A38,ШТАТ!$AJ:$AJ,"п",ШТАТ!$U:$U,"")</f>
        <v>0</v>
      </c>
      <c r="I38" s="392">
        <f>COUNTIFS(ШТАТ!$AL:$AL,$A38,ШТАТ!$AJ:$AJ,"к/с",ШТАТ!$U:$U,"")</f>
        <v>0</v>
      </c>
      <c r="J38" s="392">
        <v>5</v>
      </c>
      <c r="K38" s="1197">
        <f t="shared" si="21"/>
        <v>5</v>
      </c>
      <c r="L38" s="392">
        <f>COUNTIFS(ШТАТ!$AL:$AL,$A38,ШТАТ!$AJ:$AJ,"о",ШТАТ!W:W,"г. Белгород")</f>
        <v>1</v>
      </c>
      <c r="M38" s="392">
        <f>COUNTIFS(ШТАТ!$AL:$AL,$A38,ШТАТ!$AJ:$AJ,"п",ШТАТ!$W:$W,"г. Белгород")</f>
        <v>0</v>
      </c>
      <c r="N38" s="392">
        <f>COUNTIFS(ШТАТ!$AL:$AL,$A38,ШТАТ!$AJ:$AJ,"к/с",ШТАТ!$W:$W,"г. Белгород")</f>
        <v>1</v>
      </c>
      <c r="O38" s="392">
        <f>COUNTIFS(ШТАТ!$AL:$AL,$A38,ШТАТ!$AJ:$AJ,"с/с",ШТАТ!Z:Z,"г. Белгород")</f>
        <v>0</v>
      </c>
      <c r="P38" s="1197">
        <f t="shared" si="23"/>
        <v>2</v>
      </c>
      <c r="Q38" s="392">
        <f>COUNTIFS(ШТАТ!$AL:$AL,$A38,ШТАТ!$AJ:$AJ,"о",ШТАТ!X:X,"Выполнение специальных задач")</f>
        <v>0</v>
      </c>
      <c r="R38" s="392">
        <f>COUNTIFS(ШТАТ!$AL:$AL,$A38,ШТАТ!$AJ:$AJ,"п",ШТАТ!$X:$X,"Выполнение специальных задач")</f>
        <v>0</v>
      </c>
      <c r="S38" s="392">
        <f>COUNTIFS(ШТАТ!$AL:$AL,$A38,ШТАТ!$AJ:$AJ,"к/с",ШТАТ!$X:$X,"Выполнение специальных задач")</f>
        <v>0</v>
      </c>
      <c r="T38" s="392">
        <f>COUNTIFS(ШТАТ!$AL:$AL,$A38,ШТАТ!$AJ:$AJ,"с/с",ШТАТ!$X:$X,"Выполнение специальных задач")</f>
        <v>0</v>
      </c>
      <c r="U38" s="1197">
        <f t="shared" si="24"/>
        <v>0</v>
      </c>
      <c r="V38" s="392">
        <f>COUNTIFS(ШТАТ!$AL:$AL,$A38,ШТАТ!$AJ:$AJ,"о",ШТАТ!$U:$U,"госп")</f>
        <v>0</v>
      </c>
      <c r="W38" s="392">
        <f>COUNTIFS(ШТАТ!$AL:$AL,$A38,ШТАТ!$AJ:$AJ,"п",ШТАТ!$U:$U,"госп")</f>
        <v>0</v>
      </c>
      <c r="X38" s="392">
        <f>COUNTIFS(ШТАТ!$AL:$AL,$A38,ШТАТ!$AJ:$AJ,"к/с",ШТАТ!$U:$U,"госп")</f>
        <v>0</v>
      </c>
      <c r="Y38" s="392">
        <f>COUNTIFS(ШТАТ!$AL:$AL,$A38,ШТАТ!$AJ:$AJ,"с/с",ШТАТ!$U:$U,"госп")</f>
        <v>0</v>
      </c>
      <c r="Z38" s="1197">
        <f t="shared" si="25"/>
        <v>0</v>
      </c>
      <c r="AA38" s="392">
        <f>COUNTIFS(ШТАТ!$AL:$AL,$A38,ШТАТ!$AJ:$AJ,"о",ШТАТ!$U:$U,"Отпуск")</f>
        <v>0</v>
      </c>
      <c r="AB38" s="392">
        <f>COUNTIFS(ШТАТ!$AL:$AL,$A38,ШТАТ!$AJ:$AJ,"п",ШТАТ!$U:$U,"Отпуск")</f>
        <v>0</v>
      </c>
      <c r="AC38" s="392">
        <f>COUNTIFS(ШТАТ!$AL:$AL,$A38,ШТАТ!$AJ:$AJ,"к/с",ШТАТ!$U:$U,"Отпуск")</f>
        <v>0</v>
      </c>
      <c r="AD38" s="392">
        <f>COUNTIFS(ШТАТ!$AL:$AL,$A38,ШТАТ!$AJ:$AJ,"с/с",ШТАТ!$U:$U,"Отпуск")</f>
        <v>0</v>
      </c>
      <c r="AE38" s="1197">
        <f t="shared" si="26"/>
        <v>0</v>
      </c>
      <c r="AF38" s="392">
        <f>COUNTIFS(ШТАТ!$AL:$AL,$A38,ШТАТ!$AJ:$AJ,"о",ШТАТ!$U:$U,"СОЧ")</f>
        <v>0</v>
      </c>
      <c r="AG38" s="392">
        <f>COUNTIFS(ШТАТ!$AL:$AL,$A38,ШТАТ!$AJ:$AJ,"п",ШТАТ!$U:$U,"СОЧ")</f>
        <v>0</v>
      </c>
      <c r="AH38" s="392">
        <f>COUNTIFS(ШТАТ!$AL:$AL,$A38,ШТАТ!$AJ:$AJ,"к/с",ШТАТ!$U:$U,"СОЧ")</f>
        <v>0</v>
      </c>
      <c r="AI38" s="392">
        <f>COUNTIFS(ШТАТ!$AL:$AL,$A38,ШТАТ!$AJ:$AJ,"с/с",ШТАТ!$U:$U,"СОЧ")</f>
        <v>0</v>
      </c>
      <c r="AJ38" s="1197">
        <f t="shared" si="27"/>
        <v>0</v>
      </c>
      <c r="AK38" s="392">
        <f>COUNTIFS(ШТАТ!$AL:$AL,$A38,ШТАТ!$AJ:$AJ,"о",ШТАТ!$W:$W,"в/ч 06414")</f>
        <v>0</v>
      </c>
      <c r="AL38" s="392">
        <f>COUNTIFS(ШТАТ!$AL:$AL,$A38,ШТАТ!$AJ:$AJ,"п",ШТАТ!$W:$W,"в/ч 06414")</f>
        <v>0</v>
      </c>
      <c r="AM38" s="392">
        <f>COUNTIFS(ШТАТ!$AL:$AL,$A38,ШТАТ!$AJ:$AJ,"к/с",ШТАТ!$W:$W,"в/ч 06414")</f>
        <v>0</v>
      </c>
      <c r="AN38" s="392">
        <f>COUNTIFS(ШТАТ!$AL:$AL,$A38,ШТАТ!$AJ:$AJ,"с/с",ШТАТ!$W:$W,"в/ч 06414")</f>
        <v>0</v>
      </c>
      <c r="AO38" s="1197">
        <f t="shared" si="28"/>
        <v>0</v>
      </c>
      <c r="AP38" s="392">
        <f>COUNTIFS(ШТАТ!$AL:$AL,$A38,ШТАТ!$AJ:$AJ,"о",ШТАТ!$X:$X,"Подготовка экипажей боевых машин пехоты")</f>
        <v>0</v>
      </c>
      <c r="AQ38" s="392">
        <f>COUNTIFS(ШТАТ!$AL:$AL,$A38,ШТАТ!$AJ:$AJ,"п",ШТАТ!$X:$X,"Подготовка экипажей боевых машин пехоты")</f>
        <v>0</v>
      </c>
      <c r="AR38" s="392">
        <f>COUNTIFS(ШТАТ!$AL:$AL,$A38,ШТАТ!$AJ:$AJ,"к/с",ШТАТ!$X:$X,"Подготовка экипажей боевых машин пехоты")</f>
        <v>0</v>
      </c>
      <c r="AS38" s="392">
        <f>COUNTIFS(ШТАТ!$AL:$AL,$A38,ШТАТ!$AJ:$AJ,"с/с",ШТАТ!$X:$X,"Подготовка экипажей боевых машин пехоты")</f>
        <v>0</v>
      </c>
      <c r="AT38" s="1197">
        <f t="shared" si="29"/>
        <v>0</v>
      </c>
      <c r="AU38" s="392">
        <f>COUNTIFS(ШТАТ!$AL:$AL,$A38,ШТАТ!$AJ:$AJ,"о",ШТАТ!$W:$W,"пос. Гвардейское")</f>
        <v>0</v>
      </c>
      <c r="AV38" s="392">
        <f>COUNTIFS(ШТАТ!$AL:$AL,$A38,ШТАТ!$AJ:$AJ,"п",ШТАТ!$W:$W,"пос. Гвардейское")</f>
        <v>0</v>
      </c>
      <c r="AW38" s="392">
        <f>COUNTIFS(ШТАТ!$AL:$AL,$A38,ШТАТ!$AJ:$AJ,"к/с",ШТАТ!$W:$W,"пос. Гвардейское")</f>
        <v>0</v>
      </c>
      <c r="AX38" s="392">
        <f>COUNTIFS(ШТАТ!$AL:$AL,$A38,ШТАТ!$AJ:$AJ,"с/с",ШТАТ!$W:$W,"пос. Гвардейское")</f>
        <v>1</v>
      </c>
      <c r="AY38" s="1197">
        <f t="shared" si="30"/>
        <v>1</v>
      </c>
      <c r="AZ38" s="392">
        <f>COUNTIFS(ШТАТ!$AL:$AL,$A38,ШТАТ!$AJ:$AJ,"о",ШТАТ!$U:$U,"полигон")</f>
        <v>0</v>
      </c>
      <c r="BA38" s="392">
        <f>COUNTIFS(ШТАТ!$AL:$AL,$A38,ШТАТ!$AJ:$AJ,"п",ШТАТ!$U:$U,"полигон")</f>
        <v>0</v>
      </c>
      <c r="BB38" s="392">
        <f>COUNTIFS(ШТАТ!$AL:$AL,$A38,ШТАТ!$AJ:$AJ,"к/с",ШТАТ!$U:$U,"полигон")</f>
        <v>0</v>
      </c>
      <c r="BC38" s="392">
        <f>COUNTIFS(ШТАТ!$AL:$AL,$A38,ШТАТ!$AJ:$AJ,"с/с",ШТАТ!$U:$U,"полигон")</f>
        <v>0</v>
      </c>
      <c r="BD38" s="1197">
        <f t="shared" si="31"/>
        <v>0</v>
      </c>
    </row>
    <row r="39" spans="1:56" x14ac:dyDescent="0.25">
      <c r="A39" s="392" t="s">
        <v>504</v>
      </c>
      <c r="B39" s="392">
        <f>COUNTIFS(ШТАТ!$AL:$AL,$A39,ШТАТ!$AJ:$AJ,"о")</f>
        <v>0</v>
      </c>
      <c r="C39" s="392">
        <f>COUNTIFS(ШТАТ!$AL:$AL,$A39,ШТАТ!$AJ:$AJ,"п")</f>
        <v>0</v>
      </c>
      <c r="D39" s="392">
        <f>COUNTIFS(ШТАТ!$AL:$AL,$A39,ШТАТ!$AJ:$AJ,"к/с")</f>
        <v>3</v>
      </c>
      <c r="E39" s="392">
        <v>7</v>
      </c>
      <c r="F39" s="1197">
        <f t="shared" si="22"/>
        <v>10</v>
      </c>
      <c r="G39" s="392">
        <f>COUNTIFS(ШТАТ!$AL:$AL,$A39,ШТАТ!$AJ:$AJ,"о",ШТАТ!$U:$U,"")</f>
        <v>0</v>
      </c>
      <c r="H39" s="392">
        <f>COUNTIFS(ШТАТ!$AL:$AL,$A39,ШТАТ!$AJ:$AJ,"п",ШТАТ!$U:$U,"")</f>
        <v>0</v>
      </c>
      <c r="I39" s="392">
        <f>COUNTIFS(ШТАТ!$AL:$AL,$A39,ШТАТ!$AJ:$AJ,"к/с",ШТАТ!$U:$U,"")</f>
        <v>1</v>
      </c>
      <c r="J39" s="392">
        <v>5</v>
      </c>
      <c r="K39" s="1197">
        <f t="shared" si="21"/>
        <v>6</v>
      </c>
      <c r="L39" s="392">
        <f>COUNTIFS(ШТАТ!$AL:$AL,$A39,ШТАТ!$AJ:$AJ,"о",ШТАТ!W:W,"г. Белгород")</f>
        <v>0</v>
      </c>
      <c r="M39" s="392">
        <f>COUNTIFS(ШТАТ!$AL:$AL,$A39,ШТАТ!$AJ:$AJ,"п",ШТАТ!$W:$W,"г. Белгород")</f>
        <v>0</v>
      </c>
      <c r="N39" s="392">
        <f>COUNTIFS(ШТАТ!$AL:$AL,$A39,ШТАТ!$AJ:$AJ,"к/с",ШТАТ!$W:$W,"г. Белгород")</f>
        <v>1</v>
      </c>
      <c r="O39" s="392">
        <f>COUNTIFS(ШТАТ!$AL:$AL,$A39,ШТАТ!$AJ:$AJ,"с/с",ШТАТ!Z:Z,"г. Белгород")</f>
        <v>0</v>
      </c>
      <c r="P39" s="1197">
        <f t="shared" si="23"/>
        <v>1</v>
      </c>
      <c r="Q39" s="392">
        <f>COUNTIFS(ШТАТ!$AL:$AL,$A39,ШТАТ!$AJ:$AJ,"о",ШТАТ!X:X,"Выполнение специальных задач")</f>
        <v>0</v>
      </c>
      <c r="R39" s="392">
        <f>COUNTIFS(ШТАТ!$AL:$AL,$A39,ШТАТ!$AJ:$AJ,"п",ШТАТ!$X:$X,"Выполнение специальных задач")</f>
        <v>0</v>
      </c>
      <c r="S39" s="392">
        <f>COUNTIFS(ШТАТ!$AL:$AL,$A39,ШТАТ!$AJ:$AJ,"к/с",ШТАТ!$X:$X,"Выполнение специальных задач")</f>
        <v>0</v>
      </c>
      <c r="T39" s="392">
        <f>COUNTIFS(ШТАТ!$AL:$AL,$A39,ШТАТ!$AJ:$AJ,"с/с",ШТАТ!$X:$X,"Выполнение специальных задач")</f>
        <v>0</v>
      </c>
      <c r="U39" s="1197">
        <f t="shared" si="24"/>
        <v>0</v>
      </c>
      <c r="V39" s="392">
        <f>COUNTIFS(ШТАТ!$AL:$AL,$A39,ШТАТ!$AJ:$AJ,"о",ШТАТ!$U:$U,"госп")</f>
        <v>0</v>
      </c>
      <c r="W39" s="392">
        <f>COUNTIFS(ШТАТ!$AL:$AL,$A39,ШТАТ!$AJ:$AJ,"п",ШТАТ!$U:$U,"госп")</f>
        <v>0</v>
      </c>
      <c r="X39" s="392">
        <f>COUNTIFS(ШТАТ!$AL:$AL,$A39,ШТАТ!$AJ:$AJ,"к/с",ШТАТ!$U:$U,"госп")</f>
        <v>0</v>
      </c>
      <c r="Y39" s="392">
        <f>COUNTIFS(ШТАТ!$AL:$AL,$A39,ШТАТ!$AJ:$AJ,"с/с",ШТАТ!$U:$U,"госп")</f>
        <v>0</v>
      </c>
      <c r="Z39" s="1197">
        <f t="shared" si="25"/>
        <v>0</v>
      </c>
      <c r="AA39" s="392">
        <f>COUNTIFS(ШТАТ!$AL:$AL,$A39,ШТАТ!$AJ:$AJ,"о",ШТАТ!$U:$U,"Отпуск")</f>
        <v>0</v>
      </c>
      <c r="AB39" s="392">
        <f>COUNTIFS(ШТАТ!$AL:$AL,$A39,ШТАТ!$AJ:$AJ,"п",ШТАТ!$U:$U,"Отпуск")</f>
        <v>0</v>
      </c>
      <c r="AC39" s="392">
        <f>COUNTIFS(ШТАТ!$AL:$AL,$A39,ШТАТ!$AJ:$AJ,"к/с",ШТАТ!$U:$U,"Отпуск")</f>
        <v>0</v>
      </c>
      <c r="AD39" s="392">
        <f>COUNTIFS(ШТАТ!$AL:$AL,$A39,ШТАТ!$AJ:$AJ,"с/с",ШТАТ!$U:$U,"Отпуск")</f>
        <v>0</v>
      </c>
      <c r="AE39" s="1197">
        <f t="shared" si="26"/>
        <v>0</v>
      </c>
      <c r="AF39" s="392">
        <f>COUNTIFS(ШТАТ!$AL:$AL,$A39,ШТАТ!$AJ:$AJ,"о",ШТАТ!$U:$U,"СОЧ")</f>
        <v>0</v>
      </c>
      <c r="AG39" s="392">
        <f>COUNTIFS(ШТАТ!$AL:$AL,$A39,ШТАТ!$AJ:$AJ,"п",ШТАТ!$U:$U,"СОЧ")</f>
        <v>0</v>
      </c>
      <c r="AH39" s="392">
        <f>COUNTIFS(ШТАТ!$AL:$AL,$A39,ШТАТ!$AJ:$AJ,"к/с",ШТАТ!$U:$U,"СОЧ")</f>
        <v>1</v>
      </c>
      <c r="AI39" s="392">
        <f>COUNTIFS(ШТАТ!$AL:$AL,$A39,ШТАТ!$AJ:$AJ,"с/с",ШТАТ!$U:$U,"СОЧ")</f>
        <v>0</v>
      </c>
      <c r="AJ39" s="1197">
        <f t="shared" si="27"/>
        <v>1</v>
      </c>
      <c r="AK39" s="392">
        <f>COUNTIFS(ШТАТ!$AL:$AL,$A39,ШТАТ!$AJ:$AJ,"о",ШТАТ!$W:$W,"в/ч 06414")</f>
        <v>0</v>
      </c>
      <c r="AL39" s="392">
        <f>COUNTIFS(ШТАТ!$AL:$AL,$A39,ШТАТ!$AJ:$AJ,"п",ШТАТ!$W:$W,"в/ч 06414")</f>
        <v>0</v>
      </c>
      <c r="AM39" s="392">
        <f>COUNTIFS(ШТАТ!$AL:$AL,$A39,ШТАТ!$AJ:$AJ,"к/с",ШТАТ!$W:$W,"в/ч 06414")</f>
        <v>0</v>
      </c>
      <c r="AN39" s="392">
        <f>COUNTIFS(ШТАТ!$AL:$AL,$A39,ШТАТ!$AJ:$AJ,"с/с",ШТАТ!$W:$W,"в/ч 06414")</f>
        <v>0</v>
      </c>
      <c r="AO39" s="1197">
        <f t="shared" si="28"/>
        <v>0</v>
      </c>
      <c r="AP39" s="392">
        <f>COUNTIFS(ШТАТ!$AL:$AL,$A39,ШТАТ!$AJ:$AJ,"о",ШТАТ!$X:$X,"Подготовка экипажей боевых машин пехоты")</f>
        <v>0</v>
      </c>
      <c r="AQ39" s="392">
        <f>COUNTIFS(ШТАТ!$AL:$AL,$A39,ШТАТ!$AJ:$AJ,"п",ШТАТ!$X:$X,"Подготовка экипажей боевых машин пехоты")</f>
        <v>0</v>
      </c>
      <c r="AR39" s="392">
        <f>COUNTIFS(ШТАТ!$AL:$AL,$A39,ШТАТ!$AJ:$AJ,"к/с",ШТАТ!$X:$X,"Подготовка экипажей боевых машин пехоты")</f>
        <v>0</v>
      </c>
      <c r="AS39" s="392">
        <f>COUNTIFS(ШТАТ!$AL:$AL,$A39,ШТАТ!$AJ:$AJ,"с/с",ШТАТ!$X:$X,"Подготовка экипажей боевых машин пехоты")</f>
        <v>0</v>
      </c>
      <c r="AT39" s="1197">
        <f t="shared" si="29"/>
        <v>0</v>
      </c>
      <c r="AU39" s="392">
        <f>COUNTIFS(ШТАТ!$AL:$AL,$A39,ШТАТ!$AJ:$AJ,"о",ШТАТ!$W:$W,"пос. Гвардейское")</f>
        <v>0</v>
      </c>
      <c r="AV39" s="392">
        <f>COUNTIFS(ШТАТ!$AL:$AL,$A39,ШТАТ!$AJ:$AJ,"п",ШТАТ!$W:$W,"пос. Гвардейское")</f>
        <v>0</v>
      </c>
      <c r="AW39" s="392">
        <f>COUNTIFS(ШТАТ!$AL:$AL,$A39,ШТАТ!$AJ:$AJ,"к/с",ШТАТ!$W:$W,"пос. Гвардейское")</f>
        <v>0</v>
      </c>
      <c r="AX39" s="392">
        <f>COUNTIFS(ШТАТ!$AL:$AL,$A39,ШТАТ!$AJ:$AJ,"с/с",ШТАТ!$W:$W,"пос. Гвардейское")</f>
        <v>2</v>
      </c>
      <c r="AY39" s="1197">
        <f t="shared" si="30"/>
        <v>2</v>
      </c>
      <c r="AZ39" s="392">
        <f>COUNTIFS(ШТАТ!$AL:$AL,$A39,ШТАТ!$AJ:$AJ,"о",ШТАТ!$U:$U,"полигон")</f>
        <v>0</v>
      </c>
      <c r="BA39" s="392">
        <f>COUNTIFS(ШТАТ!$AL:$AL,$A39,ШТАТ!$AJ:$AJ,"п",ШТАТ!$U:$U,"полигон")</f>
        <v>0</v>
      </c>
      <c r="BB39" s="392">
        <f>COUNTIFS(ШТАТ!$AL:$AL,$A39,ШТАТ!$AJ:$AJ,"к/с",ШТАТ!$U:$U,"полигон")</f>
        <v>0</v>
      </c>
      <c r="BC39" s="392">
        <f>COUNTIFS(ШТАТ!$AL:$AL,$A39,ШТАТ!$AJ:$AJ,"с/с",ШТАТ!$U:$U,"полигон")</f>
        <v>0</v>
      </c>
      <c r="BD39" s="1197">
        <f t="shared" si="31"/>
        <v>0</v>
      </c>
    </row>
    <row r="40" spans="1:56" x14ac:dyDescent="0.25">
      <c r="A40" s="392" t="s">
        <v>926</v>
      </c>
      <c r="B40" s="392">
        <f>COUNTIFS(ШТАТ!$AL:$AL,$A40,ШТАТ!$AJ:$AJ,"о")</f>
        <v>0</v>
      </c>
      <c r="C40" s="392">
        <f>COUNTIFS(ШТАТ!$AL:$AL,$A40,ШТАТ!$AJ:$AJ,"п")</f>
        <v>1</v>
      </c>
      <c r="D40" s="392">
        <f>COUNTIFS(ШТАТ!$AL:$AL,$A40,ШТАТ!$AJ:$AJ,"к/с")</f>
        <v>15</v>
      </c>
      <c r="E40" s="392">
        <v>12</v>
      </c>
      <c r="F40" s="1197">
        <f t="shared" si="22"/>
        <v>28</v>
      </c>
      <c r="G40" s="392">
        <f>COUNTIFS(ШТАТ!$AL:$AL,$A40,ШТАТ!$AJ:$AJ,"о",ШТАТ!$U:$U,"")</f>
        <v>0</v>
      </c>
      <c r="H40" s="392">
        <f>COUNTIFS(ШТАТ!$AL:$AL,$A40,ШТАТ!$AJ:$AJ,"п",ШТАТ!$U:$U,"")</f>
        <v>0</v>
      </c>
      <c r="I40" s="392">
        <f>COUNTIFS(ШТАТ!$AL:$AL,$A40,ШТАТ!$AJ:$AJ,"к/с",ШТАТ!$U:$U,"")</f>
        <v>3</v>
      </c>
      <c r="J40" s="392">
        <v>5</v>
      </c>
      <c r="K40" s="1197">
        <f t="shared" si="21"/>
        <v>8</v>
      </c>
      <c r="L40" s="392">
        <f>COUNTIFS(ШТАТ!$AL:$AL,$A40,ШТАТ!$AJ:$AJ,"о",ШТАТ!W:W,"г. Белгород")</f>
        <v>0</v>
      </c>
      <c r="M40" s="392">
        <f>COUNTIFS(ШТАТ!$AL:$AL,$A40,ШТАТ!$AJ:$AJ,"п",ШТАТ!$W:$W,"г. Белгород")</f>
        <v>0</v>
      </c>
      <c r="N40" s="392">
        <f>COUNTIFS(ШТАТ!$AL:$AL,$A40,ШТАТ!$AJ:$AJ,"к/с",ШТАТ!$W:$W,"г. Белгород")</f>
        <v>5</v>
      </c>
      <c r="O40" s="392">
        <f>COUNTIFS(ШТАТ!$AL:$AL,$A40,ШТАТ!$AJ:$AJ,"с/с",ШТАТ!Z:Z,"г. Белгород")</f>
        <v>0</v>
      </c>
      <c r="P40" s="1197">
        <f t="shared" si="23"/>
        <v>5</v>
      </c>
      <c r="Q40" s="392">
        <f>COUNTIFS(ШТАТ!$AL:$AL,$A40,ШТАТ!$AJ:$AJ,"о",ШТАТ!X:X,"Выполнение специальных задач")</f>
        <v>0</v>
      </c>
      <c r="R40" s="392">
        <f>COUNTIFS(ШТАТ!$AL:$AL,$A40,ШТАТ!$AJ:$AJ,"п",ШТАТ!$X:$X,"Выполнение специальных задач")</f>
        <v>0</v>
      </c>
      <c r="S40" s="392">
        <f>COUNTIFS(ШТАТ!$AL:$AL,$A40,ШТАТ!$AJ:$AJ,"к/с",ШТАТ!$X:$X,"Выполнение специальных задач")</f>
        <v>4</v>
      </c>
      <c r="T40" s="392">
        <f>COUNTIFS(ШТАТ!$AL:$AL,$A40,ШТАТ!$AJ:$AJ,"с/с",ШТАТ!$X:$X,"Выполнение специальных задач")</f>
        <v>0</v>
      </c>
      <c r="U40" s="1197">
        <f t="shared" si="24"/>
        <v>4</v>
      </c>
      <c r="V40" s="392">
        <f>COUNTIFS(ШТАТ!$AL:$AL,$A40,ШТАТ!$AJ:$AJ,"о",ШТАТ!$U:$U,"госп")</f>
        <v>0</v>
      </c>
      <c r="W40" s="392">
        <f>COUNTIFS(ШТАТ!$AL:$AL,$A40,ШТАТ!$AJ:$AJ,"п",ШТАТ!$U:$U,"госп")</f>
        <v>0</v>
      </c>
      <c r="X40" s="392">
        <f>COUNTIFS(ШТАТ!$AL:$AL,$A40,ШТАТ!$AJ:$AJ,"к/с",ШТАТ!$U:$U,"госп")</f>
        <v>0</v>
      </c>
      <c r="Y40" s="392">
        <f>COUNTIFS(ШТАТ!$AL:$AL,$A40,ШТАТ!$AJ:$AJ,"с/с",ШТАТ!$U:$U,"госп")</f>
        <v>0</v>
      </c>
      <c r="Z40" s="1197">
        <f t="shared" si="25"/>
        <v>0</v>
      </c>
      <c r="AA40" s="392">
        <f>COUNTIFS(ШТАТ!$AL:$AL,$A40,ШТАТ!$AJ:$AJ,"о",ШТАТ!$U:$U,"Отпуск")</f>
        <v>0</v>
      </c>
      <c r="AB40" s="392">
        <f>COUNTIFS(ШТАТ!$AL:$AL,$A40,ШТАТ!$AJ:$AJ,"п",ШТАТ!$U:$U,"Отпуск")</f>
        <v>0</v>
      </c>
      <c r="AC40" s="392">
        <f>COUNTIFS(ШТАТ!$AL:$AL,$A40,ШТАТ!$AJ:$AJ,"к/с",ШТАТ!$U:$U,"Отпуск")</f>
        <v>1</v>
      </c>
      <c r="AD40" s="392">
        <f>COUNTIFS(ШТАТ!$AL:$AL,$A40,ШТАТ!$AJ:$AJ,"с/с",ШТАТ!$U:$U,"Отпуск")</f>
        <v>0</v>
      </c>
      <c r="AE40" s="1197">
        <f t="shared" si="26"/>
        <v>1</v>
      </c>
      <c r="AF40" s="392">
        <f>COUNTIFS(ШТАТ!$AL:$AL,$A40,ШТАТ!$AJ:$AJ,"о",ШТАТ!$U:$U,"СОЧ")</f>
        <v>0</v>
      </c>
      <c r="AG40" s="392">
        <f>COUNTIFS(ШТАТ!$AL:$AL,$A40,ШТАТ!$AJ:$AJ,"п",ШТАТ!$U:$U,"СОЧ")</f>
        <v>0</v>
      </c>
      <c r="AH40" s="392">
        <f>COUNTIFS(ШТАТ!$AL:$AL,$A40,ШТАТ!$AJ:$AJ,"к/с",ШТАТ!$U:$U,"СОЧ")</f>
        <v>0</v>
      </c>
      <c r="AI40" s="392">
        <f>COUNTIFS(ШТАТ!$AL:$AL,$A40,ШТАТ!$AJ:$AJ,"с/с",ШТАТ!$U:$U,"СОЧ")</f>
        <v>0</v>
      </c>
      <c r="AJ40" s="1197">
        <f t="shared" si="27"/>
        <v>0</v>
      </c>
      <c r="AK40" s="392">
        <f>COUNTIFS(ШТАТ!$AL:$AL,$A40,ШТАТ!$AJ:$AJ,"о",ШТАТ!$W:$W,"в/ч 06414")</f>
        <v>0</v>
      </c>
      <c r="AL40" s="392">
        <f>COUNTIFS(ШТАТ!$AL:$AL,$A40,ШТАТ!$AJ:$AJ,"п",ШТАТ!$W:$W,"в/ч 06414")</f>
        <v>0</v>
      </c>
      <c r="AM40" s="392">
        <f>COUNTIFS(ШТАТ!$AL:$AL,$A40,ШТАТ!$AJ:$AJ,"к/с",ШТАТ!$W:$W,"в/ч 06414")</f>
        <v>0</v>
      </c>
      <c r="AN40" s="392">
        <f>COUNTIFS(ШТАТ!$AL:$AL,$A40,ШТАТ!$AJ:$AJ,"с/с",ШТАТ!$W:$W,"в/ч 06414")</f>
        <v>0</v>
      </c>
      <c r="AO40" s="1197">
        <f t="shared" si="28"/>
        <v>0</v>
      </c>
      <c r="AP40" s="392">
        <f>COUNTIFS(ШТАТ!$AL:$AL,$A40,ШТАТ!$AJ:$AJ,"о",ШТАТ!$X:$X,"Подготовка экипажей боевых машин пехоты")</f>
        <v>0</v>
      </c>
      <c r="AQ40" s="392">
        <f>COUNTIFS(ШТАТ!$AL:$AL,$A40,ШТАТ!$AJ:$AJ,"п",ШТАТ!$X:$X,"Подготовка экипажей боевых машин пехоты")</f>
        <v>0</v>
      </c>
      <c r="AR40" s="392">
        <f>COUNTIFS(ШТАТ!$AL:$AL,$A40,ШТАТ!$AJ:$AJ,"к/с",ШТАТ!$X:$X,"Подготовка экипажей боевых машин пехоты")</f>
        <v>0</v>
      </c>
      <c r="AS40" s="392">
        <f>COUNTIFS(ШТАТ!$AL:$AL,$A40,ШТАТ!$AJ:$AJ,"с/с",ШТАТ!$X:$X,"Подготовка экипажей боевых машин пехоты")</f>
        <v>0</v>
      </c>
      <c r="AT40" s="1197">
        <f t="shared" si="29"/>
        <v>0</v>
      </c>
      <c r="AU40" s="392">
        <f>COUNTIFS(ШТАТ!$AL:$AL,$A40,ШТАТ!$AJ:$AJ,"о",ШТАТ!$W:$W,"пос. Гвардейское")</f>
        <v>0</v>
      </c>
      <c r="AV40" s="392">
        <f>COUNTIFS(ШТАТ!$AL:$AL,$A40,ШТАТ!$AJ:$AJ,"п",ШТАТ!$W:$W,"пос. Гвардейское")</f>
        <v>0</v>
      </c>
      <c r="AW40" s="392">
        <f>COUNTIFS(ШТАТ!$AL:$AL,$A40,ШТАТ!$AJ:$AJ,"к/с",ШТАТ!$W:$W,"пос. Гвардейское")</f>
        <v>0</v>
      </c>
      <c r="AX40" s="392">
        <f>COUNTIFS(ШТАТ!$AL:$AL,$A40,ШТАТ!$AJ:$AJ,"с/с",ШТАТ!$W:$W,"пос. Гвардейское")</f>
        <v>3</v>
      </c>
      <c r="AY40" s="1197">
        <f t="shared" si="30"/>
        <v>3</v>
      </c>
      <c r="AZ40" s="392">
        <f>COUNTIFS(ШТАТ!$AL:$AL,$A40,ШТАТ!$AJ:$AJ,"о",ШТАТ!$U:$U,"полигон")</f>
        <v>0</v>
      </c>
      <c r="BA40" s="392">
        <f>COUNTIFS(ШТАТ!$AL:$AL,$A40,ШТАТ!$AJ:$AJ,"п",ШТАТ!$U:$U,"полигон")</f>
        <v>0</v>
      </c>
      <c r="BB40" s="392">
        <f>COUNTIFS(ШТАТ!$AL:$AL,$A40,ШТАТ!$AJ:$AJ,"к/с",ШТАТ!$U:$U,"полигон")</f>
        <v>0</v>
      </c>
      <c r="BC40" s="392">
        <f>COUNTIFS(ШТАТ!$AL:$AL,$A40,ШТАТ!$AJ:$AJ,"с/с",ШТАТ!$U:$U,"полигон")</f>
        <v>1</v>
      </c>
      <c r="BD40" s="1197">
        <f t="shared" si="31"/>
        <v>1</v>
      </c>
    </row>
    <row r="41" spans="1:56" x14ac:dyDescent="0.25">
      <c r="A41" s="392" t="s">
        <v>4616</v>
      </c>
      <c r="B41" s="1197">
        <f t="shared" ref="B41:AG41" si="32">SUM(B31:B40)</f>
        <v>25</v>
      </c>
      <c r="C41" s="1197">
        <f t="shared" si="32"/>
        <v>8</v>
      </c>
      <c r="D41" s="1197">
        <f t="shared" si="32"/>
        <v>209</v>
      </c>
      <c r="E41" s="1197">
        <f t="shared" si="32"/>
        <v>157</v>
      </c>
      <c r="F41" s="1197">
        <f t="shared" si="32"/>
        <v>399</v>
      </c>
      <c r="G41" s="1197">
        <f t="shared" si="32"/>
        <v>12</v>
      </c>
      <c r="H41" s="1197">
        <f t="shared" si="32"/>
        <v>2</v>
      </c>
      <c r="I41" s="1197">
        <f t="shared" si="32"/>
        <v>45</v>
      </c>
      <c r="J41" s="1197">
        <f t="shared" si="32"/>
        <v>83</v>
      </c>
      <c r="K41" s="1197">
        <f t="shared" si="32"/>
        <v>142</v>
      </c>
      <c r="L41" s="1197">
        <f t="shared" si="32"/>
        <v>4</v>
      </c>
      <c r="M41" s="1197">
        <f t="shared" si="32"/>
        <v>0</v>
      </c>
      <c r="N41" s="1197">
        <f t="shared" si="32"/>
        <v>58</v>
      </c>
      <c r="O41" s="1197">
        <f t="shared" si="32"/>
        <v>0</v>
      </c>
      <c r="P41" s="1197">
        <f t="shared" si="32"/>
        <v>62</v>
      </c>
      <c r="Q41" s="1197">
        <f t="shared" si="32"/>
        <v>4</v>
      </c>
      <c r="R41" s="1197">
        <f t="shared" si="32"/>
        <v>0</v>
      </c>
      <c r="S41" s="1197">
        <f t="shared" si="32"/>
        <v>35</v>
      </c>
      <c r="T41" s="1197">
        <f t="shared" si="32"/>
        <v>0</v>
      </c>
      <c r="U41" s="1197">
        <f t="shared" si="32"/>
        <v>39</v>
      </c>
      <c r="V41" s="1197">
        <f t="shared" si="32"/>
        <v>0</v>
      </c>
      <c r="W41" s="1197">
        <f t="shared" si="32"/>
        <v>1</v>
      </c>
      <c r="X41" s="1197">
        <f t="shared" si="32"/>
        <v>7</v>
      </c>
      <c r="Y41" s="1197">
        <f t="shared" si="32"/>
        <v>1</v>
      </c>
      <c r="Z41" s="1197">
        <f t="shared" si="32"/>
        <v>9</v>
      </c>
      <c r="AA41" s="1197">
        <f t="shared" si="32"/>
        <v>0</v>
      </c>
      <c r="AB41" s="1197">
        <f t="shared" si="32"/>
        <v>0</v>
      </c>
      <c r="AC41" s="1197">
        <f t="shared" si="32"/>
        <v>5</v>
      </c>
      <c r="AD41" s="1197">
        <f t="shared" si="32"/>
        <v>0</v>
      </c>
      <c r="AE41" s="1197">
        <f t="shared" si="32"/>
        <v>5</v>
      </c>
      <c r="AF41" s="1197">
        <f t="shared" si="32"/>
        <v>0</v>
      </c>
      <c r="AG41" s="1197">
        <f t="shared" si="32"/>
        <v>0</v>
      </c>
      <c r="AH41" s="1197">
        <f t="shared" ref="AH41:BD41" si="33">SUM(AH31:AH40)</f>
        <v>32</v>
      </c>
      <c r="AI41" s="1197">
        <f t="shared" si="33"/>
        <v>0</v>
      </c>
      <c r="AJ41" s="1197">
        <f t="shared" si="33"/>
        <v>32</v>
      </c>
      <c r="AK41" s="1197">
        <f t="shared" si="33"/>
        <v>2</v>
      </c>
      <c r="AL41" s="1197">
        <f t="shared" si="33"/>
        <v>1</v>
      </c>
      <c r="AM41" s="1197">
        <f t="shared" si="33"/>
        <v>0</v>
      </c>
      <c r="AN41" s="1197">
        <f t="shared" si="33"/>
        <v>49</v>
      </c>
      <c r="AO41" s="1197">
        <f t="shared" si="33"/>
        <v>52</v>
      </c>
      <c r="AP41" s="1197">
        <f t="shared" si="33"/>
        <v>0</v>
      </c>
      <c r="AQ41" s="1197">
        <f t="shared" si="33"/>
        <v>0</v>
      </c>
      <c r="AR41" s="1197">
        <f t="shared" si="33"/>
        <v>0</v>
      </c>
      <c r="AS41" s="1197">
        <f t="shared" si="33"/>
        <v>0</v>
      </c>
      <c r="AT41" s="1197">
        <f t="shared" si="33"/>
        <v>0</v>
      </c>
      <c r="AU41" s="1197">
        <f t="shared" si="33"/>
        <v>0</v>
      </c>
      <c r="AV41" s="1197">
        <f t="shared" si="33"/>
        <v>0</v>
      </c>
      <c r="AW41" s="1197">
        <f t="shared" si="33"/>
        <v>0</v>
      </c>
      <c r="AX41" s="1197">
        <f t="shared" si="33"/>
        <v>17</v>
      </c>
      <c r="AY41" s="1197">
        <f t="shared" si="33"/>
        <v>17</v>
      </c>
      <c r="AZ41" s="1197">
        <f t="shared" si="33"/>
        <v>0</v>
      </c>
      <c r="BA41" s="1197">
        <f t="shared" si="33"/>
        <v>0</v>
      </c>
      <c r="BB41" s="1197">
        <f t="shared" si="33"/>
        <v>1</v>
      </c>
      <c r="BC41" s="1197">
        <f t="shared" si="33"/>
        <v>1</v>
      </c>
      <c r="BD41" s="1197">
        <f t="shared" si="33"/>
        <v>2</v>
      </c>
    </row>
  </sheetData>
  <mergeCells count="32">
    <mergeCell ref="AZ29:BD29"/>
    <mergeCell ref="AK15:AO15"/>
    <mergeCell ref="AU15:AY15"/>
    <mergeCell ref="AZ15:BD15"/>
    <mergeCell ref="A29:A30"/>
    <mergeCell ref="B29:F29"/>
    <mergeCell ref="G29:K29"/>
    <mergeCell ref="L29:P29"/>
    <mergeCell ref="Q29:U29"/>
    <mergeCell ref="V29:Z29"/>
    <mergeCell ref="AA29:AE29"/>
    <mergeCell ref="AP15:AT15"/>
    <mergeCell ref="AP29:AT29"/>
    <mergeCell ref="AF29:AJ29"/>
    <mergeCell ref="AK29:AO29"/>
    <mergeCell ref="AU29:AY29"/>
    <mergeCell ref="AF1:AJ1"/>
    <mergeCell ref="A15:A16"/>
    <mergeCell ref="B15:F15"/>
    <mergeCell ref="G15:K15"/>
    <mergeCell ref="L15:P15"/>
    <mergeCell ref="Q15:U15"/>
    <mergeCell ref="V15:Z15"/>
    <mergeCell ref="AA15:AE15"/>
    <mergeCell ref="AF15:AJ15"/>
    <mergeCell ref="B1:F1"/>
    <mergeCell ref="G1:K1"/>
    <mergeCell ref="L1:P1"/>
    <mergeCell ref="Q1:U1"/>
    <mergeCell ref="V1:Z1"/>
    <mergeCell ref="AA1:AE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U26"/>
  <sheetViews>
    <sheetView workbookViewId="0">
      <selection activeCell="O25" sqref="O25"/>
    </sheetView>
  </sheetViews>
  <sheetFormatPr defaultRowHeight="15" x14ac:dyDescent="0.25"/>
  <cols>
    <col min="1" max="11" width="2.85546875" customWidth="1"/>
    <col min="12" max="12" width="18.42578125" customWidth="1"/>
  </cols>
  <sheetData>
    <row r="1" spans="1:21" ht="15.75" x14ac:dyDescent="0.25">
      <c r="A1" s="1617" t="s">
        <v>2588</v>
      </c>
      <c r="B1" s="1617"/>
      <c r="C1" s="1617"/>
      <c r="D1" s="1617"/>
      <c r="E1" s="1617"/>
      <c r="F1" s="1617"/>
      <c r="G1" s="1617"/>
      <c r="H1" s="1617"/>
      <c r="I1" s="1617"/>
      <c r="J1" s="1617"/>
      <c r="K1" s="1617"/>
      <c r="L1" s="1617"/>
      <c r="M1" s="1617"/>
      <c r="N1" s="1617"/>
      <c r="O1" s="1617"/>
      <c r="P1" s="1617"/>
      <c r="Q1" s="1617"/>
      <c r="R1" s="1617"/>
      <c r="S1" s="1617"/>
      <c r="T1" s="1617"/>
      <c r="U1" s="1617"/>
    </row>
    <row r="2" spans="1:21" ht="15.75" x14ac:dyDescent="0.25">
      <c r="A2" s="1617" t="s">
        <v>2589</v>
      </c>
      <c r="B2" s="1617"/>
      <c r="C2" s="1617"/>
      <c r="D2" s="1617"/>
      <c r="E2" s="1617"/>
      <c r="F2" s="1617"/>
      <c r="G2" s="1617"/>
      <c r="H2" s="1617"/>
      <c r="I2" s="1617"/>
      <c r="J2" s="1617"/>
      <c r="K2" s="1617"/>
      <c r="L2" s="1617"/>
      <c r="M2" s="1617"/>
      <c r="N2" s="1617"/>
      <c r="O2" s="1617"/>
      <c r="P2" s="1617"/>
      <c r="Q2" s="1617"/>
      <c r="R2" s="1617"/>
      <c r="S2" s="1617"/>
      <c r="T2" s="1617"/>
      <c r="U2" s="1617"/>
    </row>
    <row r="3" spans="1:21" ht="15.75" x14ac:dyDescent="0.25">
      <c r="A3" s="1618" t="s">
        <v>1493</v>
      </c>
      <c r="B3" s="1618"/>
      <c r="C3" s="1618"/>
      <c r="D3" s="1618"/>
      <c r="E3" s="1618"/>
      <c r="F3" s="1618"/>
      <c r="G3" s="1618"/>
      <c r="H3" s="1618"/>
      <c r="I3" s="1618"/>
      <c r="J3" s="1618"/>
      <c r="K3" s="1618"/>
      <c r="L3" s="1618"/>
      <c r="M3" s="1618"/>
      <c r="N3" s="1618"/>
      <c r="O3" s="1619">
        <v>45209</v>
      </c>
      <c r="P3" s="1619"/>
      <c r="Q3" s="1619"/>
      <c r="R3" s="1619"/>
      <c r="S3" s="1619"/>
      <c r="T3" s="1619"/>
      <c r="U3" s="1619"/>
    </row>
    <row r="4" spans="1:21" ht="16.5" thickBot="1" x14ac:dyDescent="0.3">
      <c r="A4" s="1048"/>
      <c r="B4" s="1048"/>
      <c r="C4" s="1048"/>
      <c r="D4" s="1048"/>
      <c r="E4" s="1049"/>
      <c r="F4" s="1050"/>
      <c r="G4" s="1051"/>
      <c r="H4" s="1050"/>
      <c r="I4" s="1051"/>
      <c r="J4" s="1048"/>
      <c r="K4" s="1052"/>
      <c r="L4" s="1052"/>
      <c r="M4" s="1052"/>
      <c r="N4" s="1052"/>
      <c r="O4" s="1052"/>
      <c r="P4" s="1053"/>
      <c r="Q4" s="1053"/>
      <c r="R4" s="1053"/>
      <c r="S4" s="1053"/>
      <c r="T4" s="1053"/>
      <c r="U4" s="1053"/>
    </row>
    <row r="5" spans="1:21" ht="16.5" thickBot="1" x14ac:dyDescent="0.3">
      <c r="A5" s="1620" t="s">
        <v>2590</v>
      </c>
      <c r="B5" s="1623">
        <f ca="1">TODAY()+1</f>
        <v>45329</v>
      </c>
      <c r="C5" s="1054"/>
      <c r="D5" s="1625" t="s">
        <v>2591</v>
      </c>
      <c r="E5" s="1054"/>
      <c r="F5" s="1628" t="s">
        <v>2592</v>
      </c>
      <c r="G5" s="1631" t="s">
        <v>2593</v>
      </c>
      <c r="H5" s="1628" t="s">
        <v>2594</v>
      </c>
      <c r="I5" s="1634" t="s">
        <v>2595</v>
      </c>
      <c r="J5" s="1055"/>
      <c r="K5" s="1056"/>
      <c r="L5" s="1637" t="s">
        <v>2596</v>
      </c>
      <c r="M5" s="1639" t="s">
        <v>2597</v>
      </c>
      <c r="N5" s="1640"/>
      <c r="O5" s="1641"/>
      <c r="P5" s="1639" t="s">
        <v>2598</v>
      </c>
      <c r="Q5" s="1640"/>
      <c r="R5" s="1641"/>
      <c r="S5" s="1639" t="s">
        <v>2599</v>
      </c>
      <c r="T5" s="1640"/>
      <c r="U5" s="1641"/>
    </row>
    <row r="6" spans="1:21" ht="16.5" thickBot="1" x14ac:dyDescent="0.3">
      <c r="A6" s="1621"/>
      <c r="B6" s="1624"/>
      <c r="C6" s="1057"/>
      <c r="D6" s="1626"/>
      <c r="E6" s="1057"/>
      <c r="F6" s="1629"/>
      <c r="G6" s="1632"/>
      <c r="H6" s="1629"/>
      <c r="I6" s="1635"/>
      <c r="J6" s="1055"/>
      <c r="K6" s="1056"/>
      <c r="L6" s="1638"/>
      <c r="M6" s="1058" t="s">
        <v>2600</v>
      </c>
      <c r="N6" s="1058" t="s">
        <v>2601</v>
      </c>
      <c r="O6" s="1058" t="s">
        <v>2602</v>
      </c>
      <c r="P6" s="1058" t="s">
        <v>2600</v>
      </c>
      <c r="Q6" s="1058" t="s">
        <v>2601</v>
      </c>
      <c r="R6" s="1058" t="s">
        <v>2602</v>
      </c>
      <c r="S6" s="1058" t="s">
        <v>2600</v>
      </c>
      <c r="T6" s="1058" t="s">
        <v>2601</v>
      </c>
      <c r="U6" s="1058" t="s">
        <v>2602</v>
      </c>
    </row>
    <row r="7" spans="1:21" ht="16.5" thickBot="1" x14ac:dyDescent="0.3">
      <c r="A7" s="1621"/>
      <c r="B7" s="1624"/>
      <c r="C7" s="1057"/>
      <c r="D7" s="1626"/>
      <c r="E7" s="1057"/>
      <c r="F7" s="1629"/>
      <c r="G7" s="1632"/>
      <c r="H7" s="1629"/>
      <c r="I7" s="1635"/>
      <c r="J7" s="1055"/>
      <c r="K7" s="1056"/>
      <c r="L7" s="1059">
        <v>1</v>
      </c>
      <c r="M7" s="1060">
        <v>2</v>
      </c>
      <c r="N7" s="1060">
        <v>3</v>
      </c>
      <c r="O7" s="1060">
        <v>4</v>
      </c>
      <c r="P7" s="1061">
        <v>5</v>
      </c>
      <c r="Q7" s="1060">
        <v>6</v>
      </c>
      <c r="R7" s="1060">
        <v>7</v>
      </c>
      <c r="S7" s="1060">
        <v>8</v>
      </c>
      <c r="T7" s="1060">
        <v>9</v>
      </c>
      <c r="U7" s="1060">
        <v>10</v>
      </c>
    </row>
    <row r="8" spans="1:21" ht="16.5" thickBot="1" x14ac:dyDescent="0.3">
      <c r="A8" s="1621"/>
      <c r="B8" s="1624"/>
      <c r="C8" s="1057"/>
      <c r="D8" s="1626"/>
      <c r="E8" s="1057"/>
      <c r="F8" s="1629"/>
      <c r="G8" s="1632"/>
      <c r="H8" s="1629"/>
      <c r="I8" s="1635"/>
      <c r="J8" s="1055"/>
      <c r="K8" s="1056"/>
      <c r="L8" s="1062" t="s">
        <v>63</v>
      </c>
      <c r="M8" s="1063">
        <v>6</v>
      </c>
      <c r="N8" s="1064">
        <f>M8</f>
        <v>6</v>
      </c>
      <c r="O8" s="1064">
        <f>N8</f>
        <v>6</v>
      </c>
      <c r="P8" s="1065"/>
      <c r="Q8" s="1066"/>
      <c r="R8" s="1066"/>
      <c r="S8" s="1067"/>
      <c r="T8" s="1067"/>
      <c r="U8" s="1068"/>
    </row>
    <row r="9" spans="1:21" ht="16.5" thickBot="1" x14ac:dyDescent="0.3">
      <c r="A9" s="1621"/>
      <c r="B9" s="1624"/>
      <c r="C9" s="1057"/>
      <c r="D9" s="1626"/>
      <c r="E9" s="1057"/>
      <c r="F9" s="1629"/>
      <c r="G9" s="1632"/>
      <c r="H9" s="1629"/>
      <c r="I9" s="1635"/>
      <c r="J9" s="1055"/>
      <c r="K9" s="1056"/>
      <c r="L9" s="1059" t="s">
        <v>267</v>
      </c>
      <c r="M9" s="1063">
        <v>4</v>
      </c>
      <c r="N9" s="1060">
        <f t="shared" ref="N9:O25" si="0">M9</f>
        <v>4</v>
      </c>
      <c r="O9" s="1060">
        <f t="shared" si="0"/>
        <v>4</v>
      </c>
      <c r="P9" s="1070"/>
      <c r="Q9" s="1071"/>
      <c r="R9" s="1071"/>
      <c r="S9" s="1072"/>
      <c r="T9" s="1072"/>
      <c r="U9" s="1073"/>
    </row>
    <row r="10" spans="1:21" ht="16.5" thickBot="1" x14ac:dyDescent="0.3">
      <c r="A10" s="1621"/>
      <c r="B10" s="1624"/>
      <c r="C10" s="1057"/>
      <c r="D10" s="1626"/>
      <c r="E10" s="1057"/>
      <c r="F10" s="1629"/>
      <c r="G10" s="1632"/>
      <c r="H10" s="1629"/>
      <c r="I10" s="1635"/>
      <c r="J10" s="1055"/>
      <c r="K10" s="1056"/>
      <c r="L10" s="1059" t="s">
        <v>460</v>
      </c>
      <c r="M10" s="1063">
        <v>2</v>
      </c>
      <c r="N10" s="1060">
        <f t="shared" si="0"/>
        <v>2</v>
      </c>
      <c r="O10" s="1060">
        <f t="shared" si="0"/>
        <v>2</v>
      </c>
      <c r="P10" s="1070"/>
      <c r="Q10" s="1071"/>
      <c r="R10" s="1071"/>
      <c r="S10" s="1072"/>
      <c r="T10" s="1072"/>
      <c r="U10" s="1073"/>
    </row>
    <row r="11" spans="1:21" ht="16.5" thickBot="1" x14ac:dyDescent="0.3">
      <c r="A11" s="1621"/>
      <c r="B11" s="1624"/>
      <c r="C11" s="1057"/>
      <c r="D11" s="1626"/>
      <c r="E11" s="1057"/>
      <c r="F11" s="1629"/>
      <c r="G11" s="1632"/>
      <c r="H11" s="1629"/>
      <c r="I11" s="1635"/>
      <c r="J11" s="1055"/>
      <c r="K11" s="1056"/>
      <c r="L11" s="1059" t="s">
        <v>492</v>
      </c>
      <c r="M11" s="1063">
        <v>98</v>
      </c>
      <c r="N11" s="1060">
        <f t="shared" si="0"/>
        <v>98</v>
      </c>
      <c r="O11" s="1060">
        <f t="shared" si="0"/>
        <v>98</v>
      </c>
      <c r="P11" s="1070"/>
      <c r="Q11" s="1071"/>
      <c r="R11" s="1071"/>
      <c r="S11" s="1072"/>
      <c r="T11" s="1072"/>
      <c r="U11" s="1073"/>
    </row>
    <row r="12" spans="1:21" ht="16.5" thickBot="1" x14ac:dyDescent="0.3">
      <c r="A12" s="1621"/>
      <c r="B12" s="1624"/>
      <c r="C12" s="1057"/>
      <c r="D12" s="1626"/>
      <c r="E12" s="1057"/>
      <c r="F12" s="1629"/>
      <c r="G12" s="1632"/>
      <c r="H12" s="1629"/>
      <c r="I12" s="1635"/>
      <c r="J12" s="1055"/>
      <c r="K12" s="1056"/>
      <c r="L12" s="1059" t="s">
        <v>552</v>
      </c>
      <c r="M12" s="1063">
        <v>0</v>
      </c>
      <c r="N12" s="1069">
        <f>M12</f>
        <v>0</v>
      </c>
      <c r="O12" s="1060">
        <f t="shared" si="0"/>
        <v>0</v>
      </c>
      <c r="P12" s="1070"/>
      <c r="Q12" s="1071"/>
      <c r="R12" s="1071"/>
      <c r="S12" s="1072"/>
      <c r="T12" s="1072"/>
      <c r="U12" s="1073"/>
    </row>
    <row r="13" spans="1:21" ht="16.5" thickBot="1" x14ac:dyDescent="0.3">
      <c r="A13" s="1621"/>
      <c r="B13" s="1624"/>
      <c r="C13" s="1057"/>
      <c r="D13" s="1626"/>
      <c r="E13" s="1057"/>
      <c r="F13" s="1629"/>
      <c r="G13" s="1632"/>
      <c r="H13" s="1629"/>
      <c r="I13" s="1635"/>
      <c r="J13" s="1055"/>
      <c r="K13" s="1056"/>
      <c r="L13" s="1059" t="s">
        <v>508</v>
      </c>
      <c r="M13" s="1063">
        <v>0</v>
      </c>
      <c r="N13" s="1060">
        <f t="shared" si="0"/>
        <v>0</v>
      </c>
      <c r="O13" s="1060">
        <f t="shared" si="0"/>
        <v>0</v>
      </c>
      <c r="P13" s="1070"/>
      <c r="Q13" s="1071"/>
      <c r="R13" s="1071"/>
      <c r="S13" s="1072"/>
      <c r="T13" s="1072"/>
      <c r="U13" s="1073"/>
    </row>
    <row r="14" spans="1:21" ht="16.5" thickBot="1" x14ac:dyDescent="0.3">
      <c r="A14" s="1621"/>
      <c r="B14" s="1624"/>
      <c r="C14" s="1057"/>
      <c r="D14" s="1626"/>
      <c r="E14" s="1057"/>
      <c r="F14" s="1629"/>
      <c r="G14" s="1632"/>
      <c r="H14" s="1629"/>
      <c r="I14" s="1635"/>
      <c r="J14" s="1055"/>
      <c r="K14" s="1056"/>
      <c r="L14" s="1074" t="s">
        <v>547</v>
      </c>
      <c r="M14" s="1063">
        <v>20</v>
      </c>
      <c r="N14" s="1075">
        <f t="shared" si="0"/>
        <v>20</v>
      </c>
      <c r="O14" s="1075">
        <f t="shared" si="0"/>
        <v>20</v>
      </c>
      <c r="P14" s="1076"/>
      <c r="Q14" s="1077"/>
      <c r="R14" s="1077"/>
      <c r="S14" s="1078"/>
      <c r="T14" s="1078"/>
      <c r="U14" s="1079"/>
    </row>
    <row r="15" spans="1:21" ht="16.5" thickBot="1" x14ac:dyDescent="0.3">
      <c r="A15" s="1621"/>
      <c r="B15" s="1624"/>
      <c r="C15" s="1057"/>
      <c r="D15" s="1626"/>
      <c r="E15" s="1057"/>
      <c r="F15" s="1629"/>
      <c r="G15" s="1632"/>
      <c r="H15" s="1629"/>
      <c r="I15" s="1635"/>
      <c r="J15" s="1055"/>
      <c r="K15" s="1056"/>
      <c r="L15" s="1059" t="s">
        <v>646</v>
      </c>
      <c r="M15" s="1063">
        <v>30</v>
      </c>
      <c r="N15" s="1060">
        <f t="shared" si="0"/>
        <v>30</v>
      </c>
      <c r="O15" s="1060">
        <f t="shared" si="0"/>
        <v>30</v>
      </c>
      <c r="P15" s="1070"/>
      <c r="Q15" s="1071"/>
      <c r="R15" s="1071"/>
      <c r="S15" s="1072"/>
      <c r="T15" s="1072"/>
      <c r="U15" s="1073"/>
    </row>
    <row r="16" spans="1:21" ht="16.5" thickBot="1" x14ac:dyDescent="0.3">
      <c r="A16" s="1621"/>
      <c r="B16" s="1624"/>
      <c r="C16" s="1057"/>
      <c r="D16" s="1626"/>
      <c r="E16" s="1057"/>
      <c r="F16" s="1629"/>
      <c r="G16" s="1632"/>
      <c r="H16" s="1629"/>
      <c r="I16" s="1635"/>
      <c r="J16" s="1055"/>
      <c r="K16" s="1056"/>
      <c r="L16" s="1074" t="s">
        <v>662</v>
      </c>
      <c r="M16" s="1063">
        <v>5</v>
      </c>
      <c r="N16" s="1064">
        <f t="shared" si="0"/>
        <v>5</v>
      </c>
      <c r="O16" s="1064">
        <f t="shared" si="0"/>
        <v>5</v>
      </c>
      <c r="P16" s="1076"/>
      <c r="Q16" s="1077"/>
      <c r="R16" s="1077"/>
      <c r="S16" s="1078"/>
      <c r="T16" s="1078"/>
      <c r="U16" s="1079"/>
    </row>
    <row r="17" spans="1:21" ht="16.5" thickBot="1" x14ac:dyDescent="0.3">
      <c r="A17" s="1621"/>
      <c r="B17" s="1624"/>
      <c r="C17" s="1057"/>
      <c r="D17" s="1626"/>
      <c r="E17" s="1057"/>
      <c r="F17" s="1629"/>
      <c r="G17" s="1632"/>
      <c r="H17" s="1629"/>
      <c r="I17" s="1635"/>
      <c r="J17" s="1055"/>
      <c r="K17" s="1056"/>
      <c r="L17" s="1080" t="s">
        <v>707</v>
      </c>
      <c r="M17" s="1063">
        <v>2</v>
      </c>
      <c r="N17" s="1082">
        <f t="shared" si="0"/>
        <v>2</v>
      </c>
      <c r="O17" s="1082">
        <f t="shared" si="0"/>
        <v>2</v>
      </c>
      <c r="P17" s="1083"/>
      <c r="Q17" s="1084"/>
      <c r="R17" s="1084"/>
      <c r="S17" s="1084"/>
      <c r="T17" s="1084"/>
      <c r="U17" s="1085"/>
    </row>
    <row r="18" spans="1:21" ht="16.5" thickBot="1" x14ac:dyDescent="0.3">
      <c r="A18" s="1621"/>
      <c r="B18" s="1624"/>
      <c r="C18" s="1086"/>
      <c r="D18" s="1626"/>
      <c r="E18" s="1086"/>
      <c r="F18" s="1629"/>
      <c r="G18" s="1632"/>
      <c r="H18" s="1629"/>
      <c r="I18" s="1635"/>
      <c r="J18" s="1055"/>
      <c r="K18" s="1056"/>
      <c r="L18" s="1059" t="s">
        <v>723</v>
      </c>
      <c r="M18" s="1063">
        <v>6</v>
      </c>
      <c r="N18" s="1064">
        <f t="shared" si="0"/>
        <v>6</v>
      </c>
      <c r="O18" s="1064">
        <f t="shared" si="0"/>
        <v>6</v>
      </c>
      <c r="P18" s="1070"/>
      <c r="Q18" s="1071"/>
      <c r="R18" s="1071"/>
      <c r="S18" s="1072"/>
      <c r="T18" s="1072"/>
      <c r="U18" s="1073"/>
    </row>
    <row r="19" spans="1:21" ht="16.5" thickBot="1" x14ac:dyDescent="0.3">
      <c r="A19" s="1621"/>
      <c r="B19" s="1624"/>
      <c r="C19" s="1057"/>
      <c r="D19" s="1626"/>
      <c r="E19" s="1057"/>
      <c r="F19" s="1629"/>
      <c r="G19" s="1632"/>
      <c r="H19" s="1629"/>
      <c r="I19" s="1635"/>
      <c r="J19" s="1055"/>
      <c r="K19" s="1056"/>
      <c r="L19" s="1059" t="s">
        <v>789</v>
      </c>
      <c r="M19" s="1063">
        <v>31</v>
      </c>
      <c r="N19" s="1064">
        <f t="shared" si="0"/>
        <v>31</v>
      </c>
      <c r="O19" s="1064">
        <f t="shared" si="0"/>
        <v>31</v>
      </c>
      <c r="P19" s="1070"/>
      <c r="Q19" s="1071"/>
      <c r="R19" s="1071"/>
      <c r="S19" s="1072"/>
      <c r="T19" s="1072"/>
      <c r="U19" s="1073"/>
    </row>
    <row r="20" spans="1:21" ht="16.5" thickBot="1" x14ac:dyDescent="0.3">
      <c r="A20" s="1621"/>
      <c r="B20" s="1624"/>
      <c r="C20" s="1057"/>
      <c r="D20" s="1626"/>
      <c r="E20" s="1057"/>
      <c r="F20" s="1629"/>
      <c r="G20" s="1632"/>
      <c r="H20" s="1629"/>
      <c r="I20" s="1635"/>
      <c r="J20" s="1055"/>
      <c r="K20" s="1056"/>
      <c r="L20" s="1059" t="s">
        <v>929</v>
      </c>
      <c r="M20" s="1063">
        <v>0</v>
      </c>
      <c r="N20" s="1064">
        <f t="shared" si="0"/>
        <v>0</v>
      </c>
      <c r="O20" s="1064">
        <f t="shared" si="0"/>
        <v>0</v>
      </c>
      <c r="P20" s="1070"/>
      <c r="Q20" s="1071"/>
      <c r="R20" s="1071"/>
      <c r="S20" s="1072"/>
      <c r="T20" s="1072"/>
      <c r="U20" s="1073"/>
    </row>
    <row r="21" spans="1:21" ht="16.5" thickBot="1" x14ac:dyDescent="0.3">
      <c r="A21" s="1621"/>
      <c r="B21" s="1615" t="s">
        <v>2603</v>
      </c>
      <c r="C21" s="1057"/>
      <c r="D21" s="1626"/>
      <c r="E21" s="1057"/>
      <c r="F21" s="1629"/>
      <c r="G21" s="1632"/>
      <c r="H21" s="1629"/>
      <c r="I21" s="1635"/>
      <c r="J21" s="1055"/>
      <c r="K21" s="1056"/>
      <c r="L21" s="1059" t="s">
        <v>848</v>
      </c>
      <c r="M21" s="1063">
        <v>4</v>
      </c>
      <c r="N21" s="1064">
        <f t="shared" si="0"/>
        <v>4</v>
      </c>
      <c r="O21" s="1064">
        <f t="shared" si="0"/>
        <v>4</v>
      </c>
      <c r="P21" s="1070"/>
      <c r="Q21" s="1071"/>
      <c r="R21" s="1071"/>
      <c r="S21" s="1072"/>
      <c r="T21" s="1072"/>
      <c r="U21" s="1073"/>
    </row>
    <row r="22" spans="1:21" ht="16.5" thickBot="1" x14ac:dyDescent="0.3">
      <c r="A22" s="1621"/>
      <c r="B22" s="1615"/>
      <c r="C22" s="1057"/>
      <c r="D22" s="1626"/>
      <c r="E22" s="1057"/>
      <c r="F22" s="1629"/>
      <c r="G22" s="1632"/>
      <c r="H22" s="1629"/>
      <c r="I22" s="1635"/>
      <c r="J22" s="1055"/>
      <c r="K22" s="1056"/>
      <c r="L22" s="1059" t="s">
        <v>2604</v>
      </c>
      <c r="M22" s="1060">
        <v>0</v>
      </c>
      <c r="N22" s="1064">
        <f t="shared" si="0"/>
        <v>0</v>
      </c>
      <c r="O22" s="1064">
        <f t="shared" si="0"/>
        <v>0</v>
      </c>
      <c r="P22" s="1070"/>
      <c r="Q22" s="1071"/>
      <c r="R22" s="1071"/>
      <c r="S22" s="1072"/>
      <c r="T22" s="1072"/>
      <c r="U22" s="1073"/>
    </row>
    <row r="23" spans="1:21" ht="16.5" thickBot="1" x14ac:dyDescent="0.3">
      <c r="A23" s="1621"/>
      <c r="B23" s="1615"/>
      <c r="C23" s="1057"/>
      <c r="D23" s="1626"/>
      <c r="E23" s="1057"/>
      <c r="F23" s="1629"/>
      <c r="G23" s="1632"/>
      <c r="H23" s="1629"/>
      <c r="I23" s="1635"/>
      <c r="J23" s="1055"/>
      <c r="K23" s="1056"/>
      <c r="L23" s="1059" t="s">
        <v>916</v>
      </c>
      <c r="M23" s="1060">
        <v>0</v>
      </c>
      <c r="N23" s="1064">
        <f t="shared" si="0"/>
        <v>0</v>
      </c>
      <c r="O23" s="1064">
        <f t="shared" si="0"/>
        <v>0</v>
      </c>
      <c r="P23" s="1070"/>
      <c r="Q23" s="1071"/>
      <c r="R23" s="1071"/>
      <c r="S23" s="1072"/>
      <c r="T23" s="1072"/>
      <c r="U23" s="1073"/>
    </row>
    <row r="24" spans="1:21" ht="16.5" thickBot="1" x14ac:dyDescent="0.3">
      <c r="A24" s="1621"/>
      <c r="B24" s="1615"/>
      <c r="C24" s="1057"/>
      <c r="D24" s="1626"/>
      <c r="E24" s="1057"/>
      <c r="F24" s="1629"/>
      <c r="G24" s="1632"/>
      <c r="H24" s="1629"/>
      <c r="I24" s="1635"/>
      <c r="J24" s="1055"/>
      <c r="K24" s="1056"/>
      <c r="L24" s="1059" t="s">
        <v>2607</v>
      </c>
      <c r="M24" s="1060">
        <v>33</v>
      </c>
      <c r="N24" s="1064">
        <f t="shared" si="0"/>
        <v>33</v>
      </c>
      <c r="O24" s="1064">
        <f t="shared" si="0"/>
        <v>33</v>
      </c>
      <c r="P24" s="1070"/>
      <c r="Q24" s="1071"/>
      <c r="R24" s="1071"/>
      <c r="S24" s="1072"/>
      <c r="T24" s="1072"/>
      <c r="U24" s="1073"/>
    </row>
    <row r="25" spans="1:21" ht="16.5" thickBot="1" x14ac:dyDescent="0.3">
      <c r="A25" s="1621"/>
      <c r="B25" s="1615"/>
      <c r="C25" s="1057"/>
      <c r="D25" s="1626"/>
      <c r="E25" s="1057"/>
      <c r="F25" s="1629"/>
      <c r="G25" s="1632"/>
      <c r="H25" s="1629"/>
      <c r="I25" s="1635"/>
      <c r="J25" s="1055"/>
      <c r="K25" s="1056"/>
      <c r="L25" s="1080" t="s">
        <v>2605</v>
      </c>
      <c r="M25" s="1081">
        <f>SUM(M8:M24)</f>
        <v>241</v>
      </c>
      <c r="N25" s="1064">
        <f t="shared" si="0"/>
        <v>241</v>
      </c>
      <c r="O25" s="1064">
        <f t="shared" si="0"/>
        <v>241</v>
      </c>
      <c r="P25" s="1087"/>
      <c r="Q25" s="1088"/>
      <c r="R25" s="1088"/>
      <c r="S25" s="1089"/>
      <c r="T25" s="1089"/>
      <c r="U25" s="1089"/>
    </row>
    <row r="26" spans="1:21" ht="16.5" thickBot="1" x14ac:dyDescent="0.3">
      <c r="A26" s="1622"/>
      <c r="B26" s="1616"/>
      <c r="C26" s="1090"/>
      <c r="D26" s="1627"/>
      <c r="E26" s="1090"/>
      <c r="F26" s="1630"/>
      <c r="G26" s="1633"/>
      <c r="H26" s="1630"/>
      <c r="I26" s="1636"/>
      <c r="J26" s="1055"/>
      <c r="K26" s="1056"/>
      <c r="L26" s="1091" t="s">
        <v>2606</v>
      </c>
      <c r="M26" s="1060"/>
      <c r="N26" s="1060"/>
      <c r="O26" s="1060"/>
      <c r="P26" s="1092"/>
      <c r="Q26" s="1093"/>
      <c r="R26" s="1093"/>
      <c r="S26" s="1093"/>
      <c r="T26" s="1093"/>
      <c r="U26" s="1093"/>
    </row>
  </sheetData>
  <mergeCells count="16">
    <mergeCell ref="B21:B26"/>
    <mergeCell ref="A1:U1"/>
    <mergeCell ref="A2:U2"/>
    <mergeCell ref="A3:N3"/>
    <mergeCell ref="O3:U3"/>
    <mergeCell ref="A5:A26"/>
    <mergeCell ref="B5:B20"/>
    <mergeCell ref="D5:D26"/>
    <mergeCell ref="F5:F26"/>
    <mergeCell ref="G5:G26"/>
    <mergeCell ref="H5:H26"/>
    <mergeCell ref="I5:I26"/>
    <mergeCell ref="L5:L6"/>
    <mergeCell ref="M5:O5"/>
    <mergeCell ref="P5:R5"/>
    <mergeCell ref="S5:U5"/>
  </mergeCells>
  <pageMargins left="0.7" right="0.7" top="0.75" bottom="0.75" header="0.3" footer="0.3"/>
  <pageSetup paperSize="9" scale="99" fitToHeight="0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K13"/>
  <sheetViews>
    <sheetView workbookViewId="0">
      <selection activeCell="D4" sqref="D4:E5"/>
    </sheetView>
  </sheetViews>
  <sheetFormatPr defaultRowHeight="15" x14ac:dyDescent="0.25"/>
  <cols>
    <col min="1" max="1" width="11.28515625" bestFit="1" customWidth="1"/>
  </cols>
  <sheetData>
    <row r="1" spans="1:11" ht="18.75" thickBot="1" x14ac:dyDescent="0.3">
      <c r="A1" s="1642" t="s">
        <v>2553</v>
      </c>
      <c r="B1" s="1643"/>
      <c r="C1" s="1643"/>
      <c r="D1" s="1643"/>
      <c r="E1" s="1643"/>
      <c r="F1" s="1643"/>
      <c r="G1" s="1643"/>
      <c r="H1" s="1643"/>
      <c r="I1" s="1643"/>
      <c r="J1" s="1643"/>
      <c r="K1" s="1644"/>
    </row>
    <row r="2" spans="1:11" x14ac:dyDescent="0.25">
      <c r="A2" s="1645" t="s">
        <v>2554</v>
      </c>
      <c r="B2" s="1646"/>
      <c r="C2" s="1646"/>
      <c r="D2" s="1646" t="s">
        <v>2555</v>
      </c>
      <c r="E2" s="1646"/>
      <c r="F2" s="1646" t="s">
        <v>2556</v>
      </c>
      <c r="G2" s="1646"/>
      <c r="H2" s="1646" t="s">
        <v>2557</v>
      </c>
      <c r="I2" s="1646"/>
      <c r="J2" s="1646" t="s">
        <v>2558</v>
      </c>
      <c r="K2" s="1648"/>
    </row>
    <row r="3" spans="1:11" x14ac:dyDescent="0.25">
      <c r="A3" s="1021" t="s">
        <v>2559</v>
      </c>
      <c r="B3" s="1022" t="s">
        <v>2560</v>
      </c>
      <c r="C3" s="1022" t="s">
        <v>2561</v>
      </c>
      <c r="D3" s="1647"/>
      <c r="E3" s="1647"/>
      <c r="F3" s="1647"/>
      <c r="G3" s="1647"/>
      <c r="H3" s="1647"/>
      <c r="I3" s="1647"/>
      <c r="J3" s="1647"/>
      <c r="K3" s="1649"/>
    </row>
    <row r="4" spans="1:11" x14ac:dyDescent="0.25">
      <c r="A4" s="1666">
        <v>26</v>
      </c>
      <c r="B4" s="1662">
        <v>1</v>
      </c>
      <c r="C4" s="1662">
        <v>2024</v>
      </c>
      <c r="D4" s="1662">
        <v>35</v>
      </c>
      <c r="E4" s="1662"/>
      <c r="F4" s="1662">
        <v>0</v>
      </c>
      <c r="G4" s="1662"/>
      <c r="H4" s="1662">
        <v>0</v>
      </c>
      <c r="I4" s="1662"/>
      <c r="J4" s="1650">
        <v>45361</v>
      </c>
      <c r="K4" s="1651"/>
    </row>
    <row r="5" spans="1:11" ht="15.75" thickBot="1" x14ac:dyDescent="0.3">
      <c r="A5" s="1667"/>
      <c r="B5" s="1664"/>
      <c r="C5" s="1664"/>
      <c r="D5" s="1664"/>
      <c r="E5" s="1664"/>
      <c r="F5" s="1664"/>
      <c r="G5" s="1664"/>
      <c r="H5" s="1664"/>
      <c r="I5" s="1664"/>
      <c r="J5" s="1652"/>
      <c r="K5" s="1653"/>
    </row>
    <row r="6" spans="1:11" ht="2.25" customHeight="1" thickBot="1" x14ac:dyDescent="0.3">
      <c r="A6" s="1023">
        <f>DATE(C4,B4,A4)</f>
        <v>45317</v>
      </c>
      <c r="B6" s="1024"/>
      <c r="C6" s="1024"/>
      <c r="D6" s="1024"/>
      <c r="E6" s="1024"/>
      <c r="F6" s="1024"/>
      <c r="G6" s="1024"/>
      <c r="H6" s="1024"/>
      <c r="I6" s="1024"/>
      <c r="J6" s="1024"/>
      <c r="K6" s="1024"/>
    </row>
    <row r="7" spans="1:11" ht="41.25" customHeight="1" thickBot="1" x14ac:dyDescent="0.3">
      <c r="A7" s="1654"/>
      <c r="B7" s="1655"/>
      <c r="C7" s="1656"/>
      <c r="D7" s="1024" t="s">
        <v>2562</v>
      </c>
      <c r="E7" s="1024"/>
      <c r="F7" s="1024"/>
      <c r="G7" s="1024"/>
      <c r="H7" s="1024"/>
      <c r="I7" s="1024"/>
      <c r="J7" s="1024"/>
      <c r="K7" s="1024"/>
    </row>
    <row r="8" spans="1:11" x14ac:dyDescent="0.25">
      <c r="A8" s="1645" t="s">
        <v>2554</v>
      </c>
      <c r="B8" s="1646"/>
      <c r="C8" s="1646"/>
      <c r="D8" s="1657"/>
      <c r="E8" s="1025"/>
      <c r="F8" s="1646" t="s">
        <v>2558</v>
      </c>
      <c r="G8" s="1646"/>
      <c r="H8" s="1646"/>
      <c r="I8" s="1026"/>
      <c r="J8" s="1646" t="s">
        <v>2555</v>
      </c>
      <c r="K8" s="1648"/>
    </row>
    <row r="9" spans="1:11" x14ac:dyDescent="0.25">
      <c r="A9" s="1660">
        <v>45317</v>
      </c>
      <c r="B9" s="1650"/>
      <c r="C9" s="1650"/>
      <c r="D9" s="1658"/>
      <c r="E9" s="1027"/>
      <c r="F9" s="1660">
        <v>45361</v>
      </c>
      <c r="G9" s="1650"/>
      <c r="H9" s="1650"/>
      <c r="I9" s="1028"/>
      <c r="J9" s="1662">
        <v>30</v>
      </c>
      <c r="K9" s="1663"/>
    </row>
    <row r="10" spans="1:11" ht="15.75" thickBot="1" x14ac:dyDescent="0.3">
      <c r="A10" s="1661"/>
      <c r="B10" s="1652"/>
      <c r="C10" s="1652"/>
      <c r="D10" s="1659"/>
      <c r="E10" s="1029"/>
      <c r="F10" s="1661"/>
      <c r="G10" s="1652"/>
      <c r="H10" s="1652"/>
      <c r="I10" s="1030"/>
      <c r="J10" s="1664"/>
      <c r="K10" s="1665"/>
    </row>
    <row r="11" spans="1:11" x14ac:dyDescent="0.25">
      <c r="A11" s="1031"/>
      <c r="B11" s="1031"/>
      <c r="C11" s="1031"/>
      <c r="D11" s="1031"/>
      <c r="E11" s="1031"/>
      <c r="F11" s="1031"/>
      <c r="G11" s="1031"/>
      <c r="H11" s="1031"/>
      <c r="I11" s="1031"/>
      <c r="J11" s="1031"/>
      <c r="K11" s="1031"/>
    </row>
    <row r="12" spans="1:11" x14ac:dyDescent="0.25">
      <c r="A12" s="1031"/>
      <c r="B12" s="1031"/>
      <c r="C12" s="1031"/>
      <c r="D12" s="1031"/>
      <c r="E12" s="1031"/>
      <c r="F12" s="1031"/>
      <c r="G12" s="1031"/>
      <c r="H12" s="1031"/>
      <c r="I12" s="1031"/>
      <c r="J12" s="1031"/>
      <c r="K12" s="1031"/>
    </row>
    <row r="13" spans="1:11" x14ac:dyDescent="0.25">
      <c r="A13" s="1031"/>
      <c r="B13" s="1031"/>
      <c r="C13" s="1031"/>
      <c r="D13" s="1031"/>
      <c r="E13" s="1031"/>
      <c r="F13" s="1031"/>
      <c r="G13" s="1031"/>
      <c r="H13" s="1031"/>
      <c r="I13" s="1031"/>
      <c r="J13" s="1031"/>
      <c r="K13" s="1031"/>
    </row>
  </sheetData>
  <mergeCells count="21">
    <mergeCell ref="J4:K5"/>
    <mergeCell ref="A7:C7"/>
    <mergeCell ref="A8:C8"/>
    <mergeCell ref="D8:D10"/>
    <mergeCell ref="F8:H8"/>
    <mergeCell ref="J8:K8"/>
    <mergeCell ref="A9:C10"/>
    <mergeCell ref="F9:H10"/>
    <mergeCell ref="J9:K10"/>
    <mergeCell ref="A4:A5"/>
    <mergeCell ref="B4:B5"/>
    <mergeCell ref="C4:C5"/>
    <mergeCell ref="D4:E5"/>
    <mergeCell ref="F4:G5"/>
    <mergeCell ref="H4:I5"/>
    <mergeCell ref="A1:K1"/>
    <mergeCell ref="A2:C2"/>
    <mergeCell ref="D2:E3"/>
    <mergeCell ref="F2:G3"/>
    <mergeCell ref="H2:I3"/>
    <mergeCell ref="J2:K3"/>
  </mergeCells>
  <dataValidations count="1">
    <dataValidation type="whole" allowBlank="1" showInputMessage="1" showErrorMessage="1" errorTitle="Ошибка" error="День может быть только от 01 до 31 " sqref="A4:A5">
      <formula1>1</formula1>
      <formula2>31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J15"/>
  <sheetViews>
    <sheetView zoomScale="190" zoomScaleNormal="190" workbookViewId="0">
      <selection activeCell="E2" sqref="E2"/>
    </sheetView>
  </sheetViews>
  <sheetFormatPr defaultRowHeight="15" x14ac:dyDescent="0.25"/>
  <cols>
    <col min="2" max="2" width="6.85546875" customWidth="1"/>
    <col min="3" max="3" width="7.85546875" customWidth="1"/>
    <col min="4" max="4" width="6.28515625" customWidth="1"/>
    <col min="5" max="5" width="6.140625" customWidth="1"/>
    <col min="6" max="6" width="10.5703125" customWidth="1"/>
    <col min="7" max="7" width="5.28515625" customWidth="1"/>
    <col min="8" max="8" width="18.140625" customWidth="1"/>
    <col min="9" max="9" width="7" customWidth="1"/>
  </cols>
  <sheetData>
    <row r="1" spans="1:10" x14ac:dyDescent="0.25">
      <c r="A1" s="1668" t="s">
        <v>4030</v>
      </c>
      <c r="B1" s="1668"/>
      <c r="C1" s="1668"/>
      <c r="D1" s="1668" t="s">
        <v>1833</v>
      </c>
      <c r="E1" s="1668"/>
      <c r="F1" s="1668" t="s">
        <v>4031</v>
      </c>
      <c r="G1" s="1669"/>
      <c r="H1" s="1668" t="s">
        <v>4032</v>
      </c>
      <c r="I1" s="1668"/>
    </row>
    <row r="2" spans="1:10" x14ac:dyDescent="0.25">
      <c r="A2" s="1202"/>
      <c r="B2" s="1202" t="s">
        <v>1411</v>
      </c>
      <c r="C2" s="1202" t="s">
        <v>4033</v>
      </c>
      <c r="D2" s="1202" t="s">
        <v>62</v>
      </c>
      <c r="E2" s="1203">
        <f>COUNTIFS(ШТАТ!$AJ:$AJ,"о")</f>
        <v>163</v>
      </c>
      <c r="F2" s="1202" t="s">
        <v>62</v>
      </c>
      <c r="G2" s="1203">
        <f>COUNTIFS(ШТАТ!$AJ:$AJ,"о",ШТАТ!U:U,"")</f>
        <v>51</v>
      </c>
      <c r="H2" s="1202" t="s">
        <v>391</v>
      </c>
      <c r="I2" s="1203">
        <f>COUNTIFS(ШТАТ!$U:$U,"госп")</f>
        <v>22</v>
      </c>
    </row>
    <row r="3" spans="1:10" x14ac:dyDescent="0.25">
      <c r="A3" s="1202" t="s">
        <v>62</v>
      </c>
      <c r="B3" s="1202"/>
      <c r="C3" s="1203">
        <v>145</v>
      </c>
      <c r="D3" s="1202" t="s">
        <v>47</v>
      </c>
      <c r="E3" s="1203">
        <f>COUNTIFS(ШТАТ!$AJ:$AJ,"п")</f>
        <v>46</v>
      </c>
      <c r="F3" s="1202" t="s">
        <v>47</v>
      </c>
      <c r="G3" s="1203">
        <f>COUNTIFS(ШТАТ!$AJ:$AJ,"п",ШТАТ!U:U,"")</f>
        <v>18</v>
      </c>
      <c r="H3" s="1202" t="s">
        <v>848</v>
      </c>
      <c r="I3" s="1203">
        <f>COUNTIFS(ШТАТ!$U:$U,"МП")</f>
        <v>6</v>
      </c>
    </row>
    <row r="4" spans="1:10" x14ac:dyDescent="0.25">
      <c r="A4" s="1202" t="s">
        <v>47</v>
      </c>
      <c r="B4" s="1202"/>
      <c r="C4" s="1203">
        <v>38</v>
      </c>
      <c r="D4" s="1202" t="s">
        <v>132</v>
      </c>
      <c r="E4" s="1203">
        <f>COUNTIFS(ШТАТ!$AJ:$AJ,"к/с",ШТАТ!AK:AK,3)</f>
        <v>163</v>
      </c>
      <c r="F4" s="1202" t="s">
        <v>132</v>
      </c>
      <c r="G4" s="1203">
        <f>COUNTIFS(ШТАТ!$AJ:$AJ,"к/с",ШТАТ!U:U,"",ШТАТ!AK:AK,3)</f>
        <v>22</v>
      </c>
      <c r="H4" s="1202" t="s">
        <v>4034</v>
      </c>
      <c r="I4" s="1203">
        <f>COUNTIFS(ШТАТ!$U:$U,"осв-ие")</f>
        <v>6</v>
      </c>
    </row>
    <row r="5" spans="1:10" x14ac:dyDescent="0.25">
      <c r="A5" s="1202" t="s">
        <v>132</v>
      </c>
      <c r="B5" s="1202"/>
      <c r="C5" s="1203">
        <v>144</v>
      </c>
      <c r="D5" s="1202" t="s">
        <v>4035</v>
      </c>
      <c r="E5" s="1203">
        <f>COUNTIFS(ШТАТ!$AJ:$AJ,"к/с",ШТАТ!AK:AK,4)</f>
        <v>748</v>
      </c>
      <c r="F5" s="1202" t="s">
        <v>4035</v>
      </c>
      <c r="G5" s="1203">
        <f>COUNTIFS(ШТАТ!$AJ:$AJ,"к/с",ШТАТ!U:U,"",ШТАТ!AK:AK,4)</f>
        <v>86</v>
      </c>
      <c r="H5" s="1202" t="s">
        <v>178</v>
      </c>
      <c r="I5" s="1203">
        <f>COUNTIFS(ШТАТ!$U:$U,"отпуск")</f>
        <v>20</v>
      </c>
    </row>
    <row r="6" spans="1:10" x14ac:dyDescent="0.25">
      <c r="A6" s="1202" t="s">
        <v>4036</v>
      </c>
      <c r="B6" s="1202"/>
      <c r="C6" s="1203">
        <v>572</v>
      </c>
      <c r="D6" s="1202" t="s">
        <v>136</v>
      </c>
      <c r="E6" s="1203">
        <f>SUM(E7:E9)</f>
        <v>654</v>
      </c>
      <c r="F6" s="1202" t="s">
        <v>136</v>
      </c>
      <c r="G6" s="1203">
        <f>SUM(G7:G9)</f>
        <v>199</v>
      </c>
      <c r="H6" s="1202" t="s">
        <v>4037</v>
      </c>
      <c r="I6" s="1203">
        <f>COUNTIFS(ШТАТ!$U:$U,"полигон")</f>
        <v>47</v>
      </c>
    </row>
    <row r="7" spans="1:10" x14ac:dyDescent="0.25">
      <c r="A7" s="1204" t="s">
        <v>4038</v>
      </c>
      <c r="B7" s="1205">
        <f>SUM(B3:B6)</f>
        <v>0</v>
      </c>
      <c r="C7" s="1205">
        <f>SUM(C3:C6)</f>
        <v>899</v>
      </c>
      <c r="D7" s="1206" t="s">
        <v>296</v>
      </c>
      <c r="E7" s="1203">
        <f>COUNTIFS(ШТАТ!$AI:$AI,"2-22")</f>
        <v>0</v>
      </c>
      <c r="F7" s="1206" t="s">
        <v>296</v>
      </c>
      <c r="G7" s="1203">
        <f>COUNTIFS(ШТАТ!$AI:$AI,"2-22",ШТАТ!U:U,"")</f>
        <v>0</v>
      </c>
      <c r="H7" s="1202" t="s">
        <v>4039</v>
      </c>
      <c r="I7" s="1203">
        <v>51</v>
      </c>
      <c r="J7">
        <v>116</v>
      </c>
    </row>
    <row r="8" spans="1:10" x14ac:dyDescent="0.25">
      <c r="A8" s="1202" t="s">
        <v>391</v>
      </c>
      <c r="B8" s="1202"/>
      <c r="C8" s="1203">
        <f>COUNTIFS(ШТАТ!$U:$U,"госп",ШТАТ!AJ:AJ,"к/с")+COUNTIFS(ШТАТ!$U:$U,"госп",ШТАТ!AJ:AJ,"п")+COUNTIFS(ШТАТ!$U:$U,"госп",ШТАТ!AJ:AJ,"о")</f>
        <v>15</v>
      </c>
      <c r="D8" s="1206" t="s">
        <v>1351</v>
      </c>
      <c r="E8" s="1203">
        <f>COUNTIFS(ШТАТ!$AI:$AI,"1-23")</f>
        <v>429</v>
      </c>
      <c r="F8" s="1206" t="s">
        <v>1351</v>
      </c>
      <c r="G8" s="1203">
        <f>COUNTIFS(ШТАТ!$AI:$AI,"1-23",ШТАТ!U:U,"")</f>
        <v>76</v>
      </c>
      <c r="H8" s="1202" t="s">
        <v>4040</v>
      </c>
      <c r="I8" s="1203">
        <f>COUNTIFS(ШТАТ!$U:$U,"СОЧ")</f>
        <v>54</v>
      </c>
    </row>
    <row r="9" spans="1:10" x14ac:dyDescent="0.25">
      <c r="A9" s="1202" t="s">
        <v>54</v>
      </c>
      <c r="B9" s="1202"/>
      <c r="C9" s="1203">
        <f>COUNTIFS(ШТАТ!$U:$U,"ком-ка",ШТАТ!AJ:AJ,"к/с")+COUNTIFS(ШТАТ!$U:$U,"ком-ка",ШТАТ!AJ:AJ,"п")+COUNTIFS(ШТАТ!$U:$U,"ком-ка",ШТАТ!AJ:AJ,"о")</f>
        <v>848</v>
      </c>
      <c r="D9" s="1206" t="s">
        <v>4208</v>
      </c>
      <c r="E9" s="1203">
        <f>COUNTIFS(ШТАТ!$AI:$AI,"2-23")</f>
        <v>225</v>
      </c>
      <c r="F9" s="1206" t="s">
        <v>4208</v>
      </c>
      <c r="G9" s="1203">
        <f>COUNTIFS(ШТАТ!$AI:$AI,"2-23",ШТАТ!U:U,"")</f>
        <v>123</v>
      </c>
      <c r="H9" s="1202" t="s">
        <v>4041</v>
      </c>
      <c r="I9" s="1203">
        <f>COUNTIFS(ШТАТ!W:W,"г. Белгород")+27</f>
        <v>618</v>
      </c>
      <c r="J9">
        <v>602</v>
      </c>
    </row>
    <row r="10" spans="1:10" x14ac:dyDescent="0.25">
      <c r="A10" s="1202" t="s">
        <v>178</v>
      </c>
      <c r="B10" s="1202"/>
      <c r="C10" s="1203">
        <f>COUNTIFS(ШТАТ!$U:$U,"отпуск",ШТАТ!AJ:AJ,"к/с")+COUNTIFS(ШТАТ!$U:$U,"отпуск",ШТАТ!AJ:AJ,"п")+COUNTIFS(ШТАТ!$U:$U,"отпуск",ШТАТ!AJ:AJ,"о")</f>
        <v>19</v>
      </c>
      <c r="D10" s="1207" t="s">
        <v>888</v>
      </c>
      <c r="E10" s="1205">
        <f>SUM(E2:E6)</f>
        <v>1774</v>
      </c>
      <c r="F10" s="1207" t="s">
        <v>888</v>
      </c>
      <c r="G10" s="1205">
        <f>SUM(G2:G6)</f>
        <v>376</v>
      </c>
      <c r="H10" s="1202" t="s">
        <v>901</v>
      </c>
      <c r="I10" s="1203">
        <f>COUNTIFS(ШТАТ!X:X,"Выполнение специальных задач")</f>
        <v>190</v>
      </c>
    </row>
    <row r="11" spans="1:10" x14ac:dyDescent="0.25">
      <c r="A11" s="1202" t="s">
        <v>4042</v>
      </c>
      <c r="B11" s="1202"/>
      <c r="C11" s="1203">
        <v>76</v>
      </c>
      <c r="D11" s="1208"/>
      <c r="E11" s="1208"/>
      <c r="F11" s="1208"/>
      <c r="G11" s="1208"/>
      <c r="H11" s="1202" t="s">
        <v>900</v>
      </c>
      <c r="I11" s="1203">
        <f>COUNTIFS(ШТАТ!X:X,"САР")</f>
        <v>3</v>
      </c>
    </row>
    <row r="12" spans="1:10" x14ac:dyDescent="0.25">
      <c r="A12" s="1204" t="s">
        <v>888</v>
      </c>
      <c r="B12" s="1205">
        <f>SUM(B8:B11)</f>
        <v>0</v>
      </c>
      <c r="C12" s="1205">
        <f>SUM(C8:C11)</f>
        <v>958</v>
      </c>
      <c r="D12" s="1208"/>
      <c r="E12" s="1208"/>
      <c r="F12" s="1208"/>
      <c r="G12" s="1208"/>
      <c r="H12" s="1202" t="s">
        <v>4043</v>
      </c>
      <c r="I12" s="1203">
        <f>COUNTIFS(ШТАТ!X:X,"Такелажные работы")</f>
        <v>13</v>
      </c>
    </row>
    <row r="13" spans="1:10" x14ac:dyDescent="0.25">
      <c r="A13" s="1208"/>
      <c r="B13" s="1208"/>
      <c r="C13" s="1208"/>
      <c r="D13" s="1208"/>
      <c r="E13" s="1208"/>
      <c r="F13" s="1208"/>
      <c r="G13" s="1208"/>
      <c r="H13" s="1202" t="s">
        <v>4044</v>
      </c>
      <c r="I13" s="1203">
        <f>COUNTIFS(ШТАТ!X:X,"Усиление объектов")</f>
        <v>50</v>
      </c>
    </row>
    <row r="14" spans="1:10" x14ac:dyDescent="0.25">
      <c r="A14" s="1208"/>
      <c r="B14" s="1208"/>
      <c r="C14" s="1208"/>
      <c r="D14" s="1208"/>
      <c r="E14" s="1208"/>
      <c r="F14" s="1208"/>
      <c r="G14" s="1208"/>
      <c r="H14" s="1202" t="s">
        <v>4045</v>
      </c>
      <c r="I14" s="1203">
        <f>E10-G10-I2-I3-I4-I5-I6-I7-I8-I9-I10-I11-I12-I13</f>
        <v>318</v>
      </c>
    </row>
    <row r="15" spans="1:10" x14ac:dyDescent="0.25">
      <c r="A15" s="1208"/>
      <c r="B15" s="1208"/>
      <c r="C15" s="1208"/>
      <c r="D15" s="1208"/>
      <c r="E15" s="1208"/>
      <c r="F15" s="1208"/>
      <c r="G15" s="1208"/>
      <c r="H15" s="1204" t="s">
        <v>4038</v>
      </c>
      <c r="I15" s="1205">
        <f>SUM(I2:I14)</f>
        <v>1398</v>
      </c>
    </row>
  </sheetData>
  <mergeCells count="4">
    <mergeCell ref="A1:C1"/>
    <mergeCell ref="D1:E1"/>
    <mergeCell ref="F1:G1"/>
    <mergeCell ref="H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R96"/>
  <sheetViews>
    <sheetView zoomScale="40" zoomScaleNormal="40" workbookViewId="0">
      <pane xSplit="34" ySplit="10" topLeftCell="AI32" activePane="bottomRight" state="frozen"/>
      <selection pane="topRight" activeCell="AF1" sqref="AF1"/>
      <selection pane="bottomLeft" activeCell="A11" sqref="A11"/>
      <selection pane="bottomRight" activeCell="A36" sqref="A36:Q36"/>
    </sheetView>
  </sheetViews>
  <sheetFormatPr defaultRowHeight="15" x14ac:dyDescent="0.25"/>
  <cols>
    <col min="1" max="1" width="66.28515625" customWidth="1"/>
    <col min="2" max="2" width="34.140625" customWidth="1"/>
    <col min="3" max="3" width="15.42578125" customWidth="1"/>
    <col min="4" max="4" width="53.140625" customWidth="1"/>
    <col min="5" max="5" width="9.85546875" customWidth="1"/>
    <col min="6" max="7" width="8.7109375" customWidth="1"/>
    <col min="8" max="8" width="11.5703125" customWidth="1"/>
    <col min="9" max="9" width="12.28515625" customWidth="1"/>
    <col min="10" max="10" width="9.7109375" customWidth="1"/>
    <col min="11" max="16" width="8.7109375" customWidth="1"/>
    <col min="17" max="17" width="10.85546875" customWidth="1"/>
    <col min="18" max="18" width="12.85546875" customWidth="1"/>
    <col min="19" max="19" width="14.140625" customWidth="1"/>
    <col min="20" max="20" width="8.7109375" bestFit="1" customWidth="1"/>
    <col min="21" max="28" width="8.7109375" customWidth="1"/>
    <col min="29" max="29" width="13.42578125" customWidth="1"/>
    <col min="30" max="37" width="8.7109375" customWidth="1"/>
    <col min="38" max="38" width="9.85546875" bestFit="1" customWidth="1"/>
    <col min="39" max="39" width="8.7109375" bestFit="1" customWidth="1"/>
    <col min="40" max="52" width="9.7109375" customWidth="1"/>
    <col min="53" max="53" width="7" customWidth="1"/>
    <col min="54" max="54" width="8.28515625" customWidth="1"/>
    <col min="55" max="107" width="6.28515625" customWidth="1"/>
    <col min="108" max="108" width="9.5703125" customWidth="1"/>
    <col min="109" max="163" width="6.28515625" customWidth="1"/>
    <col min="164" max="164" width="8.85546875" customWidth="1"/>
    <col min="165" max="174" width="6.28515625" customWidth="1"/>
  </cols>
  <sheetData>
    <row r="1" spans="1:174" ht="45" x14ac:dyDescent="0.6">
      <c r="A1" s="1676" t="s">
        <v>4077</v>
      </c>
      <c r="B1" s="1676"/>
      <c r="C1" s="1676"/>
      <c r="D1" s="1676"/>
      <c r="E1" s="1676"/>
      <c r="F1" s="1676"/>
      <c r="G1" s="1676"/>
      <c r="H1" s="1676"/>
      <c r="I1" s="1676"/>
      <c r="J1" s="1676"/>
      <c r="K1" s="1676"/>
      <c r="L1" s="1676"/>
      <c r="M1" s="1676"/>
      <c r="N1" s="1676"/>
      <c r="O1" s="1676"/>
      <c r="P1" s="1676"/>
      <c r="Q1" s="1676"/>
      <c r="R1" s="1676"/>
      <c r="S1" s="1676"/>
      <c r="T1" s="1676"/>
      <c r="U1" s="1676"/>
      <c r="V1" s="1676"/>
      <c r="W1" s="1676"/>
      <c r="X1" s="1676"/>
      <c r="Y1" s="1676"/>
      <c r="Z1" s="1676"/>
      <c r="AA1" s="1676"/>
      <c r="AB1" s="1676"/>
      <c r="AC1" s="1676"/>
      <c r="AD1" s="1676"/>
      <c r="AE1" s="1676"/>
      <c r="AF1" s="1676"/>
      <c r="AG1" s="1676"/>
      <c r="AH1" s="1676"/>
      <c r="AI1" s="1676"/>
      <c r="AJ1" s="1676"/>
      <c r="AK1" s="1676"/>
      <c r="AL1" s="1676"/>
      <c r="AM1" s="1676"/>
      <c r="AN1" s="1676"/>
      <c r="AO1" s="1676"/>
      <c r="AP1" s="1676"/>
      <c r="AQ1" s="1676"/>
      <c r="AR1" s="1676"/>
      <c r="AS1" s="1676"/>
      <c r="AT1" s="1676"/>
      <c r="AU1" s="1676"/>
      <c r="AV1" s="1676"/>
      <c r="AW1" s="1676"/>
      <c r="AX1" s="1676"/>
      <c r="AY1" s="1676"/>
      <c r="AZ1" s="1676"/>
      <c r="BA1" s="1676"/>
      <c r="BB1" s="1676"/>
      <c r="BC1" s="1676"/>
      <c r="BD1" s="1676"/>
      <c r="BE1" s="1676"/>
      <c r="BF1" s="1676"/>
      <c r="BG1" s="1676"/>
      <c r="BH1" s="1676"/>
      <c r="BI1" s="1676"/>
      <c r="BJ1" s="1676"/>
      <c r="BK1" s="1676"/>
      <c r="BL1" s="1676"/>
      <c r="BM1" s="1676"/>
      <c r="BN1" s="1676"/>
      <c r="BO1" s="1676"/>
      <c r="BP1" s="1676"/>
      <c r="BQ1" s="1676"/>
      <c r="BR1" s="1676"/>
      <c r="BS1" s="1676"/>
      <c r="BT1" s="1676"/>
      <c r="BU1" s="1676"/>
      <c r="BV1" s="1676"/>
      <c r="BW1" s="1676"/>
      <c r="BX1" s="1676"/>
      <c r="BY1" s="1676"/>
      <c r="BZ1" s="1676"/>
      <c r="CA1" s="1676"/>
      <c r="CB1" s="1676"/>
      <c r="CC1" s="1676"/>
      <c r="CD1" s="1676"/>
      <c r="CE1" s="1676"/>
      <c r="CF1" s="1676"/>
      <c r="CG1" s="1676"/>
      <c r="CH1" s="1676"/>
      <c r="CI1" s="1676"/>
      <c r="CJ1" s="1676"/>
      <c r="CK1" s="1676"/>
      <c r="CL1" s="1676"/>
      <c r="CM1" s="1676"/>
      <c r="CN1" s="1676"/>
      <c r="CO1" s="1676"/>
      <c r="CP1" s="1676"/>
      <c r="CQ1" s="1676"/>
      <c r="CR1" s="1676"/>
      <c r="CS1" s="1676"/>
      <c r="CT1" s="1676"/>
      <c r="CU1" s="1676"/>
      <c r="CV1" s="1676"/>
      <c r="CW1" s="1676"/>
      <c r="CX1" s="1676"/>
      <c r="CY1" s="1676"/>
      <c r="CZ1" s="1676"/>
      <c r="DA1" s="1676"/>
      <c r="DB1" s="1676"/>
      <c r="DC1" s="1676"/>
      <c r="DD1" s="1676"/>
      <c r="DE1" s="1676"/>
      <c r="DF1" s="1676"/>
      <c r="DG1" s="1676"/>
      <c r="DH1" s="1676"/>
      <c r="DI1" s="1676"/>
      <c r="DJ1" s="1676"/>
      <c r="DK1" s="1676"/>
      <c r="DL1" s="1676"/>
      <c r="DM1" s="1676"/>
      <c r="DN1" s="1676"/>
      <c r="DO1" s="1676"/>
      <c r="DP1" s="1676"/>
      <c r="DQ1" s="1676"/>
      <c r="DR1" s="1676"/>
      <c r="DS1" s="1676"/>
      <c r="DT1" s="1676"/>
      <c r="DU1" s="1676"/>
      <c r="DV1" s="1676"/>
      <c r="DW1" s="1676"/>
      <c r="DX1" s="1676"/>
      <c r="DY1" s="1676"/>
      <c r="DZ1" s="1676"/>
      <c r="EA1" s="1676"/>
      <c r="EB1" s="1676"/>
      <c r="EC1" s="1676"/>
      <c r="ED1" s="1676"/>
      <c r="EE1" s="1676"/>
      <c r="EF1" s="1676"/>
      <c r="EG1" s="1676"/>
      <c r="EH1" s="1676"/>
      <c r="EI1" s="1676"/>
      <c r="EJ1" s="1676"/>
      <c r="EK1" s="1676"/>
      <c r="EL1" s="1676"/>
      <c r="EM1" s="1676"/>
      <c r="EN1" s="1676"/>
      <c r="EO1" s="1676"/>
      <c r="EP1" s="1676"/>
      <c r="EQ1" s="1676"/>
      <c r="ER1" s="1676"/>
      <c r="ES1" s="1676"/>
      <c r="ET1" s="1676"/>
      <c r="EU1" s="1676"/>
      <c r="EV1" s="1676"/>
      <c r="EW1" s="1676"/>
      <c r="EX1" s="1676"/>
      <c r="EY1" s="1676"/>
      <c r="EZ1" s="1676"/>
      <c r="FA1" s="1676"/>
      <c r="FB1" s="1676"/>
      <c r="FC1" s="1676"/>
      <c r="FD1" s="1676"/>
      <c r="FE1" s="1676"/>
      <c r="FF1" s="1676"/>
      <c r="FG1" s="1676"/>
      <c r="FH1" s="1676"/>
      <c r="FI1" s="1676"/>
      <c r="FJ1" s="1676"/>
      <c r="FK1" s="1676"/>
      <c r="FL1" s="1676"/>
      <c r="FM1" s="1676"/>
      <c r="FN1" s="1676"/>
      <c r="FO1" s="1676"/>
      <c r="FP1" s="1676"/>
      <c r="FQ1" s="1676"/>
      <c r="FR1" s="1676"/>
    </row>
    <row r="2" spans="1:174" ht="45" x14ac:dyDescent="0.6">
      <c r="A2" s="1677" t="s">
        <v>4078</v>
      </c>
      <c r="B2" s="1677"/>
      <c r="C2" s="1677"/>
      <c r="D2" s="1677"/>
      <c r="E2" s="1677"/>
      <c r="F2" s="1677"/>
      <c r="G2" s="1677"/>
      <c r="H2" s="1677"/>
      <c r="I2" s="1677"/>
      <c r="J2" s="1677"/>
      <c r="K2" s="1677"/>
      <c r="L2" s="1677"/>
      <c r="M2" s="1677"/>
      <c r="N2" s="1677"/>
      <c r="O2" s="1677"/>
      <c r="P2" s="1677"/>
      <c r="Q2" s="1677"/>
      <c r="R2" s="1677"/>
      <c r="S2" s="1677"/>
      <c r="T2" s="1677"/>
      <c r="U2" s="1677"/>
      <c r="V2" s="1677"/>
      <c r="W2" s="1677"/>
      <c r="X2" s="1677"/>
      <c r="Y2" s="1677"/>
      <c r="Z2" s="1677"/>
      <c r="AA2" s="1677"/>
      <c r="AB2" s="1677"/>
      <c r="AC2" s="1677"/>
      <c r="AD2" s="1677"/>
      <c r="AE2" s="1677"/>
      <c r="AF2" s="1677"/>
      <c r="AG2" s="1677"/>
      <c r="AH2" s="1677"/>
      <c r="AI2" s="1677"/>
      <c r="AJ2" s="1677"/>
      <c r="AK2" s="1677"/>
      <c r="AL2" s="1677"/>
      <c r="AM2" s="1677"/>
      <c r="AN2" s="1677"/>
      <c r="AO2" s="1677"/>
      <c r="AP2" s="1677"/>
      <c r="AQ2" s="1677"/>
      <c r="AR2" s="1677"/>
      <c r="AS2" s="1677"/>
      <c r="AT2" s="1677"/>
      <c r="AU2" s="1677"/>
      <c r="AV2" s="1677"/>
      <c r="AW2" s="1677"/>
      <c r="AX2" s="1677"/>
      <c r="AY2" s="1677"/>
      <c r="AZ2" s="1677"/>
      <c r="BA2" s="1677"/>
      <c r="BB2" s="1677"/>
      <c r="BC2" s="1677"/>
      <c r="BD2" s="1677"/>
      <c r="BE2" s="1677"/>
      <c r="BF2" s="1677"/>
      <c r="BG2" s="1677"/>
      <c r="BH2" s="1677"/>
      <c r="BI2" s="1677"/>
      <c r="BJ2" s="1677"/>
      <c r="BK2" s="1677"/>
      <c r="BL2" s="1677"/>
      <c r="BM2" s="1677"/>
      <c r="BN2" s="1677"/>
      <c r="BO2" s="1677"/>
      <c r="BP2" s="1677"/>
      <c r="BQ2" s="1677"/>
      <c r="BR2" s="1677"/>
      <c r="BS2" s="1677"/>
      <c r="BT2" s="1677"/>
      <c r="BU2" s="1677"/>
      <c r="BV2" s="1677"/>
      <c r="BW2" s="1677"/>
      <c r="BX2" s="1677"/>
      <c r="BY2" s="1677"/>
      <c r="BZ2" s="1677"/>
      <c r="CA2" s="1677"/>
      <c r="CB2" s="1677"/>
      <c r="CC2" s="1677"/>
      <c r="CD2" s="1677"/>
      <c r="CE2" s="1677"/>
      <c r="CF2" s="1677"/>
      <c r="CG2" s="1677"/>
      <c r="CH2" s="1677"/>
      <c r="CI2" s="1677"/>
      <c r="CJ2" s="1677"/>
      <c r="CK2" s="1677"/>
      <c r="CL2" s="1677"/>
      <c r="CM2" s="1677"/>
      <c r="CN2" s="1677"/>
      <c r="CO2" s="1677"/>
      <c r="CP2" s="1677"/>
      <c r="CQ2" s="1677"/>
      <c r="CR2" s="1677"/>
      <c r="CS2" s="1677"/>
      <c r="CT2" s="1677"/>
      <c r="CU2" s="1677"/>
      <c r="CV2" s="1677"/>
      <c r="CW2" s="1677"/>
      <c r="CX2" s="1677"/>
      <c r="CY2" s="1677"/>
      <c r="CZ2" s="1677"/>
      <c r="DA2" s="1677"/>
      <c r="DB2" s="1677"/>
      <c r="DC2" s="1677"/>
      <c r="DD2" s="1677"/>
      <c r="DE2" s="1677"/>
      <c r="DF2" s="1677"/>
      <c r="DG2" s="1677"/>
      <c r="DH2" s="1677"/>
      <c r="DI2" s="1677"/>
      <c r="DJ2" s="1677"/>
      <c r="DK2" s="1677"/>
      <c r="DL2" s="1677"/>
      <c r="DM2" s="1677"/>
      <c r="DN2" s="1677"/>
      <c r="DO2" s="1677"/>
      <c r="DP2" s="1677"/>
      <c r="DQ2" s="1677"/>
      <c r="DR2" s="1677"/>
      <c r="DS2" s="1677"/>
      <c r="DT2" s="1677"/>
      <c r="DU2" s="1677"/>
      <c r="DV2" s="1677"/>
      <c r="DW2" s="1677"/>
      <c r="DX2" s="1677"/>
      <c r="DY2" s="1677"/>
      <c r="DZ2" s="1677"/>
      <c r="EA2" s="1677"/>
      <c r="EB2" s="1677"/>
      <c r="EC2" s="1677"/>
      <c r="ED2" s="1677"/>
      <c r="EE2" s="1677"/>
      <c r="EF2" s="1677"/>
      <c r="EG2" s="1677"/>
      <c r="EH2" s="1677"/>
      <c r="EI2" s="1677"/>
      <c r="EJ2" s="1677"/>
      <c r="EK2" s="1677"/>
      <c r="EL2" s="1677"/>
      <c r="EM2" s="1677"/>
      <c r="EN2" s="1677"/>
      <c r="EO2" s="1677"/>
      <c r="EP2" s="1677"/>
      <c r="EQ2" s="1677"/>
      <c r="ER2" s="1677"/>
      <c r="ES2" s="1677"/>
      <c r="ET2" s="1677"/>
      <c r="EU2" s="1677"/>
      <c r="EV2" s="1677"/>
      <c r="EW2" s="1677"/>
      <c r="EX2" s="1677"/>
      <c r="EY2" s="1677"/>
      <c r="EZ2" s="1677"/>
      <c r="FA2" s="1677"/>
      <c r="FB2" s="1677"/>
      <c r="FC2" s="1677"/>
      <c r="FD2" s="1677"/>
      <c r="FE2" s="1677"/>
      <c r="FF2" s="1677"/>
      <c r="FG2" s="1677"/>
      <c r="FH2" s="1677"/>
      <c r="FI2" s="1677"/>
      <c r="FJ2" s="1677"/>
      <c r="FK2" s="1677"/>
      <c r="FL2" s="1677"/>
      <c r="FM2" s="1677"/>
      <c r="FN2" s="1677"/>
      <c r="FO2" s="1677"/>
      <c r="FP2" s="1677"/>
      <c r="FQ2" s="1677"/>
      <c r="FR2" s="1677"/>
    </row>
    <row r="3" spans="1:174" ht="25.5" customHeight="1" x14ac:dyDescent="0.25">
      <c r="A3" s="1678" t="s">
        <v>4079</v>
      </c>
      <c r="B3" s="1670" t="s">
        <v>4734</v>
      </c>
      <c r="C3" s="1673" t="s">
        <v>4807</v>
      </c>
      <c r="D3" s="1670" t="s">
        <v>4802</v>
      </c>
      <c r="E3" s="1702" t="s">
        <v>4080</v>
      </c>
      <c r="F3" s="1703"/>
      <c r="G3" s="1703"/>
      <c r="H3" s="1703"/>
      <c r="I3" s="1703"/>
      <c r="J3" s="1703"/>
      <c r="K3" s="1703"/>
      <c r="L3" s="1703"/>
      <c r="M3" s="1703"/>
      <c r="N3" s="1703"/>
      <c r="O3" s="1703"/>
      <c r="P3" s="1703"/>
      <c r="Q3" s="1703"/>
      <c r="R3" s="1703"/>
      <c r="S3" s="1704"/>
      <c r="T3" s="1680" t="s">
        <v>4206</v>
      </c>
      <c r="U3" s="1680"/>
      <c r="V3" s="1680"/>
      <c r="W3" s="1680"/>
      <c r="X3" s="1680"/>
      <c r="Y3" s="1680"/>
      <c r="Z3" s="1680"/>
      <c r="AA3" s="1680"/>
      <c r="AB3" s="1680"/>
      <c r="AC3" s="1680"/>
      <c r="AD3" s="1680"/>
      <c r="AE3" s="1680"/>
      <c r="AF3" s="1680"/>
      <c r="AG3" s="1680"/>
      <c r="AH3" s="1680"/>
      <c r="AI3" s="1680"/>
      <c r="AJ3" s="1680"/>
      <c r="AK3" s="1680"/>
      <c r="AL3" s="1680"/>
      <c r="AM3" s="1680"/>
      <c r="AN3" s="1680"/>
      <c r="AO3" s="1680"/>
      <c r="AP3" s="1680"/>
      <c r="AQ3" s="1680"/>
      <c r="AR3" s="1680"/>
      <c r="AS3" s="1680"/>
      <c r="AT3" s="1680"/>
      <c r="AU3" s="1680"/>
      <c r="AV3" s="1233"/>
      <c r="AW3" s="1233"/>
      <c r="AX3" s="1233"/>
      <c r="AY3" s="1233"/>
      <c r="AZ3" s="1212"/>
      <c r="BA3" s="1213"/>
      <c r="BB3" s="1679" t="s">
        <v>4081</v>
      </c>
      <c r="BC3" s="1679"/>
      <c r="BD3" s="1679"/>
      <c r="BE3" s="1679"/>
      <c r="BF3" s="1679"/>
      <c r="BG3" s="1679"/>
      <c r="BH3" s="1679"/>
      <c r="BI3" s="1679"/>
      <c r="BJ3" s="1679"/>
      <c r="BK3" s="1679"/>
      <c r="BL3" s="1679"/>
      <c r="BM3" s="1679"/>
      <c r="BN3" s="1679"/>
      <c r="BO3" s="1679"/>
      <c r="BP3" s="1679"/>
      <c r="BQ3" s="1679"/>
      <c r="BR3" s="1679"/>
      <c r="BS3" s="1679"/>
      <c r="BT3" s="1679"/>
      <c r="BU3" s="1679"/>
      <c r="BV3" s="1679"/>
      <c r="BW3" s="1679"/>
      <c r="BX3" s="1679"/>
      <c r="BY3" s="1679"/>
      <c r="BZ3" s="1679"/>
      <c r="CA3" s="1679"/>
      <c r="CB3" s="1679"/>
      <c r="CC3" s="1679"/>
      <c r="CD3" s="1679"/>
      <c r="CE3" s="1679"/>
      <c r="CF3" s="1679"/>
      <c r="CG3" s="1679"/>
      <c r="CH3" s="1679"/>
      <c r="CI3" s="1679"/>
      <c r="CJ3" s="1679"/>
      <c r="CK3" s="1679" t="s">
        <v>4082</v>
      </c>
      <c r="CL3" s="1679"/>
      <c r="CM3" s="1679"/>
      <c r="CN3" s="1679"/>
      <c r="CO3" s="1679"/>
      <c r="CP3" s="1679"/>
      <c r="CQ3" s="1679"/>
      <c r="CR3" s="1679"/>
      <c r="CS3" s="1679"/>
      <c r="CT3" s="1679"/>
      <c r="CU3" s="1679"/>
      <c r="CV3" s="1679"/>
      <c r="CW3" s="1679"/>
      <c r="CX3" s="1679"/>
      <c r="CY3" s="1679"/>
      <c r="CZ3" s="1679"/>
      <c r="DA3" s="1679"/>
      <c r="DB3" s="1679"/>
      <c r="DC3" s="1679"/>
      <c r="DD3" s="1679"/>
      <c r="DE3" s="1679"/>
      <c r="DF3" s="1679"/>
      <c r="DG3" s="1679"/>
      <c r="DH3" s="1679"/>
      <c r="DI3" s="1679"/>
      <c r="DJ3" s="1679"/>
      <c r="DK3" s="1679"/>
      <c r="DL3" s="1679"/>
      <c r="DM3" s="1679"/>
      <c r="DN3" s="1679"/>
      <c r="DO3" s="1679"/>
      <c r="DP3" s="1679"/>
      <c r="DQ3" s="1679"/>
      <c r="DR3" s="1679"/>
      <c r="DS3" s="1679"/>
      <c r="DT3" s="1679"/>
      <c r="DU3" s="1679"/>
      <c r="DV3" s="1679"/>
      <c r="DW3" s="1679"/>
      <c r="DX3" s="1679"/>
      <c r="DY3" s="1679"/>
      <c r="DZ3" s="1679"/>
      <c r="EA3" s="1679"/>
      <c r="EB3" s="1679"/>
      <c r="EC3" s="1679"/>
      <c r="ED3" s="1679"/>
      <c r="EE3" s="1679"/>
      <c r="EF3" s="1679"/>
      <c r="EG3" s="1679"/>
      <c r="EH3" s="1679"/>
      <c r="EI3" s="1679"/>
      <c r="EJ3" s="1679"/>
      <c r="EK3" s="1679"/>
      <c r="EL3" s="1679"/>
      <c r="EM3" s="1679"/>
      <c r="EN3" s="1679"/>
      <c r="EO3" s="1679"/>
      <c r="EP3" s="1679"/>
      <c r="EQ3" s="1679"/>
      <c r="ER3" s="1679"/>
      <c r="ES3" s="1679"/>
      <c r="ET3" s="1679"/>
      <c r="EU3" s="1679"/>
      <c r="EV3" s="1679"/>
      <c r="EW3" s="1679"/>
      <c r="EX3" s="1679"/>
      <c r="EY3" s="1679"/>
      <c r="EZ3" s="1679"/>
      <c r="FA3" s="1679"/>
      <c r="FB3" s="1679"/>
      <c r="FC3" s="1679"/>
      <c r="FD3" s="1679"/>
      <c r="FE3" s="1679"/>
      <c r="FF3" s="1679"/>
      <c r="FG3" s="1679"/>
      <c r="FH3" s="1679"/>
      <c r="FI3" s="1679"/>
      <c r="FJ3" s="1679"/>
      <c r="FK3" s="1679"/>
      <c r="FL3" s="1679"/>
      <c r="FM3" s="1679"/>
      <c r="FN3" s="1679"/>
      <c r="FO3" s="1679"/>
      <c r="FP3" s="1679"/>
      <c r="FQ3" s="1679"/>
      <c r="FR3" s="1679"/>
    </row>
    <row r="4" spans="1:174" ht="25.5" customHeight="1" x14ac:dyDescent="0.25">
      <c r="A4" s="1678"/>
      <c r="B4" s="1671"/>
      <c r="C4" s="1674"/>
      <c r="D4" s="1671"/>
      <c r="E4" s="1680" t="s">
        <v>872</v>
      </c>
      <c r="F4" s="1680"/>
      <c r="G4" s="1680"/>
      <c r="H4" s="1680"/>
      <c r="I4" s="1680"/>
      <c r="J4" s="1680" t="s">
        <v>873</v>
      </c>
      <c r="K4" s="1680"/>
      <c r="L4" s="1680"/>
      <c r="M4" s="1680"/>
      <c r="N4" s="1680"/>
      <c r="O4" s="1680"/>
      <c r="P4" s="1680"/>
      <c r="Q4" s="1680"/>
      <c r="R4" s="1680"/>
      <c r="S4" s="1680"/>
      <c r="T4" s="1680" t="s">
        <v>901</v>
      </c>
      <c r="U4" s="1680"/>
      <c r="V4" s="1680"/>
      <c r="W4" s="1680"/>
      <c r="X4" s="1680"/>
      <c r="Y4" s="1680"/>
      <c r="Z4" s="1680"/>
      <c r="AA4" s="1680"/>
      <c r="AB4" s="1680"/>
      <c r="AC4" s="1680"/>
      <c r="AD4" s="1680" t="s">
        <v>4083</v>
      </c>
      <c r="AE4" s="1680"/>
      <c r="AF4" s="1680"/>
      <c r="AG4" s="1680"/>
      <c r="AH4" s="1680"/>
      <c r="AI4" s="1680"/>
      <c r="AJ4" s="1680"/>
      <c r="AK4" s="1680"/>
      <c r="AL4" s="1680"/>
      <c r="AM4" s="1680" t="s">
        <v>4084</v>
      </c>
      <c r="AN4" s="1680"/>
      <c r="AO4" s="1680"/>
      <c r="AP4" s="1680"/>
      <c r="AQ4" s="1680"/>
      <c r="AR4" s="1680"/>
      <c r="AS4" s="1680"/>
      <c r="AT4" s="1680"/>
      <c r="AU4" s="1680"/>
      <c r="AV4" s="1692" t="s">
        <v>3512</v>
      </c>
      <c r="AW4" s="1692" t="s">
        <v>884</v>
      </c>
      <c r="AX4" s="1692" t="s">
        <v>4085</v>
      </c>
      <c r="AY4" s="1692" t="s">
        <v>4040</v>
      </c>
      <c r="AZ4" s="1695" t="s">
        <v>885</v>
      </c>
      <c r="BA4" s="1692" t="s">
        <v>4086</v>
      </c>
      <c r="BB4" s="1679"/>
      <c r="BC4" s="1679"/>
      <c r="BD4" s="1679"/>
      <c r="BE4" s="1679"/>
      <c r="BF4" s="1679"/>
      <c r="BG4" s="1679"/>
      <c r="BH4" s="1679"/>
      <c r="BI4" s="1679"/>
      <c r="BJ4" s="1679"/>
      <c r="BK4" s="1679"/>
      <c r="BL4" s="1679"/>
      <c r="BM4" s="1679"/>
      <c r="BN4" s="1679"/>
      <c r="BO4" s="1679"/>
      <c r="BP4" s="1679"/>
      <c r="BQ4" s="1679"/>
      <c r="BR4" s="1679"/>
      <c r="BS4" s="1679"/>
      <c r="BT4" s="1679"/>
      <c r="BU4" s="1679"/>
      <c r="BV4" s="1679"/>
      <c r="BW4" s="1679"/>
      <c r="BX4" s="1679"/>
      <c r="BY4" s="1679"/>
      <c r="BZ4" s="1679"/>
      <c r="CA4" s="1679"/>
      <c r="CB4" s="1679"/>
      <c r="CC4" s="1679"/>
      <c r="CD4" s="1679"/>
      <c r="CE4" s="1679"/>
      <c r="CF4" s="1679"/>
      <c r="CG4" s="1679"/>
      <c r="CH4" s="1679"/>
      <c r="CI4" s="1679"/>
      <c r="CJ4" s="1679"/>
      <c r="CK4" s="1679"/>
      <c r="CL4" s="1679"/>
      <c r="CM4" s="1679"/>
      <c r="CN4" s="1679"/>
      <c r="CO4" s="1679"/>
      <c r="CP4" s="1679"/>
      <c r="CQ4" s="1679"/>
      <c r="CR4" s="1679"/>
      <c r="CS4" s="1679"/>
      <c r="CT4" s="1679"/>
      <c r="CU4" s="1679"/>
      <c r="CV4" s="1679"/>
      <c r="CW4" s="1679"/>
      <c r="CX4" s="1679"/>
      <c r="CY4" s="1679"/>
      <c r="CZ4" s="1679"/>
      <c r="DA4" s="1679"/>
      <c r="DB4" s="1679"/>
      <c r="DC4" s="1679"/>
      <c r="DD4" s="1679"/>
      <c r="DE4" s="1679"/>
      <c r="DF4" s="1679"/>
      <c r="DG4" s="1679"/>
      <c r="DH4" s="1679"/>
      <c r="DI4" s="1679"/>
      <c r="DJ4" s="1679"/>
      <c r="DK4" s="1679"/>
      <c r="DL4" s="1679"/>
      <c r="DM4" s="1679"/>
      <c r="DN4" s="1679"/>
      <c r="DO4" s="1679"/>
      <c r="DP4" s="1679"/>
      <c r="DQ4" s="1679"/>
      <c r="DR4" s="1679"/>
      <c r="DS4" s="1679"/>
      <c r="DT4" s="1679"/>
      <c r="DU4" s="1679"/>
      <c r="DV4" s="1679"/>
      <c r="DW4" s="1679"/>
      <c r="DX4" s="1679"/>
      <c r="DY4" s="1679"/>
      <c r="DZ4" s="1679"/>
      <c r="EA4" s="1679"/>
      <c r="EB4" s="1679"/>
      <c r="EC4" s="1679"/>
      <c r="ED4" s="1679"/>
      <c r="EE4" s="1679"/>
      <c r="EF4" s="1679"/>
      <c r="EG4" s="1679"/>
      <c r="EH4" s="1679"/>
      <c r="EI4" s="1679"/>
      <c r="EJ4" s="1679"/>
      <c r="EK4" s="1679"/>
      <c r="EL4" s="1679"/>
      <c r="EM4" s="1679"/>
      <c r="EN4" s="1679"/>
      <c r="EO4" s="1679"/>
      <c r="EP4" s="1679"/>
      <c r="EQ4" s="1679"/>
      <c r="ER4" s="1679"/>
      <c r="ES4" s="1679"/>
      <c r="ET4" s="1679"/>
      <c r="EU4" s="1679"/>
      <c r="EV4" s="1679"/>
      <c r="EW4" s="1679"/>
      <c r="EX4" s="1679"/>
      <c r="EY4" s="1679"/>
      <c r="EZ4" s="1679"/>
      <c r="FA4" s="1679"/>
      <c r="FB4" s="1679"/>
      <c r="FC4" s="1679"/>
      <c r="FD4" s="1679"/>
      <c r="FE4" s="1679"/>
      <c r="FF4" s="1679"/>
      <c r="FG4" s="1679"/>
      <c r="FH4" s="1679"/>
      <c r="FI4" s="1679"/>
      <c r="FJ4" s="1679"/>
      <c r="FK4" s="1679"/>
      <c r="FL4" s="1679"/>
      <c r="FM4" s="1679"/>
      <c r="FN4" s="1679"/>
      <c r="FO4" s="1679"/>
      <c r="FP4" s="1679"/>
      <c r="FQ4" s="1679"/>
      <c r="FR4" s="1679"/>
    </row>
    <row r="5" spans="1:174" ht="25.5" customHeight="1" x14ac:dyDescent="0.25">
      <c r="A5" s="1678"/>
      <c r="B5" s="1671"/>
      <c r="C5" s="1674"/>
      <c r="D5" s="1671"/>
      <c r="E5" s="1680"/>
      <c r="F5" s="1680"/>
      <c r="G5" s="1680"/>
      <c r="H5" s="1680"/>
      <c r="I5" s="1680"/>
      <c r="J5" s="1680"/>
      <c r="K5" s="1680"/>
      <c r="L5" s="1680"/>
      <c r="M5" s="1680"/>
      <c r="N5" s="1680"/>
      <c r="O5" s="1680"/>
      <c r="P5" s="1680"/>
      <c r="Q5" s="1680"/>
      <c r="R5" s="1680"/>
      <c r="S5" s="1680"/>
      <c r="T5" s="1680"/>
      <c r="U5" s="1680"/>
      <c r="V5" s="1680"/>
      <c r="W5" s="1680"/>
      <c r="X5" s="1680"/>
      <c r="Y5" s="1680"/>
      <c r="Z5" s="1680"/>
      <c r="AA5" s="1680"/>
      <c r="AB5" s="1680"/>
      <c r="AC5" s="1680"/>
      <c r="AD5" s="1680"/>
      <c r="AE5" s="1680"/>
      <c r="AF5" s="1680"/>
      <c r="AG5" s="1680"/>
      <c r="AH5" s="1680"/>
      <c r="AI5" s="1680"/>
      <c r="AJ5" s="1680"/>
      <c r="AK5" s="1680"/>
      <c r="AL5" s="1680"/>
      <c r="AM5" s="1680"/>
      <c r="AN5" s="1680"/>
      <c r="AO5" s="1680"/>
      <c r="AP5" s="1680"/>
      <c r="AQ5" s="1680"/>
      <c r="AR5" s="1680"/>
      <c r="AS5" s="1680"/>
      <c r="AT5" s="1680"/>
      <c r="AU5" s="1680"/>
      <c r="AV5" s="1693"/>
      <c r="AW5" s="1693"/>
      <c r="AX5" s="1693"/>
      <c r="AY5" s="1693"/>
      <c r="AZ5" s="1696"/>
      <c r="BA5" s="1693"/>
      <c r="BB5" s="1679"/>
      <c r="BC5" s="1679"/>
      <c r="BD5" s="1679"/>
      <c r="BE5" s="1679"/>
      <c r="BF5" s="1679"/>
      <c r="BG5" s="1679"/>
      <c r="BH5" s="1679"/>
      <c r="BI5" s="1679"/>
      <c r="BJ5" s="1679"/>
      <c r="BK5" s="1679"/>
      <c r="BL5" s="1679"/>
      <c r="BM5" s="1679"/>
      <c r="BN5" s="1679"/>
      <c r="BO5" s="1679"/>
      <c r="BP5" s="1679"/>
      <c r="BQ5" s="1679"/>
      <c r="BR5" s="1679"/>
      <c r="BS5" s="1679"/>
      <c r="BT5" s="1679"/>
      <c r="BU5" s="1679"/>
      <c r="BV5" s="1679"/>
      <c r="BW5" s="1679"/>
      <c r="BX5" s="1679"/>
      <c r="BY5" s="1679"/>
      <c r="BZ5" s="1679"/>
      <c r="CA5" s="1679"/>
      <c r="CB5" s="1679"/>
      <c r="CC5" s="1679"/>
      <c r="CD5" s="1679"/>
      <c r="CE5" s="1679"/>
      <c r="CF5" s="1679"/>
      <c r="CG5" s="1679"/>
      <c r="CH5" s="1679"/>
      <c r="CI5" s="1679"/>
      <c r="CJ5" s="1679"/>
      <c r="CK5" s="1679"/>
      <c r="CL5" s="1679"/>
      <c r="CM5" s="1679"/>
      <c r="CN5" s="1679"/>
      <c r="CO5" s="1679"/>
      <c r="CP5" s="1679"/>
      <c r="CQ5" s="1679"/>
      <c r="CR5" s="1679"/>
      <c r="CS5" s="1679"/>
      <c r="CT5" s="1679"/>
      <c r="CU5" s="1679"/>
      <c r="CV5" s="1679"/>
      <c r="CW5" s="1679"/>
      <c r="CX5" s="1679"/>
      <c r="CY5" s="1679"/>
      <c r="CZ5" s="1679"/>
      <c r="DA5" s="1679"/>
      <c r="DB5" s="1679"/>
      <c r="DC5" s="1679"/>
      <c r="DD5" s="1679"/>
      <c r="DE5" s="1679"/>
      <c r="DF5" s="1679"/>
      <c r="DG5" s="1679"/>
      <c r="DH5" s="1679"/>
      <c r="DI5" s="1679"/>
      <c r="DJ5" s="1679"/>
      <c r="DK5" s="1679"/>
      <c r="DL5" s="1679"/>
      <c r="DM5" s="1679"/>
      <c r="DN5" s="1679"/>
      <c r="DO5" s="1679"/>
      <c r="DP5" s="1679"/>
      <c r="DQ5" s="1679"/>
      <c r="DR5" s="1679"/>
      <c r="DS5" s="1679"/>
      <c r="DT5" s="1679"/>
      <c r="DU5" s="1679"/>
      <c r="DV5" s="1679"/>
      <c r="DW5" s="1679"/>
      <c r="DX5" s="1679"/>
      <c r="DY5" s="1679"/>
      <c r="DZ5" s="1679"/>
      <c r="EA5" s="1679"/>
      <c r="EB5" s="1679"/>
      <c r="EC5" s="1679"/>
      <c r="ED5" s="1679"/>
      <c r="EE5" s="1679"/>
      <c r="EF5" s="1679"/>
      <c r="EG5" s="1679"/>
      <c r="EH5" s="1679"/>
      <c r="EI5" s="1679"/>
      <c r="EJ5" s="1679"/>
      <c r="EK5" s="1679"/>
      <c r="EL5" s="1679"/>
      <c r="EM5" s="1679"/>
      <c r="EN5" s="1679"/>
      <c r="EO5" s="1679"/>
      <c r="EP5" s="1679"/>
      <c r="EQ5" s="1679"/>
      <c r="ER5" s="1679"/>
      <c r="ES5" s="1679"/>
      <c r="ET5" s="1679"/>
      <c r="EU5" s="1679"/>
      <c r="EV5" s="1679"/>
      <c r="EW5" s="1679"/>
      <c r="EX5" s="1679"/>
      <c r="EY5" s="1679"/>
      <c r="EZ5" s="1679"/>
      <c r="FA5" s="1679"/>
      <c r="FB5" s="1679"/>
      <c r="FC5" s="1679"/>
      <c r="FD5" s="1679"/>
      <c r="FE5" s="1679"/>
      <c r="FF5" s="1679"/>
      <c r="FG5" s="1679"/>
      <c r="FH5" s="1679"/>
      <c r="FI5" s="1679"/>
      <c r="FJ5" s="1679"/>
      <c r="FK5" s="1679"/>
      <c r="FL5" s="1679"/>
      <c r="FM5" s="1679"/>
      <c r="FN5" s="1679"/>
      <c r="FO5" s="1679"/>
      <c r="FP5" s="1679"/>
      <c r="FQ5" s="1679"/>
      <c r="FR5" s="1679"/>
    </row>
    <row r="6" spans="1:174" ht="47.25" customHeight="1" x14ac:dyDescent="0.25">
      <c r="A6" s="1678"/>
      <c r="B6" s="1671"/>
      <c r="C6" s="1674"/>
      <c r="D6" s="1671"/>
      <c r="E6" s="1681" t="s">
        <v>1834</v>
      </c>
      <c r="F6" s="1681" t="s">
        <v>1835</v>
      </c>
      <c r="G6" s="1682" t="s">
        <v>1494</v>
      </c>
      <c r="H6" s="1685" t="s">
        <v>4087</v>
      </c>
      <c r="I6" s="1688" t="s">
        <v>880</v>
      </c>
      <c r="J6" s="1681" t="s">
        <v>1834</v>
      </c>
      <c r="K6" s="1681" t="s">
        <v>1835</v>
      </c>
      <c r="L6" s="1689" t="s">
        <v>1494</v>
      </c>
      <c r="M6" s="1689"/>
      <c r="N6" s="1689"/>
      <c r="O6" s="1689" t="s">
        <v>4087</v>
      </c>
      <c r="P6" s="1689"/>
      <c r="Q6" s="1689"/>
      <c r="R6" s="1688" t="s">
        <v>880</v>
      </c>
      <c r="S6" s="1690" t="s">
        <v>4088</v>
      </c>
      <c r="T6" s="1681" t="s">
        <v>1834</v>
      </c>
      <c r="U6" s="1681" t="s">
        <v>1835</v>
      </c>
      <c r="V6" s="1689" t="s">
        <v>1494</v>
      </c>
      <c r="W6" s="1689"/>
      <c r="X6" s="1689"/>
      <c r="Y6" s="1689" t="s">
        <v>4087</v>
      </c>
      <c r="Z6" s="1689"/>
      <c r="AA6" s="1689"/>
      <c r="AB6" s="1688" t="s">
        <v>880</v>
      </c>
      <c r="AC6" s="1690" t="s">
        <v>4088</v>
      </c>
      <c r="AD6" s="1681" t="s">
        <v>1834</v>
      </c>
      <c r="AE6" s="1681" t="s">
        <v>1835</v>
      </c>
      <c r="AF6" s="1689" t="s">
        <v>1494</v>
      </c>
      <c r="AG6" s="1689"/>
      <c r="AH6" s="1689"/>
      <c r="AI6" s="1689" t="s">
        <v>4087</v>
      </c>
      <c r="AJ6" s="1689"/>
      <c r="AK6" s="1689"/>
      <c r="AL6" s="1688" t="s">
        <v>880</v>
      </c>
      <c r="AM6" s="1681" t="s">
        <v>1834</v>
      </c>
      <c r="AN6" s="1681" t="s">
        <v>1835</v>
      </c>
      <c r="AO6" s="1689" t="s">
        <v>1494</v>
      </c>
      <c r="AP6" s="1689"/>
      <c r="AQ6" s="1689"/>
      <c r="AR6" s="1689" t="s">
        <v>4087</v>
      </c>
      <c r="AS6" s="1689"/>
      <c r="AT6" s="1689"/>
      <c r="AU6" s="1688" t="s">
        <v>880</v>
      </c>
      <c r="AV6" s="1693"/>
      <c r="AW6" s="1693"/>
      <c r="AX6" s="1693"/>
      <c r="AY6" s="1693"/>
      <c r="AZ6" s="1696"/>
      <c r="BA6" s="1693"/>
      <c r="BB6" s="1691" t="s">
        <v>4089</v>
      </c>
      <c r="BC6" s="1691" t="s">
        <v>4090</v>
      </c>
      <c r="BD6" s="1691" t="s">
        <v>4091</v>
      </c>
      <c r="BE6" s="1691" t="s">
        <v>4092</v>
      </c>
      <c r="BF6" s="1691" t="s">
        <v>4093</v>
      </c>
      <c r="BG6" s="1691" t="s">
        <v>4094</v>
      </c>
      <c r="BH6" s="1698" t="s">
        <v>4095</v>
      </c>
      <c r="BI6" s="1691" t="s">
        <v>4096</v>
      </c>
      <c r="BJ6" s="1691" t="s">
        <v>4097</v>
      </c>
      <c r="BK6" s="1691" t="s">
        <v>4098</v>
      </c>
      <c r="BL6" s="1691" t="s">
        <v>4099</v>
      </c>
      <c r="BM6" s="1691" t="s">
        <v>4100</v>
      </c>
      <c r="BN6" s="1691" t="s">
        <v>4101</v>
      </c>
      <c r="BO6" s="1691" t="s">
        <v>4102</v>
      </c>
      <c r="BP6" s="1691" t="s">
        <v>4103</v>
      </c>
      <c r="BQ6" s="1691" t="s">
        <v>4104</v>
      </c>
      <c r="BR6" s="1691" t="s">
        <v>4105</v>
      </c>
      <c r="BS6" s="1691" t="s">
        <v>4106</v>
      </c>
      <c r="BT6" s="1691" t="s">
        <v>4107</v>
      </c>
      <c r="BU6" s="1691" t="s">
        <v>4108</v>
      </c>
      <c r="BV6" s="1699" t="s">
        <v>4109</v>
      </c>
      <c r="BW6" s="1699"/>
      <c r="BX6" s="1699"/>
      <c r="BY6" s="1699"/>
      <c r="BZ6" s="1699"/>
      <c r="CA6" s="1699"/>
      <c r="CB6" s="1691" t="s">
        <v>4110</v>
      </c>
      <c r="CC6" s="1691" t="s">
        <v>4111</v>
      </c>
      <c r="CD6" s="1691" t="s">
        <v>4112</v>
      </c>
      <c r="CE6" s="1699" t="s">
        <v>4113</v>
      </c>
      <c r="CF6" s="1699"/>
      <c r="CG6" s="1699"/>
      <c r="CH6" s="1699"/>
      <c r="CI6" s="1699"/>
      <c r="CJ6" s="1699"/>
      <c r="CK6" s="1700" t="s">
        <v>4114</v>
      </c>
      <c r="CL6" s="1700"/>
      <c r="CM6" s="1700"/>
      <c r="CN6" s="1700"/>
      <c r="CO6" s="1700" t="s">
        <v>4115</v>
      </c>
      <c r="CP6" s="1700"/>
      <c r="CQ6" s="1700"/>
      <c r="CR6" s="1700"/>
      <c r="CS6" s="1700"/>
      <c r="CT6" s="1700"/>
      <c r="CU6" s="1700" t="s">
        <v>4116</v>
      </c>
      <c r="CV6" s="1700"/>
      <c r="CW6" s="1700"/>
      <c r="CX6" s="1700" t="s">
        <v>4117</v>
      </c>
      <c r="CY6" s="1700"/>
      <c r="CZ6" s="1700"/>
      <c r="DA6" s="1700"/>
      <c r="DB6" s="1699" t="s">
        <v>4118</v>
      </c>
      <c r="DC6" s="1699"/>
      <c r="DD6" s="1699"/>
      <c r="DE6" s="1691" t="s">
        <v>4119</v>
      </c>
      <c r="DF6" s="1691" t="s">
        <v>4120</v>
      </c>
      <c r="DG6" s="1705" t="s">
        <v>1382</v>
      </c>
      <c r="DH6" s="1691" t="s">
        <v>4121</v>
      </c>
      <c r="DI6" s="1691" t="s">
        <v>5792</v>
      </c>
      <c r="DJ6" s="1691" t="s">
        <v>4122</v>
      </c>
      <c r="DK6" s="1691" t="s">
        <v>4123</v>
      </c>
      <c r="DL6" s="1705" t="s">
        <v>5796</v>
      </c>
      <c r="DM6" s="1705" t="s">
        <v>5773</v>
      </c>
      <c r="DN6" s="1705" t="s">
        <v>5791</v>
      </c>
      <c r="DO6" s="1699" t="s">
        <v>4124</v>
      </c>
      <c r="DP6" s="1699"/>
      <c r="DQ6" s="1699"/>
      <c r="DR6" s="1699"/>
      <c r="DS6" s="1699"/>
      <c r="DT6" s="1699"/>
      <c r="DU6" s="1699"/>
      <c r="DV6" s="1699" t="s">
        <v>4125</v>
      </c>
      <c r="DW6" s="1699"/>
      <c r="DX6" s="1699"/>
      <c r="DY6" s="1705" t="s">
        <v>5785</v>
      </c>
      <c r="DZ6" s="1705" t="s">
        <v>5784</v>
      </c>
      <c r="EA6" s="1705" t="s">
        <v>5771</v>
      </c>
      <c r="EB6" s="1691" t="s">
        <v>4126</v>
      </c>
      <c r="EC6" s="1691" t="s">
        <v>4127</v>
      </c>
      <c r="ED6" s="1705" t="s">
        <v>5790</v>
      </c>
      <c r="EE6" s="1691" t="s">
        <v>4128</v>
      </c>
      <c r="EF6" s="1691" t="s">
        <v>4129</v>
      </c>
      <c r="EG6" s="1691" t="s">
        <v>4130</v>
      </c>
      <c r="EH6" s="1691" t="s">
        <v>4131</v>
      </c>
      <c r="EI6" s="1691" t="s">
        <v>4132</v>
      </c>
      <c r="EJ6" s="1691" t="s">
        <v>4133</v>
      </c>
      <c r="EK6" s="1705" t="s">
        <v>5775</v>
      </c>
      <c r="EL6" s="1705" t="s">
        <v>5774</v>
      </c>
      <c r="EM6" s="1691" t="s">
        <v>4134</v>
      </c>
      <c r="EN6" s="1691" t="s">
        <v>4135</v>
      </c>
      <c r="EO6" s="1691" t="s">
        <v>4136</v>
      </c>
      <c r="EP6" s="1691" t="s">
        <v>4137</v>
      </c>
      <c r="EQ6" s="1691" t="s">
        <v>4138</v>
      </c>
      <c r="ER6" s="1691" t="s">
        <v>4139</v>
      </c>
      <c r="ES6" s="1691" t="s">
        <v>4140</v>
      </c>
      <c r="ET6" s="1705" t="s">
        <v>5776</v>
      </c>
      <c r="EU6" s="1691" t="s">
        <v>4141</v>
      </c>
      <c r="EV6" s="1691" t="s">
        <v>4142</v>
      </c>
      <c r="EW6" s="1691" t="s">
        <v>4143</v>
      </c>
      <c r="EX6" s="1691" t="s">
        <v>4144</v>
      </c>
      <c r="EY6" s="1705" t="s">
        <v>4142</v>
      </c>
      <c r="EZ6" s="1691" t="s">
        <v>4145</v>
      </c>
      <c r="FA6" s="1691" t="s">
        <v>4146</v>
      </c>
      <c r="FB6" s="1691" t="s">
        <v>4147</v>
      </c>
      <c r="FC6" s="1705" t="s">
        <v>5793</v>
      </c>
      <c r="FD6" s="1691" t="s">
        <v>4148</v>
      </c>
      <c r="FE6" s="1691" t="s">
        <v>4149</v>
      </c>
      <c r="FF6" s="1691" t="s">
        <v>4150</v>
      </c>
      <c r="FG6" s="1705" t="s">
        <v>5781</v>
      </c>
      <c r="FH6" s="1705" t="s">
        <v>5764</v>
      </c>
      <c r="FI6" s="1705" t="s">
        <v>5787</v>
      </c>
      <c r="FJ6" s="1705" t="s">
        <v>4193</v>
      </c>
      <c r="FK6" s="1705" t="s">
        <v>5770</v>
      </c>
      <c r="FL6" s="1705" t="s">
        <v>5768</v>
      </c>
      <c r="FM6" s="1705" t="s">
        <v>5767</v>
      </c>
      <c r="FN6" s="1705" t="s">
        <v>5798</v>
      </c>
      <c r="FO6" s="1691" t="s">
        <v>4151</v>
      </c>
      <c r="FP6" s="1691" t="s">
        <v>4152</v>
      </c>
      <c r="FQ6" s="1705" t="s">
        <v>5769</v>
      </c>
      <c r="FR6" s="1691" t="s">
        <v>4153</v>
      </c>
    </row>
    <row r="7" spans="1:174" ht="25.5" customHeight="1" x14ac:dyDescent="0.25">
      <c r="A7" s="1678"/>
      <c r="B7" s="1671"/>
      <c r="C7" s="1674"/>
      <c r="D7" s="1671"/>
      <c r="E7" s="1681"/>
      <c r="F7" s="1681"/>
      <c r="G7" s="1683"/>
      <c r="H7" s="1686"/>
      <c r="I7" s="1688"/>
      <c r="J7" s="1681"/>
      <c r="K7" s="1681"/>
      <c r="L7" s="1681" t="s">
        <v>909</v>
      </c>
      <c r="M7" s="1681" t="s">
        <v>908</v>
      </c>
      <c r="N7" s="1681" t="s">
        <v>888</v>
      </c>
      <c r="O7" s="1681" t="s">
        <v>909</v>
      </c>
      <c r="P7" s="1681" t="s">
        <v>908</v>
      </c>
      <c r="Q7" s="1681" t="s">
        <v>888</v>
      </c>
      <c r="R7" s="1688"/>
      <c r="S7" s="1690"/>
      <c r="T7" s="1681"/>
      <c r="U7" s="1681"/>
      <c r="V7" s="1681" t="s">
        <v>909</v>
      </c>
      <c r="W7" s="1681" t="s">
        <v>908</v>
      </c>
      <c r="X7" s="1681" t="s">
        <v>888</v>
      </c>
      <c r="Y7" s="1681" t="s">
        <v>909</v>
      </c>
      <c r="Z7" s="1681" t="s">
        <v>908</v>
      </c>
      <c r="AA7" s="1681" t="s">
        <v>888</v>
      </c>
      <c r="AB7" s="1688"/>
      <c r="AC7" s="1690"/>
      <c r="AD7" s="1681"/>
      <c r="AE7" s="1681"/>
      <c r="AF7" s="1681" t="s">
        <v>909</v>
      </c>
      <c r="AG7" s="1681" t="s">
        <v>908</v>
      </c>
      <c r="AH7" s="1681" t="s">
        <v>888</v>
      </c>
      <c r="AI7" s="1681" t="s">
        <v>909</v>
      </c>
      <c r="AJ7" s="1681" t="s">
        <v>908</v>
      </c>
      <c r="AK7" s="1681" t="s">
        <v>888</v>
      </c>
      <c r="AL7" s="1688"/>
      <c r="AM7" s="1681"/>
      <c r="AN7" s="1681"/>
      <c r="AO7" s="1681" t="s">
        <v>909</v>
      </c>
      <c r="AP7" s="1681" t="s">
        <v>908</v>
      </c>
      <c r="AQ7" s="1681" t="s">
        <v>888</v>
      </c>
      <c r="AR7" s="1681" t="s">
        <v>909</v>
      </c>
      <c r="AS7" s="1681" t="s">
        <v>908</v>
      </c>
      <c r="AT7" s="1681" t="s">
        <v>888</v>
      </c>
      <c r="AU7" s="1688"/>
      <c r="AV7" s="1693"/>
      <c r="AW7" s="1693"/>
      <c r="AX7" s="1693"/>
      <c r="AY7" s="1693"/>
      <c r="AZ7" s="1696"/>
      <c r="BA7" s="1693"/>
      <c r="BB7" s="1691"/>
      <c r="BC7" s="1691"/>
      <c r="BD7" s="1691"/>
      <c r="BE7" s="1691"/>
      <c r="BF7" s="1691"/>
      <c r="BG7" s="1691"/>
      <c r="BH7" s="1698"/>
      <c r="BI7" s="1691"/>
      <c r="BJ7" s="1691"/>
      <c r="BK7" s="1691"/>
      <c r="BL7" s="1691"/>
      <c r="BM7" s="1691"/>
      <c r="BN7" s="1691"/>
      <c r="BO7" s="1691"/>
      <c r="BP7" s="1691"/>
      <c r="BQ7" s="1691"/>
      <c r="BR7" s="1691"/>
      <c r="BS7" s="1691"/>
      <c r="BT7" s="1691"/>
      <c r="BU7" s="1691"/>
      <c r="BV7" s="1691" t="s">
        <v>4154</v>
      </c>
      <c r="BW7" s="1691" t="s">
        <v>4155</v>
      </c>
      <c r="BX7" s="1691" t="s">
        <v>4156</v>
      </c>
      <c r="BY7" s="1691" t="s">
        <v>4157</v>
      </c>
      <c r="BZ7" s="1691" t="s">
        <v>4158</v>
      </c>
      <c r="CA7" s="1691" t="s">
        <v>4159</v>
      </c>
      <c r="CB7" s="1691"/>
      <c r="CC7" s="1691"/>
      <c r="CD7" s="1691"/>
      <c r="CE7" s="1691" t="s">
        <v>4160</v>
      </c>
      <c r="CF7" s="1691" t="s">
        <v>4161</v>
      </c>
      <c r="CG7" s="1691" t="s">
        <v>4162</v>
      </c>
      <c r="CH7" s="1691" t="s">
        <v>4163</v>
      </c>
      <c r="CI7" s="1691" t="s">
        <v>4164</v>
      </c>
      <c r="CJ7" s="1691" t="s">
        <v>4165</v>
      </c>
      <c r="CK7" s="1701" t="s">
        <v>4166</v>
      </c>
      <c r="CL7" s="1701" t="s">
        <v>5760</v>
      </c>
      <c r="CM7" s="1701" t="s">
        <v>4167</v>
      </c>
      <c r="CN7" s="1701" t="s">
        <v>4168</v>
      </c>
      <c r="CO7" s="1701" t="s">
        <v>4169</v>
      </c>
      <c r="CP7" s="1701" t="s">
        <v>4170</v>
      </c>
      <c r="CQ7" s="1701" t="s">
        <v>4171</v>
      </c>
      <c r="CR7" s="1701" t="s">
        <v>4172</v>
      </c>
      <c r="CS7" s="1701" t="s">
        <v>4173</v>
      </c>
      <c r="CT7" s="1701" t="s">
        <v>4174</v>
      </c>
      <c r="CU7" s="1701" t="s">
        <v>4175</v>
      </c>
      <c r="CV7" s="1701" t="s">
        <v>4176</v>
      </c>
      <c r="CW7" s="1701" t="s">
        <v>4177</v>
      </c>
      <c r="CX7" s="1701" t="s">
        <v>4178</v>
      </c>
      <c r="CY7" s="1701" t="s">
        <v>4179</v>
      </c>
      <c r="CZ7" s="1701" t="s">
        <v>4180</v>
      </c>
      <c r="DA7" s="1701" t="s">
        <v>4181</v>
      </c>
      <c r="DB7" s="1691" t="s">
        <v>4182</v>
      </c>
      <c r="DC7" s="1691" t="s">
        <v>4183</v>
      </c>
      <c r="DD7" s="1691" t="s">
        <v>4184</v>
      </c>
      <c r="DE7" s="1691"/>
      <c r="DF7" s="1691"/>
      <c r="DG7" s="1706"/>
      <c r="DH7" s="1691"/>
      <c r="DI7" s="1691"/>
      <c r="DJ7" s="1691"/>
      <c r="DK7" s="1691"/>
      <c r="DL7" s="1706"/>
      <c r="DM7" s="1706"/>
      <c r="DN7" s="1706"/>
      <c r="DO7" s="1691" t="s">
        <v>4185</v>
      </c>
      <c r="DP7" s="1691" t="s">
        <v>4186</v>
      </c>
      <c r="DQ7" s="1691" t="s">
        <v>4187</v>
      </c>
      <c r="DR7" s="1691" t="s">
        <v>5797</v>
      </c>
      <c r="DS7" s="1691" t="s">
        <v>4188</v>
      </c>
      <c r="DT7" s="1691" t="s">
        <v>4189</v>
      </c>
      <c r="DU7" s="1691" t="s">
        <v>4190</v>
      </c>
      <c r="DV7" s="1691" t="s">
        <v>4191</v>
      </c>
      <c r="DW7" s="1691" t="s">
        <v>4192</v>
      </c>
      <c r="DX7" s="1691" t="s">
        <v>4193</v>
      </c>
      <c r="DY7" s="1706"/>
      <c r="DZ7" s="1706"/>
      <c r="EA7" s="1706"/>
      <c r="EB7" s="1691"/>
      <c r="EC7" s="1691"/>
      <c r="ED7" s="1706"/>
      <c r="EE7" s="1691"/>
      <c r="EF7" s="1691"/>
      <c r="EG7" s="1691"/>
      <c r="EH7" s="1691"/>
      <c r="EI7" s="1691"/>
      <c r="EJ7" s="1691"/>
      <c r="EK7" s="1706"/>
      <c r="EL7" s="1706"/>
      <c r="EM7" s="1691"/>
      <c r="EN7" s="1691"/>
      <c r="EO7" s="1691"/>
      <c r="EP7" s="1691"/>
      <c r="EQ7" s="1691"/>
      <c r="ER7" s="1691"/>
      <c r="ES7" s="1691"/>
      <c r="ET7" s="1706"/>
      <c r="EU7" s="1691"/>
      <c r="EV7" s="1691"/>
      <c r="EW7" s="1691"/>
      <c r="EX7" s="1691"/>
      <c r="EY7" s="1706"/>
      <c r="EZ7" s="1691"/>
      <c r="FA7" s="1691"/>
      <c r="FB7" s="1691"/>
      <c r="FC7" s="1706"/>
      <c r="FD7" s="1691"/>
      <c r="FE7" s="1691"/>
      <c r="FF7" s="1691"/>
      <c r="FG7" s="1706"/>
      <c r="FH7" s="1706"/>
      <c r="FI7" s="1706"/>
      <c r="FJ7" s="1706"/>
      <c r="FK7" s="1706"/>
      <c r="FL7" s="1706"/>
      <c r="FM7" s="1706"/>
      <c r="FN7" s="1706"/>
      <c r="FO7" s="1691"/>
      <c r="FP7" s="1691"/>
      <c r="FQ7" s="1706"/>
      <c r="FR7" s="1691"/>
    </row>
    <row r="8" spans="1:174" ht="33.75" customHeight="1" x14ac:dyDescent="0.25">
      <c r="A8" s="1678"/>
      <c r="B8" s="1671"/>
      <c r="C8" s="1674"/>
      <c r="D8" s="1671"/>
      <c r="E8" s="1681"/>
      <c r="F8" s="1681"/>
      <c r="G8" s="1683"/>
      <c r="H8" s="1686"/>
      <c r="I8" s="1688"/>
      <c r="J8" s="1681"/>
      <c r="K8" s="1681"/>
      <c r="L8" s="1681"/>
      <c r="M8" s="1681"/>
      <c r="N8" s="1681"/>
      <c r="O8" s="1681"/>
      <c r="P8" s="1681"/>
      <c r="Q8" s="1681"/>
      <c r="R8" s="1688"/>
      <c r="S8" s="1690"/>
      <c r="T8" s="1681"/>
      <c r="U8" s="1681"/>
      <c r="V8" s="1681"/>
      <c r="W8" s="1681"/>
      <c r="X8" s="1681"/>
      <c r="Y8" s="1681"/>
      <c r="Z8" s="1681"/>
      <c r="AA8" s="1681"/>
      <c r="AB8" s="1688"/>
      <c r="AC8" s="1690"/>
      <c r="AD8" s="1681"/>
      <c r="AE8" s="1681"/>
      <c r="AF8" s="1681"/>
      <c r="AG8" s="1681"/>
      <c r="AH8" s="1681"/>
      <c r="AI8" s="1681"/>
      <c r="AJ8" s="1681"/>
      <c r="AK8" s="1681"/>
      <c r="AL8" s="1688"/>
      <c r="AM8" s="1681"/>
      <c r="AN8" s="1681"/>
      <c r="AO8" s="1681"/>
      <c r="AP8" s="1681"/>
      <c r="AQ8" s="1681"/>
      <c r="AR8" s="1681"/>
      <c r="AS8" s="1681"/>
      <c r="AT8" s="1681"/>
      <c r="AU8" s="1688"/>
      <c r="AV8" s="1693"/>
      <c r="AW8" s="1693"/>
      <c r="AX8" s="1693"/>
      <c r="AY8" s="1693"/>
      <c r="AZ8" s="1696"/>
      <c r="BA8" s="1693"/>
      <c r="BB8" s="1691"/>
      <c r="BC8" s="1691"/>
      <c r="BD8" s="1691"/>
      <c r="BE8" s="1691"/>
      <c r="BF8" s="1691"/>
      <c r="BG8" s="1691"/>
      <c r="BH8" s="1698"/>
      <c r="BI8" s="1691"/>
      <c r="BJ8" s="1691"/>
      <c r="BK8" s="1691"/>
      <c r="BL8" s="1691"/>
      <c r="BM8" s="1691"/>
      <c r="BN8" s="1691"/>
      <c r="BO8" s="1691"/>
      <c r="BP8" s="1691"/>
      <c r="BQ8" s="1691"/>
      <c r="BR8" s="1691"/>
      <c r="BS8" s="1691"/>
      <c r="BT8" s="1691"/>
      <c r="BU8" s="1691"/>
      <c r="BV8" s="1691"/>
      <c r="BW8" s="1691"/>
      <c r="BX8" s="1691"/>
      <c r="BY8" s="1691"/>
      <c r="BZ8" s="1691"/>
      <c r="CA8" s="1691"/>
      <c r="CB8" s="1691"/>
      <c r="CC8" s="1691"/>
      <c r="CD8" s="1691"/>
      <c r="CE8" s="1691"/>
      <c r="CF8" s="1691"/>
      <c r="CG8" s="1691"/>
      <c r="CH8" s="1691"/>
      <c r="CI8" s="1691"/>
      <c r="CJ8" s="1691"/>
      <c r="CK8" s="1701"/>
      <c r="CL8" s="1701"/>
      <c r="CM8" s="1701"/>
      <c r="CN8" s="1701"/>
      <c r="CO8" s="1701"/>
      <c r="CP8" s="1701"/>
      <c r="CQ8" s="1701"/>
      <c r="CR8" s="1701"/>
      <c r="CS8" s="1701"/>
      <c r="CT8" s="1701"/>
      <c r="CU8" s="1701"/>
      <c r="CV8" s="1701"/>
      <c r="CW8" s="1701"/>
      <c r="CX8" s="1701"/>
      <c r="CY8" s="1701"/>
      <c r="CZ8" s="1701"/>
      <c r="DA8" s="1701"/>
      <c r="DB8" s="1691"/>
      <c r="DC8" s="1691"/>
      <c r="DD8" s="1691"/>
      <c r="DE8" s="1691"/>
      <c r="DF8" s="1691"/>
      <c r="DG8" s="1706"/>
      <c r="DH8" s="1691"/>
      <c r="DI8" s="1691"/>
      <c r="DJ8" s="1691"/>
      <c r="DK8" s="1691"/>
      <c r="DL8" s="1706"/>
      <c r="DM8" s="1706"/>
      <c r="DN8" s="1706"/>
      <c r="DO8" s="1691"/>
      <c r="DP8" s="1691"/>
      <c r="DQ8" s="1691"/>
      <c r="DR8" s="1691"/>
      <c r="DS8" s="1691"/>
      <c r="DT8" s="1691"/>
      <c r="DU8" s="1691"/>
      <c r="DV8" s="1691"/>
      <c r="DW8" s="1691"/>
      <c r="DX8" s="1691"/>
      <c r="DY8" s="1706"/>
      <c r="DZ8" s="1706"/>
      <c r="EA8" s="1706"/>
      <c r="EB8" s="1691"/>
      <c r="EC8" s="1691"/>
      <c r="ED8" s="1706"/>
      <c r="EE8" s="1691"/>
      <c r="EF8" s="1691"/>
      <c r="EG8" s="1691"/>
      <c r="EH8" s="1691"/>
      <c r="EI8" s="1691"/>
      <c r="EJ8" s="1691"/>
      <c r="EK8" s="1706"/>
      <c r="EL8" s="1706"/>
      <c r="EM8" s="1691"/>
      <c r="EN8" s="1691"/>
      <c r="EO8" s="1691"/>
      <c r="EP8" s="1691"/>
      <c r="EQ8" s="1691"/>
      <c r="ER8" s="1691"/>
      <c r="ES8" s="1691"/>
      <c r="ET8" s="1706"/>
      <c r="EU8" s="1691"/>
      <c r="EV8" s="1691"/>
      <c r="EW8" s="1691"/>
      <c r="EX8" s="1691"/>
      <c r="EY8" s="1706"/>
      <c r="EZ8" s="1691"/>
      <c r="FA8" s="1691"/>
      <c r="FB8" s="1691"/>
      <c r="FC8" s="1706"/>
      <c r="FD8" s="1691"/>
      <c r="FE8" s="1691"/>
      <c r="FF8" s="1691"/>
      <c r="FG8" s="1706"/>
      <c r="FH8" s="1706"/>
      <c r="FI8" s="1706"/>
      <c r="FJ8" s="1706"/>
      <c r="FK8" s="1706"/>
      <c r="FL8" s="1706"/>
      <c r="FM8" s="1706"/>
      <c r="FN8" s="1706"/>
      <c r="FO8" s="1691"/>
      <c r="FP8" s="1691"/>
      <c r="FQ8" s="1706"/>
      <c r="FR8" s="1691"/>
    </row>
    <row r="9" spans="1:174" ht="409.5" customHeight="1" x14ac:dyDescent="0.25">
      <c r="A9" s="1678"/>
      <c r="B9" s="1672"/>
      <c r="C9" s="1675"/>
      <c r="D9" s="1672"/>
      <c r="E9" s="1681"/>
      <c r="F9" s="1681"/>
      <c r="G9" s="1684"/>
      <c r="H9" s="1687"/>
      <c r="I9" s="1688"/>
      <c r="J9" s="1681"/>
      <c r="K9" s="1681"/>
      <c r="L9" s="1681"/>
      <c r="M9" s="1681"/>
      <c r="N9" s="1681"/>
      <c r="O9" s="1681"/>
      <c r="P9" s="1681"/>
      <c r="Q9" s="1681"/>
      <c r="R9" s="1688"/>
      <c r="S9" s="1690"/>
      <c r="T9" s="1681"/>
      <c r="U9" s="1681"/>
      <c r="V9" s="1681"/>
      <c r="W9" s="1681"/>
      <c r="X9" s="1681"/>
      <c r="Y9" s="1681"/>
      <c r="Z9" s="1681"/>
      <c r="AA9" s="1681"/>
      <c r="AB9" s="1688"/>
      <c r="AC9" s="1690"/>
      <c r="AD9" s="1681"/>
      <c r="AE9" s="1681"/>
      <c r="AF9" s="1681"/>
      <c r="AG9" s="1681"/>
      <c r="AH9" s="1681"/>
      <c r="AI9" s="1681"/>
      <c r="AJ9" s="1681"/>
      <c r="AK9" s="1681"/>
      <c r="AL9" s="1688"/>
      <c r="AM9" s="1681"/>
      <c r="AN9" s="1681"/>
      <c r="AO9" s="1681"/>
      <c r="AP9" s="1681"/>
      <c r="AQ9" s="1681"/>
      <c r="AR9" s="1681"/>
      <c r="AS9" s="1681"/>
      <c r="AT9" s="1681"/>
      <c r="AU9" s="1688"/>
      <c r="AV9" s="1694"/>
      <c r="AW9" s="1694"/>
      <c r="AX9" s="1694"/>
      <c r="AY9" s="1694"/>
      <c r="AZ9" s="1697"/>
      <c r="BA9" s="1694"/>
      <c r="BB9" s="1691"/>
      <c r="BC9" s="1691"/>
      <c r="BD9" s="1691"/>
      <c r="BE9" s="1691"/>
      <c r="BF9" s="1691"/>
      <c r="BG9" s="1691"/>
      <c r="BH9" s="1698"/>
      <c r="BI9" s="1691"/>
      <c r="BJ9" s="1691"/>
      <c r="BK9" s="1691"/>
      <c r="BL9" s="1691"/>
      <c r="BM9" s="1691"/>
      <c r="BN9" s="1691"/>
      <c r="BO9" s="1691"/>
      <c r="BP9" s="1691"/>
      <c r="BQ9" s="1691"/>
      <c r="BR9" s="1691"/>
      <c r="BS9" s="1691"/>
      <c r="BT9" s="1691"/>
      <c r="BU9" s="1691"/>
      <c r="BV9" s="1691"/>
      <c r="BW9" s="1691"/>
      <c r="BX9" s="1691"/>
      <c r="BY9" s="1691"/>
      <c r="BZ9" s="1691"/>
      <c r="CA9" s="1691"/>
      <c r="CB9" s="1691"/>
      <c r="CC9" s="1691"/>
      <c r="CD9" s="1691"/>
      <c r="CE9" s="1691"/>
      <c r="CF9" s="1691"/>
      <c r="CG9" s="1691"/>
      <c r="CH9" s="1691"/>
      <c r="CI9" s="1691"/>
      <c r="CJ9" s="1691"/>
      <c r="CK9" s="1701"/>
      <c r="CL9" s="1701"/>
      <c r="CM9" s="1701"/>
      <c r="CN9" s="1701"/>
      <c r="CO9" s="1701"/>
      <c r="CP9" s="1701"/>
      <c r="CQ9" s="1701"/>
      <c r="CR9" s="1701"/>
      <c r="CS9" s="1701"/>
      <c r="CT9" s="1701"/>
      <c r="CU9" s="1701"/>
      <c r="CV9" s="1701"/>
      <c r="CW9" s="1701"/>
      <c r="CX9" s="1701"/>
      <c r="CY9" s="1701"/>
      <c r="CZ9" s="1701"/>
      <c r="DA9" s="1701"/>
      <c r="DB9" s="1691"/>
      <c r="DC9" s="1691"/>
      <c r="DD9" s="1691"/>
      <c r="DE9" s="1691"/>
      <c r="DF9" s="1691"/>
      <c r="DG9" s="1707"/>
      <c r="DH9" s="1691"/>
      <c r="DI9" s="1691"/>
      <c r="DJ9" s="1691"/>
      <c r="DK9" s="1691"/>
      <c r="DL9" s="1707"/>
      <c r="DM9" s="1707"/>
      <c r="DN9" s="1707"/>
      <c r="DO9" s="1691"/>
      <c r="DP9" s="1691"/>
      <c r="DQ9" s="1691"/>
      <c r="DR9" s="1691"/>
      <c r="DS9" s="1691"/>
      <c r="DT9" s="1691"/>
      <c r="DU9" s="1691"/>
      <c r="DV9" s="1691"/>
      <c r="DW9" s="1691"/>
      <c r="DX9" s="1691"/>
      <c r="DY9" s="1707"/>
      <c r="DZ9" s="1707"/>
      <c r="EA9" s="1707"/>
      <c r="EB9" s="1691"/>
      <c r="EC9" s="1691"/>
      <c r="ED9" s="1707"/>
      <c r="EE9" s="1691"/>
      <c r="EF9" s="1691"/>
      <c r="EG9" s="1691"/>
      <c r="EH9" s="1691"/>
      <c r="EI9" s="1691"/>
      <c r="EJ9" s="1691"/>
      <c r="EK9" s="1707"/>
      <c r="EL9" s="1707"/>
      <c r="EM9" s="1691"/>
      <c r="EN9" s="1691"/>
      <c r="EO9" s="1691"/>
      <c r="EP9" s="1691"/>
      <c r="EQ9" s="1691"/>
      <c r="ER9" s="1691"/>
      <c r="ES9" s="1691"/>
      <c r="ET9" s="1707"/>
      <c r="EU9" s="1691"/>
      <c r="EV9" s="1691"/>
      <c r="EW9" s="1691"/>
      <c r="EX9" s="1691"/>
      <c r="EY9" s="1707"/>
      <c r="EZ9" s="1691"/>
      <c r="FA9" s="1691"/>
      <c r="FB9" s="1691"/>
      <c r="FC9" s="1707"/>
      <c r="FD9" s="1691"/>
      <c r="FE9" s="1691"/>
      <c r="FF9" s="1691"/>
      <c r="FG9" s="1707"/>
      <c r="FH9" s="1707"/>
      <c r="FI9" s="1707"/>
      <c r="FJ9" s="1707"/>
      <c r="FK9" s="1707"/>
      <c r="FL9" s="1707"/>
      <c r="FM9" s="1707"/>
      <c r="FN9" s="1707"/>
      <c r="FO9" s="1691"/>
      <c r="FP9" s="1691"/>
      <c r="FQ9" s="1707"/>
      <c r="FR9" s="1691"/>
    </row>
    <row r="10" spans="1:174" ht="33" x14ac:dyDescent="0.25">
      <c r="A10" s="1214" t="s">
        <v>4194</v>
      </c>
      <c r="B10" s="1214" t="s">
        <v>4735</v>
      </c>
      <c r="C10" s="1376">
        <f>SUM(C11+C22+C33+C44+C52+C57+C63+C67+C68+C73+C74+C80+C81+C82+C94)</f>
        <v>1456</v>
      </c>
      <c r="D10" s="1214" t="s">
        <v>4804</v>
      </c>
      <c r="E10" s="1215">
        <f>SUM(E11+E22+E33+E44+E52+E57+E63+E67+E68+E73+E74+E80+E81+E82+E94)</f>
        <v>161</v>
      </c>
      <c r="F10" s="1215">
        <f>SUM(F11+F22+F33+F44+F52+F57+F63+F67+F68+F73+F74+F80+F81+F82+F94)</f>
        <v>64</v>
      </c>
      <c r="G10" s="1215">
        <f>SUM(G11+G22+G33+G44+G52+G57+G63+G67+G68+G73+G74+G80+G81+G82+G94)</f>
        <v>274</v>
      </c>
      <c r="H10" s="1215">
        <f>SUM(H11+H22+H33+H44+H52+H57+H63+H67+H68+H73+H74+H80+H81+H82+H94)</f>
        <v>1480</v>
      </c>
      <c r="I10" s="1215">
        <f>SUM(I11+I22+I33+I44+I52+I57+I63+I67+I68+I73+I74+I80+I81+I82+I94)</f>
        <v>1979</v>
      </c>
      <c r="J10" s="1215">
        <f t="shared" ref="J10:BA10" si="0">SUM(J11+J22+J33+J44+J52+J57+J63+J67+J68+J73+J74+J80+J81+J82+J94)</f>
        <v>150</v>
      </c>
      <c r="K10" s="1215">
        <f t="shared" si="0"/>
        <v>45</v>
      </c>
      <c r="L10" s="1215">
        <f t="shared" si="0"/>
        <v>43</v>
      </c>
      <c r="M10" s="1215">
        <f t="shared" si="0"/>
        <v>163</v>
      </c>
      <c r="N10" s="1215">
        <f t="shared" si="0"/>
        <v>206</v>
      </c>
      <c r="O10" s="1215">
        <f t="shared" si="0"/>
        <v>612</v>
      </c>
      <c r="P10" s="1215">
        <f t="shared" si="0"/>
        <v>740</v>
      </c>
      <c r="Q10" s="1215">
        <f t="shared" si="0"/>
        <v>1352</v>
      </c>
      <c r="R10" s="1215">
        <f t="shared" si="0"/>
        <v>1753</v>
      </c>
      <c r="S10" s="1216">
        <f>R10/I10</f>
        <v>0.8858009095502779</v>
      </c>
      <c r="T10" s="1215">
        <f t="shared" si="0"/>
        <v>26</v>
      </c>
      <c r="U10" s="1215">
        <f t="shared" si="0"/>
        <v>9</v>
      </c>
      <c r="V10" s="1215">
        <f t="shared" si="0"/>
        <v>0</v>
      </c>
      <c r="W10" s="1215">
        <f>SUM(W11+W22+W33+W44+W52+W57+W63+W67+W68+W73+W74+W80+W81+W82+W94)</f>
        <v>32</v>
      </c>
      <c r="X10" s="1215">
        <f t="shared" si="0"/>
        <v>32</v>
      </c>
      <c r="Y10" s="1215">
        <f t="shared" si="0"/>
        <v>0</v>
      </c>
      <c r="Z10" s="1215">
        <f t="shared" si="0"/>
        <v>120</v>
      </c>
      <c r="AA10" s="1215">
        <f t="shared" si="0"/>
        <v>120</v>
      </c>
      <c r="AB10" s="1215">
        <f t="shared" si="0"/>
        <v>187</v>
      </c>
      <c r="AC10" s="1216">
        <f>AB10/R10</f>
        <v>0.10667427267541357</v>
      </c>
      <c r="AD10" s="1215">
        <f t="shared" si="0"/>
        <v>61</v>
      </c>
      <c r="AE10" s="1215">
        <f t="shared" si="0"/>
        <v>9</v>
      </c>
      <c r="AF10" s="1215">
        <f t="shared" si="0"/>
        <v>0</v>
      </c>
      <c r="AG10" s="1215">
        <f t="shared" si="0"/>
        <v>81</v>
      </c>
      <c r="AH10" s="1215">
        <f t="shared" si="0"/>
        <v>81</v>
      </c>
      <c r="AI10" s="1215">
        <f t="shared" si="0"/>
        <v>0</v>
      </c>
      <c r="AJ10" s="1215">
        <f t="shared" si="0"/>
        <v>434</v>
      </c>
      <c r="AK10" s="1215">
        <f t="shared" si="0"/>
        <v>434</v>
      </c>
      <c r="AL10" s="1215">
        <f t="shared" si="0"/>
        <v>585</v>
      </c>
      <c r="AM10" s="1215">
        <f t="shared" si="0"/>
        <v>46</v>
      </c>
      <c r="AN10" s="1215">
        <f t="shared" si="0"/>
        <v>18</v>
      </c>
      <c r="AO10" s="1215">
        <f t="shared" si="0"/>
        <v>4</v>
      </c>
      <c r="AP10" s="1215">
        <f t="shared" si="0"/>
        <v>22</v>
      </c>
      <c r="AQ10" s="1215">
        <f t="shared" si="0"/>
        <v>26</v>
      </c>
      <c r="AR10" s="1215">
        <f t="shared" si="0"/>
        <v>195</v>
      </c>
      <c r="AS10" s="1215">
        <f t="shared" si="0"/>
        <v>83</v>
      </c>
      <c r="AT10" s="1215">
        <f t="shared" si="0"/>
        <v>278</v>
      </c>
      <c r="AU10" s="1215">
        <f t="shared" si="0"/>
        <v>368</v>
      </c>
      <c r="AV10" s="1215">
        <f t="shared" si="0"/>
        <v>21</v>
      </c>
      <c r="AW10" s="1215">
        <f t="shared" si="0"/>
        <v>513</v>
      </c>
      <c r="AX10" s="1215">
        <f t="shared" si="0"/>
        <v>19</v>
      </c>
      <c r="AY10" s="1215">
        <f t="shared" si="0"/>
        <v>54</v>
      </c>
      <c r="AZ10" s="1215">
        <f t="shared" si="0"/>
        <v>0</v>
      </c>
      <c r="BA10" s="1215">
        <f t="shared" si="0"/>
        <v>6</v>
      </c>
      <c r="BB10" s="1217">
        <f>SUM(BB11:BB94)</f>
        <v>443</v>
      </c>
      <c r="BC10" s="1217">
        <f t="shared" ref="BC10:DN10" si="1">SUM(BC11:BC94)</f>
        <v>22</v>
      </c>
      <c r="BD10" s="1217">
        <f t="shared" si="1"/>
        <v>52</v>
      </c>
      <c r="BE10" s="1217">
        <f t="shared" si="1"/>
        <v>18</v>
      </c>
      <c r="BF10" s="1217">
        <f t="shared" si="1"/>
        <v>12</v>
      </c>
      <c r="BG10" s="1217">
        <f t="shared" si="1"/>
        <v>0</v>
      </c>
      <c r="BH10" s="1217">
        <f t="shared" si="1"/>
        <v>3</v>
      </c>
      <c r="BI10" s="1217">
        <f t="shared" si="1"/>
        <v>21</v>
      </c>
      <c r="BJ10" s="1217">
        <f t="shared" si="1"/>
        <v>0</v>
      </c>
      <c r="BK10" s="1217">
        <f t="shared" si="1"/>
        <v>18</v>
      </c>
      <c r="BL10" s="1217">
        <f t="shared" si="1"/>
        <v>0</v>
      </c>
      <c r="BM10" s="1217">
        <f t="shared" si="1"/>
        <v>8</v>
      </c>
      <c r="BN10" s="1217">
        <f t="shared" si="1"/>
        <v>5</v>
      </c>
      <c r="BO10" s="1217">
        <f t="shared" si="1"/>
        <v>0</v>
      </c>
      <c r="BP10" s="1217">
        <f t="shared" si="1"/>
        <v>0</v>
      </c>
      <c r="BQ10" s="1217">
        <f t="shared" si="1"/>
        <v>0</v>
      </c>
      <c r="BR10" s="1217">
        <f t="shared" si="1"/>
        <v>0</v>
      </c>
      <c r="BS10" s="1217">
        <f t="shared" si="1"/>
        <v>0</v>
      </c>
      <c r="BT10" s="1217">
        <f t="shared" si="1"/>
        <v>0</v>
      </c>
      <c r="BU10" s="1217">
        <f t="shared" si="1"/>
        <v>0</v>
      </c>
      <c r="BV10" s="1217">
        <f t="shared" si="1"/>
        <v>0</v>
      </c>
      <c r="BW10" s="1217">
        <f t="shared" si="1"/>
        <v>0</v>
      </c>
      <c r="BX10" s="1217">
        <f t="shared" si="1"/>
        <v>0</v>
      </c>
      <c r="BY10" s="1217">
        <f t="shared" si="1"/>
        <v>0</v>
      </c>
      <c r="BZ10" s="1217">
        <f t="shared" si="1"/>
        <v>0</v>
      </c>
      <c r="CA10" s="1217">
        <f t="shared" si="1"/>
        <v>0</v>
      </c>
      <c r="CB10" s="1217">
        <f t="shared" si="1"/>
        <v>0</v>
      </c>
      <c r="CC10" s="1217">
        <f t="shared" si="1"/>
        <v>0</v>
      </c>
      <c r="CD10" s="1217">
        <f t="shared" si="1"/>
        <v>0</v>
      </c>
      <c r="CE10" s="1217">
        <f t="shared" si="1"/>
        <v>0</v>
      </c>
      <c r="CF10" s="1217">
        <f t="shared" si="1"/>
        <v>0</v>
      </c>
      <c r="CG10" s="1217">
        <f t="shared" si="1"/>
        <v>0</v>
      </c>
      <c r="CH10" s="1217">
        <f t="shared" si="1"/>
        <v>0</v>
      </c>
      <c r="CI10" s="1217">
        <f t="shared" si="1"/>
        <v>0</v>
      </c>
      <c r="CJ10" s="1217">
        <f t="shared" si="1"/>
        <v>0</v>
      </c>
      <c r="CK10" s="1217">
        <f t="shared" si="1"/>
        <v>6</v>
      </c>
      <c r="CL10" s="1217">
        <f t="shared" si="1"/>
        <v>0</v>
      </c>
      <c r="CM10" s="1217">
        <f t="shared" si="1"/>
        <v>0</v>
      </c>
      <c r="CN10" s="1217">
        <f t="shared" si="1"/>
        <v>0</v>
      </c>
      <c r="CO10" s="1217">
        <f t="shared" si="1"/>
        <v>0</v>
      </c>
      <c r="CP10" s="1217">
        <f t="shared" si="1"/>
        <v>0</v>
      </c>
      <c r="CQ10" s="1217">
        <f t="shared" si="1"/>
        <v>6</v>
      </c>
      <c r="CR10" s="1217">
        <f t="shared" si="1"/>
        <v>0</v>
      </c>
      <c r="CS10" s="1217">
        <f t="shared" si="1"/>
        <v>0</v>
      </c>
      <c r="CT10" s="1217">
        <f t="shared" si="1"/>
        <v>0</v>
      </c>
      <c r="CU10" s="1217">
        <f t="shared" si="1"/>
        <v>0</v>
      </c>
      <c r="CV10" s="1217">
        <f t="shared" si="1"/>
        <v>0</v>
      </c>
      <c r="CW10" s="1217">
        <f t="shared" si="1"/>
        <v>0</v>
      </c>
      <c r="CX10" s="1217">
        <f t="shared" si="1"/>
        <v>0</v>
      </c>
      <c r="CY10" s="1217">
        <f t="shared" si="1"/>
        <v>0</v>
      </c>
      <c r="CZ10" s="1217">
        <f t="shared" si="1"/>
        <v>0</v>
      </c>
      <c r="DA10" s="1217">
        <f t="shared" si="1"/>
        <v>0</v>
      </c>
      <c r="DB10" s="1217">
        <f t="shared" si="1"/>
        <v>1</v>
      </c>
      <c r="DC10" s="1217">
        <f t="shared" si="1"/>
        <v>0</v>
      </c>
      <c r="DD10" s="1217">
        <f t="shared" si="1"/>
        <v>228</v>
      </c>
      <c r="DE10" s="1217">
        <f t="shared" si="1"/>
        <v>0</v>
      </c>
      <c r="DF10" s="1217">
        <f t="shared" si="1"/>
        <v>0</v>
      </c>
      <c r="DG10" s="1217">
        <f t="shared" si="1"/>
        <v>68</v>
      </c>
      <c r="DH10" s="1217">
        <f t="shared" si="1"/>
        <v>12</v>
      </c>
      <c r="DI10" s="1217">
        <f t="shared" si="1"/>
        <v>4</v>
      </c>
      <c r="DJ10" s="1217">
        <f t="shared" si="1"/>
        <v>12</v>
      </c>
      <c r="DK10" s="1217">
        <f t="shared" si="1"/>
        <v>31</v>
      </c>
      <c r="DL10" s="1217">
        <f t="shared" si="1"/>
        <v>2</v>
      </c>
      <c r="DM10" s="1217">
        <f t="shared" si="1"/>
        <v>38</v>
      </c>
      <c r="DN10" s="1217">
        <f t="shared" si="1"/>
        <v>16</v>
      </c>
      <c r="DO10" s="1217">
        <f t="shared" ref="DO10:FR10" si="2">SUM(DO11:DO94)</f>
        <v>0</v>
      </c>
      <c r="DP10" s="1217">
        <f t="shared" si="2"/>
        <v>2</v>
      </c>
      <c r="DQ10" s="1217">
        <f t="shared" si="2"/>
        <v>6</v>
      </c>
      <c r="DR10" s="1217">
        <f t="shared" si="2"/>
        <v>2</v>
      </c>
      <c r="DS10" s="1217">
        <f t="shared" si="2"/>
        <v>0</v>
      </c>
      <c r="DT10" s="1217">
        <f t="shared" si="2"/>
        <v>0</v>
      </c>
      <c r="DU10" s="1217">
        <f t="shared" si="2"/>
        <v>6</v>
      </c>
      <c r="DV10" s="1217">
        <f t="shared" si="2"/>
        <v>0</v>
      </c>
      <c r="DW10" s="1217">
        <f t="shared" si="2"/>
        <v>0</v>
      </c>
      <c r="DX10" s="1217">
        <f t="shared" si="2"/>
        <v>0</v>
      </c>
      <c r="DY10" s="1217">
        <f t="shared" si="2"/>
        <v>2</v>
      </c>
      <c r="DZ10" s="1217">
        <f t="shared" si="2"/>
        <v>4</v>
      </c>
      <c r="EA10" s="1217">
        <f t="shared" si="2"/>
        <v>2</v>
      </c>
      <c r="EB10" s="1217">
        <f t="shared" si="2"/>
        <v>0</v>
      </c>
      <c r="EC10" s="1217">
        <f t="shared" si="2"/>
        <v>1</v>
      </c>
      <c r="ED10" s="1217">
        <f t="shared" si="2"/>
        <v>2</v>
      </c>
      <c r="EE10" s="1217">
        <f t="shared" si="2"/>
        <v>1</v>
      </c>
      <c r="EF10" s="1217">
        <f t="shared" si="2"/>
        <v>1</v>
      </c>
      <c r="EG10" s="1217">
        <f t="shared" si="2"/>
        <v>0</v>
      </c>
      <c r="EH10" s="1217">
        <f t="shared" si="2"/>
        <v>16</v>
      </c>
      <c r="EI10" s="1217">
        <f t="shared" si="2"/>
        <v>2</v>
      </c>
      <c r="EJ10" s="1217">
        <f t="shared" si="2"/>
        <v>0</v>
      </c>
      <c r="EK10" s="1217">
        <f t="shared" si="2"/>
        <v>2</v>
      </c>
      <c r="EL10" s="1217">
        <f t="shared" si="2"/>
        <v>6</v>
      </c>
      <c r="EM10" s="1217">
        <f t="shared" si="2"/>
        <v>0</v>
      </c>
      <c r="EN10" s="1217">
        <f t="shared" si="2"/>
        <v>0</v>
      </c>
      <c r="EO10" s="1217">
        <f t="shared" si="2"/>
        <v>0</v>
      </c>
      <c r="EP10" s="1217">
        <f t="shared" si="2"/>
        <v>0</v>
      </c>
      <c r="EQ10" s="1217">
        <f t="shared" si="2"/>
        <v>0</v>
      </c>
      <c r="ER10" s="1217">
        <f t="shared" si="2"/>
        <v>0</v>
      </c>
      <c r="ES10" s="1217">
        <f t="shared" si="2"/>
        <v>0</v>
      </c>
      <c r="ET10" s="1217">
        <f t="shared" si="2"/>
        <v>2</v>
      </c>
      <c r="EU10" s="1217">
        <f t="shared" si="2"/>
        <v>0</v>
      </c>
      <c r="EV10" s="1217">
        <f t="shared" si="2"/>
        <v>0</v>
      </c>
      <c r="EW10" s="1217">
        <f t="shared" si="2"/>
        <v>0</v>
      </c>
      <c r="EX10" s="1217">
        <f t="shared" si="2"/>
        <v>0</v>
      </c>
      <c r="EY10" s="1217">
        <f t="shared" si="2"/>
        <v>0</v>
      </c>
      <c r="EZ10" s="1217">
        <f t="shared" si="2"/>
        <v>0</v>
      </c>
      <c r="FA10" s="1217">
        <f t="shared" si="2"/>
        <v>0</v>
      </c>
      <c r="FB10" s="1217">
        <f t="shared" si="2"/>
        <v>0</v>
      </c>
      <c r="FC10" s="1217">
        <f t="shared" si="2"/>
        <v>2</v>
      </c>
      <c r="FD10" s="1217">
        <f t="shared" si="2"/>
        <v>0</v>
      </c>
      <c r="FE10" s="1217">
        <f t="shared" si="2"/>
        <v>0</v>
      </c>
      <c r="FF10" s="1217">
        <f t="shared" si="2"/>
        <v>0</v>
      </c>
      <c r="FG10" s="1217">
        <f t="shared" si="2"/>
        <v>2</v>
      </c>
      <c r="FH10" s="1217">
        <f t="shared" si="2"/>
        <v>151</v>
      </c>
      <c r="FI10" s="1217">
        <f t="shared" si="2"/>
        <v>14</v>
      </c>
      <c r="FJ10" s="1217">
        <f t="shared" si="2"/>
        <v>21</v>
      </c>
      <c r="FK10" s="1217">
        <f t="shared" si="2"/>
        <v>7</v>
      </c>
      <c r="FL10" s="1217">
        <f t="shared" si="2"/>
        <v>3</v>
      </c>
      <c r="FM10" s="1217">
        <f t="shared" si="2"/>
        <v>6</v>
      </c>
      <c r="FN10" s="1217">
        <f t="shared" si="2"/>
        <v>2</v>
      </c>
      <c r="FO10" s="1217">
        <f t="shared" si="2"/>
        <v>0</v>
      </c>
      <c r="FP10" s="1217">
        <f t="shared" si="2"/>
        <v>0</v>
      </c>
      <c r="FQ10" s="1217">
        <f t="shared" si="2"/>
        <v>4</v>
      </c>
      <c r="FR10" s="1217">
        <f t="shared" si="2"/>
        <v>0</v>
      </c>
    </row>
    <row r="11" spans="1:174" ht="33" x14ac:dyDescent="0.25">
      <c r="A11" s="1218" t="s">
        <v>63</v>
      </c>
      <c r="B11" s="1265" t="s">
        <v>4735</v>
      </c>
      <c r="C11" s="1265">
        <f>R11</f>
        <v>32</v>
      </c>
      <c r="D11" s="1265" t="s">
        <v>4804</v>
      </c>
      <c r="E11" s="1219">
        <f>COUNTIFS(ШТАТ!$AL:$AL,'БЧС Дерябин'!$A11,ШТАТ!$AK:$AK,1)</f>
        <v>28</v>
      </c>
      <c r="F11" s="1219">
        <f>COUNTIFS(ШТАТ!$AL:$AL,'БЧС Дерябин'!$A11,ШТАТ!$AK:$AK,2)</f>
        <v>2</v>
      </c>
      <c r="G11" s="1219">
        <f>COUNTIFS(ШТАТ!$AL:$AL,'БЧС Дерябин'!$A11,ШТАТ!$AK:$AK,3)</f>
        <v>1</v>
      </c>
      <c r="H11" s="1219">
        <f>COUNTIFS(ШТАТ!$AL:$AL,'БЧС Дерябин'!$A11,ШТАТ!$AK:$AK,4)</f>
        <v>5</v>
      </c>
      <c r="I11" s="1221">
        <f t="shared" ref="I11:I94" si="3">SUM(E11:H11)</f>
        <v>36</v>
      </c>
      <c r="J11" s="1219">
        <f>COUNTIFS(ШТАТ!$AL:$AL,$A11,ШТАТ!$AJ:$AJ,"о")</f>
        <v>27</v>
      </c>
      <c r="K11" s="1219">
        <f>COUNTIFS(ШТАТ!$AL:$AL,$A11,ШТАТ!$AJ:$AJ,"п")</f>
        <v>2</v>
      </c>
      <c r="L11" s="1219">
        <f>COUNTIFS(ШТАТ!$AL:$AL,$A11,ШТАТ!AK:AK,3,ШТАТ!AJ:AJ,"с/с")</f>
        <v>0</v>
      </c>
      <c r="M11" s="1219">
        <f>COUNTIFS(ШТАТ!$AL:$AL,$A11,ШТАТ!AK:AK,3,ШТАТ!AJ:AJ,"к/с")</f>
        <v>0</v>
      </c>
      <c r="N11" s="1222">
        <f>SUM(L11:M11)</f>
        <v>0</v>
      </c>
      <c r="O11" s="1220">
        <f>COUNTIFS(ШТАТ!$AL:$AL,$A11,ШТАТ!AK:AK,4,ШТАТ!AJ:AJ,"с/с")</f>
        <v>2</v>
      </c>
      <c r="P11" s="1220">
        <f>COUNTIFS(ШТАТ!$AL:$AL,$A11,ШТАТ!AK:AK,4,ШТАТ!AJ:AJ,"к/с")</f>
        <v>1</v>
      </c>
      <c r="Q11" s="1222">
        <f>SUM(O11:P11)</f>
        <v>3</v>
      </c>
      <c r="R11" s="1221">
        <f>SUM(Q11,N11,J11:K11)</f>
        <v>32</v>
      </c>
      <c r="S11" s="1223">
        <f>R11/I11</f>
        <v>0.88888888888888884</v>
      </c>
      <c r="T11" s="1219">
        <f>COUNTIFS(ШТАТ!$AL:$AL,$A11,ШТАТ!$AJ:$AJ,"о",ШТАТ!$X:$X,"выполнение специальных задач")</f>
        <v>2</v>
      </c>
      <c r="U11" s="1219">
        <f>COUNTIFS(ШТАТ!$AL:$AL,$A11,ШТАТ!$AJ:$AJ,"п",ШТАТ!$X:$X,"выполнение специальных задач")</f>
        <v>0</v>
      </c>
      <c r="V11" s="1219">
        <f>COUNTIFS(ШТАТ!$AL:$AL,$A11,ШТАТ!$AK:$AK,3,ШТАТ!$AJ:$AJ,"с/с",ШТАТ!$X:$X,"выполнение специальных задач")</f>
        <v>0</v>
      </c>
      <c r="W11" s="1219">
        <f>COUNTIFS(ШТАТ!$AL:$AL,$A11,ШТАТ!$AK:$AK,3,ШТАТ!$AJ:$AJ,"к/с",ШТАТ!$X:$X,"выполнение специальных задач")</f>
        <v>0</v>
      </c>
      <c r="X11" s="1222">
        <f t="shared" ref="X11:X93" si="4">SUM(V11:W11)</f>
        <v>0</v>
      </c>
      <c r="Y11" s="1219">
        <f>COUNTIFS(ШТАТ!$AL:$AL,$A11,ШТАТ!$AK:$AK,4,ШТАТ!$AJ:$AJ,"с/с",ШТАТ!$X:$X,"выполнение специальных задач")</f>
        <v>0</v>
      </c>
      <c r="Z11" s="1219">
        <f>COUNTIFS(ШТАТ!$AL:$AL,$A11,ШТАТ!$AK:$AK,4,ШТАТ!$AJ:$AJ,"к/с",ШТАТ!$X:$X,"выполнение специальных задач")</f>
        <v>0</v>
      </c>
      <c r="AA11" s="1222">
        <f t="shared" ref="AA11:AA93" si="5">SUM(Y11:Z11)</f>
        <v>0</v>
      </c>
      <c r="AB11" s="1221">
        <f>SUM(AA11,X11,T11:U11)</f>
        <v>2</v>
      </c>
      <c r="AC11" s="1224">
        <f>AB11/R11</f>
        <v>6.25E-2</v>
      </c>
      <c r="AD11" s="1219">
        <f>COUNTIFS(ШТАТ!$AL:$AL,$A11,ШТАТ!$AK:$AK,1,ШТАТ!$AJ:$AJ,"о",ШТАТ!$W:$W,"г. Белгород")</f>
        <v>14</v>
      </c>
      <c r="AE11" s="1219">
        <f>COUNTIFS(ШТАТ!$AL:$AL,$A11,ШТАТ!$AK:$AK,2,ШТАТ!$AJ:$AJ,"п",ШТАТ!$W:$W,"г. Белгород")</f>
        <v>1</v>
      </c>
      <c r="AF11" s="1219">
        <f>COUNTIFS(ШТАТ!$AL:$AL,$A11,ШТАТ!$AK:$AK,3,ШТАТ!$AJ:$AJ,"с/с",ШТАТ!$W:$W,"г. Белгород")</f>
        <v>0</v>
      </c>
      <c r="AG11" s="1219">
        <f>COUNTIFS(ШТАТ!$AL:$AL,$A11,ШТАТ!$AK:$AK,3,ШТАТ!$AJ:$AJ,"к/с",ШТАТ!$W:$W,"г. Белгород")</f>
        <v>0</v>
      </c>
      <c r="AH11" s="1222">
        <f t="shared" ref="AH11:AH94" si="6">SUM(AF11:AG11)</f>
        <v>0</v>
      </c>
      <c r="AI11" s="1219">
        <f>COUNTIFS(ШТАТ!$AL:$AL,$A11,ШТАТ!$AK:$AK,4,ШТАТ!$AJ:$AJ,"с/с",ШТАТ!$W:$W,"г. Белгород")</f>
        <v>0</v>
      </c>
      <c r="AJ11" s="1219">
        <f>COUNTIFS(ШТАТ!$AL:$AL,$A11,ШТАТ!$AK:$AK,4,ШТАТ!$AJ:$AJ,"к/с",ШТАТ!$W:$W,"г. Белгород")</f>
        <v>0</v>
      </c>
      <c r="AK11" s="1222">
        <f t="shared" ref="AK11:AK93" si="7">SUM(AI11:AJ11)</f>
        <v>0</v>
      </c>
      <c r="AL11" s="1221">
        <f>SUM(AK11,AH11,AD11:AE11)</f>
        <v>15</v>
      </c>
      <c r="AM11" s="1219">
        <f>COUNTIFS(ШТАТ!$AL:$AL,$A11,ШТАТ!$AK:$AK,1,ШТАТ!$AJ:$AJ,"о",ШТАТ!$U:$U,"")</f>
        <v>7</v>
      </c>
      <c r="AN11" s="1219">
        <f>COUNTIFS(ШТАТ!$AL:$AL,$A11,ШТАТ!$AK:$AK,2,ШТАТ!$AJ:$AJ,"п",ШТАТ!$U:$U,"")</f>
        <v>1</v>
      </c>
      <c r="AO11" s="1219">
        <f>COUNTIFS(ШТАТ!$AL:$AL,$A11,ШТАТ!$AK:$AK,3,ШТАТ!$AJ:$AJ,"с/с",ШТАТ!$U:$U,"")</f>
        <v>0</v>
      </c>
      <c r="AP11" s="1219">
        <f>COUNTIFS(ШТАТ!$AL:$AL,$A11,ШТАТ!$AK:$AK,3,ШТАТ!$AJ:$AJ,"к/с",ШТАТ!$U:$U,"")</f>
        <v>0</v>
      </c>
      <c r="AQ11" s="1222">
        <f>SUM(AO11:AP11)</f>
        <v>0</v>
      </c>
      <c r="AR11" s="1219">
        <f>COUNTIFS(ШТАТ!$AL:$AL,$A11,ШТАТ!$AK:$AK,4,ШТАТ!$AJ:$AJ,"с/с",ШТАТ!$U:$U,"")</f>
        <v>2</v>
      </c>
      <c r="AS11" s="1219">
        <f>COUNTIFS(ШТАТ!$AL:$AL,$A11,ШТАТ!$AK:$AK,4,ШТАТ!$AJ:$AJ,"к/с",ШТАТ!$U:$U,"")</f>
        <v>1</v>
      </c>
      <c r="AT11" s="1222">
        <f t="shared" ref="AT11:AT94" si="8">SUM(AR11:AS11)</f>
        <v>3</v>
      </c>
      <c r="AU11" s="1221">
        <f>SUM(AT11,AQ11,AM11:AN11)</f>
        <v>11</v>
      </c>
      <c r="AV11" s="1219">
        <f>COUNTIFS(ШТАТ!$AL:$AL,$A11,ШТАТ!$U:$U,"госп")</f>
        <v>0</v>
      </c>
      <c r="AW11" s="1225">
        <f t="shared" ref="AW11:AW93" si="9">SUM(R11-AB11-AL11-AU11-AV11-AX11-AY11-AZ11-BA11)</f>
        <v>4</v>
      </c>
      <c r="AX11" s="1219">
        <f>COUNTIFS(ШТАТ!$AL:$AL,$A11,ШТАТ!$U:$U,"отпуск")</f>
        <v>0</v>
      </c>
      <c r="AY11" s="1219">
        <f>COUNTIFS(ШТАТ!$AL:$AL,$A11,ШТАТ!$U:$U,"соч")</f>
        <v>0</v>
      </c>
      <c r="AZ11" s="1225"/>
      <c r="BA11" s="1219">
        <f>COUNTIFS(ШТАТ!$AL:$AL,$A11,ШТАТ!$U:$U,"МП")</f>
        <v>0</v>
      </c>
      <c r="BB11" s="1226">
        <v>12</v>
      </c>
      <c r="BC11" s="1226"/>
      <c r="BD11" s="1219">
        <v>12</v>
      </c>
      <c r="BE11" s="1226"/>
      <c r="BF11" s="1226"/>
      <c r="BG11" s="1226"/>
      <c r="BH11" s="1226"/>
      <c r="BI11" s="1226"/>
      <c r="BJ11" s="1226"/>
      <c r="BK11" s="1226"/>
      <c r="BL11" s="1226"/>
      <c r="BM11" s="1226"/>
      <c r="BN11" s="1226"/>
      <c r="BO11" s="1226"/>
      <c r="BP11" s="1226"/>
      <c r="BQ11" s="1226"/>
      <c r="BR11" s="1226"/>
      <c r="BS11" s="1226"/>
      <c r="BT11" s="1226"/>
      <c r="BU11" s="1226"/>
      <c r="BV11" s="1226"/>
      <c r="BW11" s="1226"/>
      <c r="BX11" s="1226"/>
      <c r="BY11" s="1226"/>
      <c r="BZ11" s="1226"/>
      <c r="CA11" s="1226"/>
      <c r="CB11" s="1226"/>
      <c r="CC11" s="1226"/>
      <c r="CD11" s="1226"/>
      <c r="CE11" s="1226"/>
      <c r="CF11" s="1226"/>
      <c r="CG11" s="1226"/>
      <c r="CH11" s="1226"/>
      <c r="CI11" s="1226"/>
      <c r="CJ11" s="1226"/>
      <c r="CK11" s="1226"/>
      <c r="CL11" s="1226"/>
      <c r="CM11" s="1226"/>
      <c r="CN11" s="1226"/>
      <c r="CO11" s="1226"/>
      <c r="CP11" s="1226"/>
      <c r="CQ11" s="1226"/>
      <c r="CR11" s="1226"/>
      <c r="CS11" s="1226"/>
      <c r="CT11" s="1226"/>
      <c r="CU11" s="1226"/>
      <c r="CV11" s="1226"/>
      <c r="CW11" s="1226"/>
      <c r="CX11" s="1226"/>
      <c r="CY11" s="1226"/>
      <c r="CZ11" s="1226"/>
      <c r="DA11" s="1226"/>
      <c r="DB11" s="1226"/>
      <c r="DC11" s="1226"/>
      <c r="DD11" s="1226"/>
      <c r="DE11" s="1226"/>
      <c r="DF11" s="1226"/>
      <c r="DG11" s="1226"/>
      <c r="DH11" s="1226"/>
      <c r="DI11" s="1226"/>
      <c r="DJ11" s="1226"/>
      <c r="DK11" s="1226"/>
      <c r="DL11" s="1226"/>
      <c r="DM11" s="1226"/>
      <c r="DN11" s="1226"/>
      <c r="DO11" s="1226"/>
      <c r="DP11" s="1226"/>
      <c r="DQ11" s="1226"/>
      <c r="DR11" s="1226"/>
      <c r="DS11" s="1226"/>
      <c r="DT11" s="1226"/>
      <c r="DU11" s="1226"/>
      <c r="DV11" s="1226"/>
      <c r="DW11" s="1226"/>
      <c r="DX11" s="1226"/>
      <c r="DY11" s="1226"/>
      <c r="DZ11" s="1226"/>
      <c r="EA11" s="1226"/>
      <c r="EB11" s="1226"/>
      <c r="EC11" s="1226"/>
      <c r="ED11" s="1226"/>
      <c r="EE11" s="1226"/>
      <c r="EF11" s="1226"/>
      <c r="EG11" s="1226"/>
      <c r="EH11" s="1226"/>
      <c r="EI11" s="1226"/>
      <c r="EJ11" s="1226"/>
      <c r="EK11" s="1226"/>
      <c r="EL11" s="1226"/>
      <c r="EM11" s="1226"/>
      <c r="EN11" s="1226"/>
      <c r="EO11" s="1226"/>
      <c r="EP11" s="1226"/>
      <c r="EQ11" s="1226"/>
      <c r="ER11" s="1226"/>
      <c r="ES11" s="1226"/>
      <c r="ET11" s="1226"/>
      <c r="EU11" s="1226"/>
      <c r="EV11" s="1226"/>
      <c r="EW11" s="1226"/>
      <c r="EX11" s="1226"/>
      <c r="EY11" s="1226"/>
      <c r="EZ11" s="1226"/>
      <c r="FA11" s="1226"/>
      <c r="FB11" s="1226"/>
      <c r="FC11" s="1226"/>
      <c r="FD11" s="1226"/>
      <c r="FE11" s="1226"/>
      <c r="FF11" s="1226"/>
      <c r="FG11" s="1226"/>
      <c r="FH11" s="1226"/>
      <c r="FI11" s="1226"/>
      <c r="FJ11" s="1226"/>
      <c r="FK11" s="1226"/>
      <c r="FL11" s="1226"/>
      <c r="FM11" s="1226"/>
      <c r="FN11" s="1226"/>
      <c r="FO11" s="1226"/>
      <c r="FP11" s="1226"/>
      <c r="FQ11" s="1226"/>
      <c r="FR11" s="1226"/>
    </row>
    <row r="12" spans="1:174" ht="33" x14ac:dyDescent="0.25">
      <c r="A12" s="1227" t="s">
        <v>266</v>
      </c>
      <c r="B12" s="1227"/>
      <c r="C12" s="1275">
        <f t="shared" ref="C12:C21" si="10">AL12</f>
        <v>4</v>
      </c>
      <c r="D12" s="1276" t="s">
        <v>56</v>
      </c>
      <c r="E12" s="1219">
        <f>COUNTIFS(ШТАТ!$AL:$AL,'БЧС Дерябин'!$A12,ШТАТ!$AK:$AK,1)</f>
        <v>4</v>
      </c>
      <c r="F12" s="1219">
        <f>COUNTIFS(ШТАТ!$AL:$AL,'БЧС Дерябин'!$A12,ШТАТ!$AK:$AK,2)</f>
        <v>0</v>
      </c>
      <c r="G12" s="1219">
        <f>COUNTIFS(ШТАТ!$AL:$AL,'БЧС Дерябин'!$A12,ШТАТ!$AK:$AK,3)</f>
        <v>1</v>
      </c>
      <c r="H12" s="1219">
        <f>COUNTIFS(ШТАТ!$AL:$AL,'БЧС Дерябин'!$A12,ШТАТ!$AK:$AK,4)</f>
        <v>0</v>
      </c>
      <c r="I12" s="1221">
        <f t="shared" si="3"/>
        <v>5</v>
      </c>
      <c r="J12" s="1219">
        <f>COUNTIFS(ШТАТ!AL:AL,A12,ШТАТ!AJ:AJ,"о")</f>
        <v>4</v>
      </c>
      <c r="K12" s="1219">
        <f>COUNTIFS(ШТАТ!AL:AL,A12,ШТАТ!AJ:AJ,"п")</f>
        <v>0</v>
      </c>
      <c r="L12" s="1219">
        <f>COUNTIFS(ШТАТ!$AL:$AL,$A12,ШТАТ!AK:AK,3,ШТАТ!AJ:AJ,"с/с")</f>
        <v>0</v>
      </c>
      <c r="M12" s="1219">
        <f>COUNTIFS(ШТАТ!$AL:$AL,$A12,ШТАТ!AK:AK,3,ШТАТ!AJ:AJ,"к/с")</f>
        <v>0</v>
      </c>
      <c r="N12" s="1222">
        <f t="shared" ref="N12:N94" si="11">SUM(L12:M12)</f>
        <v>0</v>
      </c>
      <c r="O12" s="1220">
        <f>COUNTIFS(ШТАТ!$AL:$AL,$A12,ШТАТ!AK:AK,4,ШТАТ!AJ:AJ,"с/с")</f>
        <v>0</v>
      </c>
      <c r="P12" s="1220">
        <f>COUNTIFS(ШТАТ!$AL:$AL,$A12,ШТАТ!AK:AK,4,ШТАТ!AJ:AJ,"к/с")</f>
        <v>0</v>
      </c>
      <c r="Q12" s="1222">
        <f t="shared" ref="Q12:Q74" si="12">SUM(O12:P12)</f>
        <v>0</v>
      </c>
      <c r="R12" s="1221">
        <f t="shared" ref="R12:R93" si="13">SUM(Q12,N12,J12:K12)</f>
        <v>4</v>
      </c>
      <c r="S12" s="1223">
        <f t="shared" ref="S12:S93" si="14">R12/I12</f>
        <v>0.8</v>
      </c>
      <c r="T12" s="1219">
        <f>COUNTIFS(ШТАТ!$AL:$AL,$A12,ШТАТ!$AJ:$AJ,"о",ШТАТ!$X:$X,"выполнение специальных задач")</f>
        <v>0</v>
      </c>
      <c r="U12" s="1219">
        <f>COUNTIFS(ШТАТ!$AL:$AL,$A12,ШТАТ!$AJ:$AJ,"п",ШТАТ!$X:$X,"выполнение специальных задач")</f>
        <v>0</v>
      </c>
      <c r="V12" s="1219">
        <f>COUNTIFS(ШТАТ!$AL:$AL,$A12,ШТАТ!$AK:$AK,3,ШТАТ!$AJ:$AJ,"с/с",ШТАТ!$X:$X,"выполнение специальных задач")</f>
        <v>0</v>
      </c>
      <c r="W12" s="1219">
        <f>COUNTIFS(ШТАТ!$AL:$AL,$A12,ШТАТ!$AK:$AK,3,ШТАТ!$AJ:$AJ,"к/с",ШТАТ!$X:$X,"выполнение специальных задач")</f>
        <v>0</v>
      </c>
      <c r="X12" s="1222">
        <f t="shared" si="4"/>
        <v>0</v>
      </c>
      <c r="Y12" s="1219">
        <f>COUNTIFS(ШТАТ!$AL:$AL,$A12,ШТАТ!$AK:$AK,4,ШТАТ!$AJ:$AJ,"с/с",ШТАТ!$X:$X,"выполнение специальных задач")</f>
        <v>0</v>
      </c>
      <c r="Z12" s="1219">
        <f>COUNTIFS(ШТАТ!$AL:$AL,$A12,ШТАТ!$AK:$AK,4,ШТАТ!$AJ:$AJ,"к/с",ШТАТ!$X:$X,"выполнение специальных задач")</f>
        <v>0</v>
      </c>
      <c r="AA12" s="1222">
        <f t="shared" si="5"/>
        <v>0</v>
      </c>
      <c r="AB12" s="1221">
        <f t="shared" ref="AB12:AB93" si="15">SUM(AA12,X12,T12:U12)</f>
        <v>0</v>
      </c>
      <c r="AC12" s="1224"/>
      <c r="AD12" s="1219">
        <f>COUNTIFS(ШТАТ!$AL:$AL,$A12,ШТАТ!$AK:$AK,1,ШТАТ!$AJ:$AJ,"о",ШТАТ!$W:$W,"г. Белгород")</f>
        <v>4</v>
      </c>
      <c r="AE12" s="1219">
        <f>COUNTIFS(ШТАТ!$AL:$AL,$A12,ШТАТ!$AK:$AK,2,ШТАТ!$AJ:$AJ,"п",ШТАТ!$W:$W,"г. Белгород")</f>
        <v>0</v>
      </c>
      <c r="AF12" s="1219">
        <f>COUNTIFS(ШТАТ!$AL:$AL,$A12,ШТАТ!$AK:$AK,3,ШТАТ!$AJ:$AJ,"с/с",ШТАТ!$W:$W,"г. Белгород")</f>
        <v>0</v>
      </c>
      <c r="AG12" s="1219">
        <f>COUNTIFS(ШТАТ!$AL:$AL,$A12,ШТАТ!$AK:$AK,3,ШТАТ!$AJ:$AJ,"к/с",ШТАТ!$W:$W,"г. Белгород")</f>
        <v>0</v>
      </c>
      <c r="AH12" s="1222">
        <f t="shared" si="6"/>
        <v>0</v>
      </c>
      <c r="AI12" s="1219">
        <f>COUNTIFS(ШТАТ!$AL:$AL,$A12,ШТАТ!$AK:$AK,4,ШТАТ!$AJ:$AJ,"с/с",ШТАТ!$W:$W,"г. Белгород")</f>
        <v>0</v>
      </c>
      <c r="AJ12" s="1219">
        <f>COUNTIFS(ШТАТ!$AL:$AL,$A12,ШТАТ!$AK:$AK,4,ШТАТ!$AJ:$AJ,"к/с",ШТАТ!$W:$W,"г. Белгород")</f>
        <v>0</v>
      </c>
      <c r="AK12" s="1222">
        <f t="shared" si="7"/>
        <v>0</v>
      </c>
      <c r="AL12" s="1221">
        <f t="shared" ref="AL12:AL93" si="16">SUM(AK12,AH12,AD12:AE12)</f>
        <v>4</v>
      </c>
      <c r="AM12" s="1219">
        <f>COUNTIFS(ШТАТ!$AL:$AL,$A12,ШТАТ!$AK:$AK,1,ШТАТ!$AJ:$AJ,"о",ШТАТ!$U:$U,"")</f>
        <v>0</v>
      </c>
      <c r="AN12" s="1219">
        <f>COUNTIFS(ШТАТ!$AL:$AL,$A12,ШТАТ!$AK:$AK,2,ШТАТ!$AJ:$AJ,"п",ШТАТ!$U:$U,"")</f>
        <v>0</v>
      </c>
      <c r="AO12" s="1219">
        <f>COUNTIFS(ШТАТ!$AL:$AL,$A12,ШТАТ!$AK:$AK,3,ШТАТ!$AJ:$AJ,"с/с",ШТАТ!$U:$U,"")</f>
        <v>0</v>
      </c>
      <c r="AP12" s="1219">
        <f>COUNTIFS(ШТАТ!$AL:$AL,$A12,ШТАТ!$AK:$AK,3,ШТАТ!$AJ:$AJ,"к/с",ШТАТ!$U:$U,"")</f>
        <v>0</v>
      </c>
      <c r="AQ12" s="1222">
        <f t="shared" ref="AQ12:AQ94" si="17">SUM(AO12:AP12)</f>
        <v>0</v>
      </c>
      <c r="AR12" s="1219">
        <f>COUNTIFS(ШТАТ!$AL:$AL,$A12,ШТАТ!$AK:$AK,4,ШТАТ!$AJ:$AJ,"с/с",ШТАТ!$U:$U,"")</f>
        <v>0</v>
      </c>
      <c r="AS12" s="1219">
        <f>COUNTIFS(ШТАТ!$AL:$AL,$A12,ШТАТ!$AK:$AK,4,ШТАТ!$AJ:$AJ,"к/с",ШТАТ!$U:$U,"")</f>
        <v>0</v>
      </c>
      <c r="AT12" s="1222">
        <f t="shared" si="8"/>
        <v>0</v>
      </c>
      <c r="AU12" s="1221">
        <f t="shared" ref="AU12:AU75" si="18">SUM(AT12,AQ12,AM12:AN12)</f>
        <v>0</v>
      </c>
      <c r="AV12" s="1219">
        <f>COUNTIFS(ШТАТ!$AL:$AL,$A12,ШТАТ!$U:$U,"госп")</f>
        <v>0</v>
      </c>
      <c r="AW12" s="1225">
        <f t="shared" si="9"/>
        <v>0</v>
      </c>
      <c r="AX12" s="1219">
        <f>COUNTIFS(ШТАТ!$AL:$AL,$A12,ШТАТ!$U:$U,"отпуск")</f>
        <v>0</v>
      </c>
      <c r="AY12" s="1219">
        <f>COUNTIFS(ШТАТ!$AL:$AL,$A12,ШТАТ!$U:$U,"соч")</f>
        <v>0</v>
      </c>
      <c r="AZ12" s="1225"/>
      <c r="BA12" s="1219">
        <f>COUNTIFS(ШТАТ!$AL:$AL,$A12,ШТАТ!$U:$U,"МП")</f>
        <v>0</v>
      </c>
      <c r="BB12" s="1226"/>
      <c r="BC12" s="1226"/>
      <c r="BD12" s="1219"/>
      <c r="BE12" s="1226"/>
      <c r="BF12" s="1226"/>
      <c r="BG12" s="1226"/>
      <c r="BH12" s="1226"/>
      <c r="BI12" s="1226"/>
      <c r="BJ12" s="1226"/>
      <c r="BK12" s="1226"/>
      <c r="BL12" s="1226"/>
      <c r="BM12" s="1226"/>
      <c r="BN12" s="1226"/>
      <c r="BO12" s="1226"/>
      <c r="BP12" s="1226"/>
      <c r="BQ12" s="1226"/>
      <c r="BR12" s="1226"/>
      <c r="BS12" s="1226"/>
      <c r="BT12" s="1226"/>
      <c r="BU12" s="1226"/>
      <c r="BV12" s="1226"/>
      <c r="BW12" s="1226"/>
      <c r="BX12" s="1226"/>
      <c r="BY12" s="1226"/>
      <c r="BZ12" s="1226"/>
      <c r="CA12" s="1226"/>
      <c r="CB12" s="1226"/>
      <c r="CC12" s="1226"/>
      <c r="CD12" s="1226"/>
      <c r="CE12" s="1226"/>
      <c r="CF12" s="1226"/>
      <c r="CG12" s="1226"/>
      <c r="CH12" s="1226"/>
      <c r="CI12" s="1226"/>
      <c r="CJ12" s="1226"/>
      <c r="CK12" s="1226"/>
      <c r="CL12" s="1226"/>
      <c r="CM12" s="1226"/>
      <c r="CN12" s="1226"/>
      <c r="CO12" s="1226"/>
      <c r="CP12" s="1226"/>
      <c r="CQ12" s="1226"/>
      <c r="CR12" s="1226"/>
      <c r="CS12" s="1226"/>
      <c r="CT12" s="1226"/>
      <c r="CU12" s="1226"/>
      <c r="CV12" s="1226"/>
      <c r="CW12" s="1226"/>
      <c r="CX12" s="1226"/>
      <c r="CY12" s="1226"/>
      <c r="CZ12" s="1226"/>
      <c r="DA12" s="1226"/>
      <c r="DB12" s="1226"/>
      <c r="DC12" s="1226"/>
      <c r="DD12" s="1226"/>
      <c r="DE12" s="1226"/>
      <c r="DF12" s="1226"/>
      <c r="DG12" s="1226"/>
      <c r="DH12" s="1226"/>
      <c r="DI12" s="1226"/>
      <c r="DJ12" s="1226"/>
      <c r="DK12" s="1226"/>
      <c r="DL12" s="1226"/>
      <c r="DM12" s="1226"/>
      <c r="DN12" s="1226"/>
      <c r="DO12" s="1226"/>
      <c r="DP12" s="1226"/>
      <c r="DQ12" s="1226"/>
      <c r="DR12" s="1226"/>
      <c r="DS12" s="1226"/>
      <c r="DT12" s="1226"/>
      <c r="DU12" s="1226"/>
      <c r="DV12" s="1226"/>
      <c r="DW12" s="1226"/>
      <c r="DX12" s="1226"/>
      <c r="DY12" s="1226"/>
      <c r="DZ12" s="1226"/>
      <c r="EA12" s="1226"/>
      <c r="EB12" s="1226"/>
      <c r="EC12" s="1226"/>
      <c r="ED12" s="1226"/>
      <c r="EE12" s="1226"/>
      <c r="EF12" s="1226"/>
      <c r="EG12" s="1226"/>
      <c r="EH12" s="1226"/>
      <c r="EI12" s="1226"/>
      <c r="EJ12" s="1226"/>
      <c r="EK12" s="1226"/>
      <c r="EL12" s="1226"/>
      <c r="EM12" s="1226"/>
      <c r="EN12" s="1226"/>
      <c r="EO12" s="1226"/>
      <c r="EP12" s="1226"/>
      <c r="EQ12" s="1226"/>
      <c r="ER12" s="1226"/>
      <c r="ES12" s="1226"/>
      <c r="ET12" s="1226"/>
      <c r="EU12" s="1226"/>
      <c r="EV12" s="1226"/>
      <c r="EW12" s="1226"/>
      <c r="EX12" s="1226"/>
      <c r="EY12" s="1226"/>
      <c r="EZ12" s="1226"/>
      <c r="FA12" s="1226"/>
      <c r="FB12" s="1226"/>
      <c r="FC12" s="1226"/>
      <c r="FD12" s="1226"/>
      <c r="FE12" s="1226"/>
      <c r="FF12" s="1226"/>
      <c r="FG12" s="1226"/>
      <c r="FH12" s="1226"/>
      <c r="FI12" s="1226"/>
      <c r="FJ12" s="1226"/>
      <c r="FK12" s="1226"/>
      <c r="FL12" s="1226"/>
      <c r="FM12" s="1226"/>
      <c r="FN12" s="1226"/>
      <c r="FO12" s="1226"/>
      <c r="FP12" s="1226"/>
      <c r="FQ12" s="1226"/>
      <c r="FR12" s="1226"/>
    </row>
    <row r="13" spans="1:174" ht="33" x14ac:dyDescent="0.25">
      <c r="A13" s="1227" t="s">
        <v>278</v>
      </c>
      <c r="B13" s="1227"/>
      <c r="C13" s="1275">
        <f t="shared" si="10"/>
        <v>67</v>
      </c>
      <c r="D13" s="1276" t="s">
        <v>56</v>
      </c>
      <c r="E13" s="1219">
        <f>COUNTIFS(ШТАТ!$AL:$AL,'БЧС Дерябин'!$A13,ШТАТ!$AK:$AK,1)</f>
        <v>5</v>
      </c>
      <c r="F13" s="1219">
        <f>COUNTIFS(ШТАТ!$AL:$AL,'БЧС Дерябин'!$A13,ШТАТ!$AK:$AK,2)</f>
        <v>3</v>
      </c>
      <c r="G13" s="1219">
        <f>COUNTIFS(ШТАТ!$AL:$AL,'БЧС Дерябин'!$A13,ШТАТ!$AK:$AK,3)</f>
        <v>10</v>
      </c>
      <c r="H13" s="1219">
        <f>COUNTIFS(ШТАТ!$AL:$AL,'БЧС Дерябин'!$A13,ШТАТ!$AK:$AK,4)</f>
        <v>76</v>
      </c>
      <c r="I13" s="1221">
        <f t="shared" si="3"/>
        <v>94</v>
      </c>
      <c r="J13" s="1219">
        <f>COUNTIFS(ШТАТ!AL:AL,A13,ШТАТ!AJ:AJ,"о")</f>
        <v>4</v>
      </c>
      <c r="K13" s="1219">
        <f>COUNTIFS(ШТАТ!AL:AL,A13,ШТАТ!AJ:AJ,"п")</f>
        <v>2</v>
      </c>
      <c r="L13" s="1219">
        <f>COUNTIFS(ШТАТ!$AL:$AL,$A13,ШТАТ!AK:AK,3,ШТАТ!AJ:AJ,"с/с")</f>
        <v>0</v>
      </c>
      <c r="M13" s="1219">
        <f>COUNTIFS(ШТАТ!$AL:$AL,$A13,ШТАТ!AK:AK,3,ШТАТ!AJ:AJ,"к/с")</f>
        <v>8</v>
      </c>
      <c r="N13" s="1222">
        <f t="shared" si="11"/>
        <v>8</v>
      </c>
      <c r="O13" s="1220">
        <f>COUNTIFS(ШТАТ!$AL:$AL,$A13,ШТАТ!AK:AK,4,ШТАТ!AJ:AJ,"с/с")</f>
        <v>0</v>
      </c>
      <c r="P13" s="1220">
        <f>COUNTIFS(ШТАТ!$AL:$AL,$A13,ШТАТ!AK:AK,4,ШТАТ!AJ:AJ,"к/с")</f>
        <v>74</v>
      </c>
      <c r="Q13" s="1222">
        <f t="shared" si="12"/>
        <v>74</v>
      </c>
      <c r="R13" s="1221">
        <f t="shared" si="13"/>
        <v>88</v>
      </c>
      <c r="S13" s="1223">
        <f t="shared" si="14"/>
        <v>0.93617021276595747</v>
      </c>
      <c r="T13" s="1219">
        <f>COUNTIFS(ШТАТ!$AL:$AL,$A13,ШТАТ!$AJ:$AJ,"о",ШТАТ!$X:$X,"выполнение специальных задач")</f>
        <v>0</v>
      </c>
      <c r="U13" s="1219">
        <f>COUNTIFS(ШТАТ!$AL:$AL,$A13,ШТАТ!$AJ:$AJ,"п",ШТАТ!$X:$X,"выполнение специальных задач")</f>
        <v>0</v>
      </c>
      <c r="V13" s="1219">
        <f>COUNTIFS(ШТАТ!$AL:$AL,$A13,ШТАТ!$AK:$AK,3,ШТАТ!$AJ:$AJ,"с/с",ШТАТ!$X:$X,"выполнение специальных задач")</f>
        <v>0</v>
      </c>
      <c r="W13" s="1219">
        <f>COUNTIFS(ШТАТ!$AL:$AL,$A13,ШТАТ!$AK:$AK,3,ШТАТ!$AJ:$AJ,"к/с",ШТАТ!$X:$X,"выполнение специальных задач")</f>
        <v>1</v>
      </c>
      <c r="X13" s="1222">
        <f t="shared" si="4"/>
        <v>1</v>
      </c>
      <c r="Y13" s="1219">
        <f>COUNTIFS(ШТАТ!$AL:$AL,$A13,ШТАТ!$AK:$AK,4,ШТАТ!$AJ:$AJ,"с/с",ШТАТ!$X:$X,"выполнение специальных задач")</f>
        <v>0</v>
      </c>
      <c r="Z13" s="1219">
        <f>COUNTIFS(ШТАТ!$AL:$AL,$A13,ШТАТ!$AK:$AK,4,ШТАТ!$AJ:$AJ,"к/с",ШТАТ!$X:$X,"выполнение специальных задач")</f>
        <v>0</v>
      </c>
      <c r="AA13" s="1222">
        <f t="shared" si="5"/>
        <v>0</v>
      </c>
      <c r="AB13" s="1221">
        <f t="shared" si="15"/>
        <v>1</v>
      </c>
      <c r="AC13" s="1224"/>
      <c r="AD13" s="1219">
        <f>COUNTIFS(ШТАТ!$AL:$AL,$A13,ШТАТ!$AK:$AK,1,ШТАТ!$AJ:$AJ,"о",ШТАТ!$W:$W,"г. Белгород")</f>
        <v>4</v>
      </c>
      <c r="AE13" s="1219">
        <f>COUNTIFS(ШТАТ!$AL:$AL,$A13,ШТАТ!$AK:$AK,2,ШТАТ!$AJ:$AJ,"п",ШТАТ!$W:$W,"г. Белгород")</f>
        <v>2</v>
      </c>
      <c r="AF13" s="1219">
        <f>COUNTIFS(ШТАТ!$AL:$AL,$A13,ШТАТ!$AK:$AK,3,ШТАТ!$AJ:$AJ,"с/с",ШТАТ!$W:$W,"г. Белгород")</f>
        <v>0</v>
      </c>
      <c r="AG13" s="1219">
        <f>COUNTIFS(ШТАТ!$AL:$AL,$A13,ШТАТ!$AK:$AK,3,ШТАТ!$AJ:$AJ,"к/с",ШТАТ!$W:$W,"г. Белгород")</f>
        <v>6</v>
      </c>
      <c r="AH13" s="1222">
        <f t="shared" si="6"/>
        <v>6</v>
      </c>
      <c r="AI13" s="1219">
        <f>COUNTIFS(ШТАТ!$AL:$AL,$A13,ШТАТ!$AK:$AK,4,ШТАТ!$AJ:$AJ,"с/с",ШТАТ!$W:$W,"г. Белгород")</f>
        <v>0</v>
      </c>
      <c r="AJ13" s="1219">
        <f>COUNTIFS(ШТАТ!$AL:$AL,$A13,ШТАТ!$AK:$AK,4,ШТАТ!$AJ:$AJ,"к/с",ШТАТ!$W:$W,"г. Белгород")</f>
        <v>55</v>
      </c>
      <c r="AK13" s="1222">
        <f t="shared" si="7"/>
        <v>55</v>
      </c>
      <c r="AL13" s="1221">
        <f t="shared" si="16"/>
        <v>67</v>
      </c>
      <c r="AM13" s="1219">
        <f>COUNTIFS(ШТАТ!$AL:$AL,$A13,ШТАТ!$AK:$AK,1,ШТАТ!$AJ:$AJ,"о",ШТАТ!$U:$U,"")</f>
        <v>0</v>
      </c>
      <c r="AN13" s="1219">
        <f>COUNTIFS(ШТАТ!$AL:$AL,$A13,ШТАТ!$AK:$AK,2,ШТАТ!$AJ:$AJ,"п",ШТАТ!$U:$U,"")</f>
        <v>0</v>
      </c>
      <c r="AO13" s="1219">
        <f>COUNTIFS(ШТАТ!$AL:$AL,$A13,ШТАТ!$AK:$AK,3,ШТАТ!$AJ:$AJ,"с/с",ШТАТ!$U:$U,"")</f>
        <v>0</v>
      </c>
      <c r="AP13" s="1219">
        <f>COUNTIFS(ШТАТ!$AL:$AL,$A13,ШТАТ!$AK:$AK,3,ШТАТ!$AJ:$AJ,"к/с",ШТАТ!$U:$U,"")</f>
        <v>0</v>
      </c>
      <c r="AQ13" s="1222">
        <f t="shared" si="17"/>
        <v>0</v>
      </c>
      <c r="AR13" s="1219">
        <f>COUNTIFS(ШТАТ!$AL:$AL,$A13,ШТАТ!$AK:$AK,4,ШТАТ!$AJ:$AJ,"с/с",ШТАТ!$U:$U,"")</f>
        <v>0</v>
      </c>
      <c r="AS13" s="1219">
        <f>COUNTIFS(ШТАТ!$AL:$AL,$A13,ШТАТ!$AK:$AK,4,ШТАТ!$AJ:$AJ,"к/с",ШТАТ!$U:$U,"")</f>
        <v>13</v>
      </c>
      <c r="AT13" s="1222">
        <f t="shared" si="8"/>
        <v>13</v>
      </c>
      <c r="AU13" s="1221">
        <f t="shared" si="18"/>
        <v>13</v>
      </c>
      <c r="AV13" s="1219">
        <f>COUNTIFS(ШТАТ!$AL:$AL,$A13,ШТАТ!$U:$U,"госп")</f>
        <v>1</v>
      </c>
      <c r="AW13" s="1225">
        <f t="shared" si="9"/>
        <v>3</v>
      </c>
      <c r="AX13" s="1219">
        <f>COUNTIFS(ШТАТ!$AL:$AL,$A13,ШТАТ!$U:$U,"отпуск")</f>
        <v>1</v>
      </c>
      <c r="AY13" s="1219">
        <f>COUNTIFS(ШТАТ!$AL:$AL,$A13,ШТАТ!$U:$U,"соч")</f>
        <v>2</v>
      </c>
      <c r="AZ13" s="1225"/>
      <c r="BA13" s="1219">
        <f>COUNTIFS(ШТАТ!$AL:$AL,$A13,ШТАТ!$U:$U,"МП")</f>
        <v>0</v>
      </c>
      <c r="BB13" s="1226"/>
      <c r="BC13" s="1226"/>
      <c r="BD13" s="1219"/>
      <c r="BE13" s="1226"/>
      <c r="BF13" s="1226"/>
      <c r="BG13" s="1226"/>
      <c r="BH13" s="1226"/>
      <c r="BI13" s="1226"/>
      <c r="BJ13" s="1226"/>
      <c r="BK13" s="1226"/>
      <c r="BL13" s="1226"/>
      <c r="BM13" s="1226"/>
      <c r="BN13" s="1226"/>
      <c r="BO13" s="1226"/>
      <c r="BP13" s="1226"/>
      <c r="BQ13" s="1226"/>
      <c r="BR13" s="1226"/>
      <c r="BS13" s="1226"/>
      <c r="BT13" s="1226"/>
      <c r="BU13" s="1226"/>
      <c r="BV13" s="1226"/>
      <c r="BW13" s="1226"/>
      <c r="BX13" s="1226"/>
      <c r="BY13" s="1226"/>
      <c r="BZ13" s="1226"/>
      <c r="CA13" s="1226"/>
      <c r="CB13" s="1226"/>
      <c r="CC13" s="1226"/>
      <c r="CD13" s="1226"/>
      <c r="CE13" s="1226"/>
      <c r="CF13" s="1226"/>
      <c r="CG13" s="1226"/>
      <c r="CH13" s="1226"/>
      <c r="CI13" s="1226"/>
      <c r="CJ13" s="1226"/>
      <c r="CK13" s="1226"/>
      <c r="CL13" s="1226"/>
      <c r="CM13" s="1226"/>
      <c r="CN13" s="1226"/>
      <c r="CO13" s="1226"/>
      <c r="CP13" s="1226"/>
      <c r="CQ13" s="1226"/>
      <c r="CR13" s="1226"/>
      <c r="CS13" s="1226"/>
      <c r="CT13" s="1226"/>
      <c r="CU13" s="1226"/>
      <c r="CV13" s="1226"/>
      <c r="CW13" s="1226"/>
      <c r="CX13" s="1226"/>
      <c r="CY13" s="1226"/>
      <c r="CZ13" s="1226"/>
      <c r="DA13" s="1226"/>
      <c r="DB13" s="1226"/>
      <c r="DC13" s="1226"/>
      <c r="DD13" s="1226">
        <v>10</v>
      </c>
      <c r="DE13" s="1226"/>
      <c r="DF13" s="1226"/>
      <c r="DG13" s="1226"/>
      <c r="DH13" s="1226"/>
      <c r="DI13" s="1226"/>
      <c r="DJ13" s="1226"/>
      <c r="DK13" s="1226"/>
      <c r="DL13" s="1226"/>
      <c r="DM13" s="1226"/>
      <c r="DN13" s="1226"/>
      <c r="DO13" s="1226"/>
      <c r="DP13" s="1226"/>
      <c r="DQ13" s="1226"/>
      <c r="DR13" s="1226"/>
      <c r="DS13" s="1226"/>
      <c r="DT13" s="1226"/>
      <c r="DU13" s="1226"/>
      <c r="DV13" s="1226"/>
      <c r="DW13" s="1226"/>
      <c r="DX13" s="1226"/>
      <c r="DY13" s="1226"/>
      <c r="DZ13" s="1226"/>
      <c r="EA13" s="1226"/>
      <c r="EB13" s="1226"/>
      <c r="EC13" s="1226"/>
      <c r="ED13" s="1226"/>
      <c r="EE13" s="1226"/>
      <c r="EF13" s="1226"/>
      <c r="EG13" s="1226"/>
      <c r="EH13" s="1226"/>
      <c r="EI13" s="1226"/>
      <c r="EJ13" s="1226"/>
      <c r="EK13" s="1226"/>
      <c r="EL13" s="1226"/>
      <c r="EM13" s="1226"/>
      <c r="EN13" s="1226"/>
      <c r="EO13" s="1226"/>
      <c r="EP13" s="1226"/>
      <c r="EQ13" s="1226"/>
      <c r="ER13" s="1226"/>
      <c r="ES13" s="1226"/>
      <c r="ET13" s="1226"/>
      <c r="EU13" s="1226"/>
      <c r="EV13" s="1226"/>
      <c r="EW13" s="1226"/>
      <c r="EX13" s="1226"/>
      <c r="EY13" s="1226"/>
      <c r="EZ13" s="1226"/>
      <c r="FA13" s="1226"/>
      <c r="FB13" s="1226"/>
      <c r="FC13" s="1226"/>
      <c r="FD13" s="1226"/>
      <c r="FE13" s="1226"/>
      <c r="FF13" s="1226"/>
      <c r="FG13" s="1226"/>
      <c r="FH13" s="1226"/>
      <c r="FI13" s="1226"/>
      <c r="FJ13" s="1226"/>
      <c r="FK13" s="1226"/>
      <c r="FL13" s="1226"/>
      <c r="FM13" s="1226"/>
      <c r="FN13" s="1226"/>
      <c r="FO13" s="1226"/>
      <c r="FP13" s="1226"/>
      <c r="FQ13" s="1226"/>
      <c r="FR13" s="1226"/>
    </row>
    <row r="14" spans="1:174" ht="33" x14ac:dyDescent="0.25">
      <c r="A14" s="1227" t="s">
        <v>332</v>
      </c>
      <c r="B14" s="1227"/>
      <c r="C14" s="1275">
        <f t="shared" si="10"/>
        <v>66</v>
      </c>
      <c r="D14" s="1276" t="s">
        <v>56</v>
      </c>
      <c r="E14" s="1219">
        <f>COUNTIFS(ШТАТ!$AL:$AL,'БЧС Дерябин'!$A14,ШТАТ!$AK:$AK,1)</f>
        <v>5</v>
      </c>
      <c r="F14" s="1219">
        <f>COUNTIFS(ШТАТ!$AL:$AL,'БЧС Дерябин'!$A14,ШТАТ!$AK:$AK,2)</f>
        <v>3</v>
      </c>
      <c r="G14" s="1219">
        <f>COUNTIFS(ШТАТ!$AL:$AL,'БЧС Дерябин'!$A14,ШТАТ!$AK:$AK,3)</f>
        <v>10</v>
      </c>
      <c r="H14" s="1219">
        <f>COUNTIFS(ШТАТ!$AL:$AL,'БЧС Дерябин'!$A14,ШТАТ!$AK:$AK,4)</f>
        <v>76</v>
      </c>
      <c r="I14" s="1221">
        <f t="shared" si="3"/>
        <v>94</v>
      </c>
      <c r="J14" s="1219">
        <f>COUNTIFS(ШТАТ!AL:AL,A14,ШТАТ!AJ:AJ,"о")</f>
        <v>5</v>
      </c>
      <c r="K14" s="1219">
        <f>COUNTIFS(ШТАТ!AL:AL,A14,ШТАТ!AJ:AJ,"п")</f>
        <v>2</v>
      </c>
      <c r="L14" s="1219">
        <f>COUNTIFS(ШТАТ!$AL:$AL,$A14,ШТАТ!AK:AK,3,ШТАТ!AJ:AJ,"с/с")</f>
        <v>0</v>
      </c>
      <c r="M14" s="1219">
        <f>COUNTIFS(ШТАТ!$AL:$AL,$A14,ШТАТ!AK:AK,3,ШТАТ!AJ:AJ,"к/с")</f>
        <v>8</v>
      </c>
      <c r="N14" s="1222">
        <f t="shared" si="11"/>
        <v>8</v>
      </c>
      <c r="O14" s="1220">
        <f>COUNTIFS(ШТАТ!$AL:$AL,$A14,ШТАТ!AK:AK,4,ШТАТ!AJ:AJ,"с/с")</f>
        <v>0</v>
      </c>
      <c r="P14" s="1220">
        <f>COUNTIFS(ШТАТ!$AL:$AL,$A14,ШТАТ!AK:AK,4,ШТАТ!AJ:AJ,"к/с")</f>
        <v>61</v>
      </c>
      <c r="Q14" s="1222">
        <f t="shared" si="12"/>
        <v>61</v>
      </c>
      <c r="R14" s="1221">
        <f t="shared" si="13"/>
        <v>76</v>
      </c>
      <c r="S14" s="1223">
        <f t="shared" si="14"/>
        <v>0.80851063829787229</v>
      </c>
      <c r="T14" s="1219">
        <f>COUNTIFS(ШТАТ!$AL:$AL,$A14,ШТАТ!$AJ:$AJ,"о",ШТАТ!$X:$X,"выполнение специальных задач")</f>
        <v>0</v>
      </c>
      <c r="U14" s="1219">
        <f>COUNTIFS(ШТАТ!$AL:$AL,$A14,ШТАТ!$AJ:$AJ,"п",ШТАТ!$X:$X,"выполнение специальных задач")</f>
        <v>0</v>
      </c>
      <c r="V14" s="1219">
        <f>COUNTIFS(ШТАТ!$AL:$AL,$A14,ШТАТ!$AK:$AK,3,ШТАТ!$AJ:$AJ,"с/с",ШТАТ!$X:$X,"выполнение специальных задач")</f>
        <v>0</v>
      </c>
      <c r="W14" s="1219">
        <f>COUNTIFS(ШТАТ!$AL:$AL,$A14,ШТАТ!$AK:$AK,3,ШТАТ!$AJ:$AJ,"к/с",ШТАТ!$X:$X,"выполнение специальных задач")</f>
        <v>0</v>
      </c>
      <c r="X14" s="1222">
        <f t="shared" si="4"/>
        <v>0</v>
      </c>
      <c r="Y14" s="1219">
        <f>COUNTIFS(ШТАТ!$AL:$AL,$A14,ШТАТ!$AK:$AK,4,ШТАТ!$AJ:$AJ,"с/с",ШТАТ!$X:$X,"выполнение специальных задач")</f>
        <v>0</v>
      </c>
      <c r="Z14" s="1219">
        <f>COUNTIFS(ШТАТ!$AL:$AL,$A14,ШТАТ!$AK:$AK,4,ШТАТ!$AJ:$AJ,"к/с",ШТАТ!$X:$X,"выполнение специальных задач")</f>
        <v>0</v>
      </c>
      <c r="AA14" s="1222">
        <f t="shared" si="5"/>
        <v>0</v>
      </c>
      <c r="AB14" s="1221">
        <f t="shared" si="15"/>
        <v>0</v>
      </c>
      <c r="AC14" s="1224"/>
      <c r="AD14" s="1219">
        <f>COUNTIFS(ШТАТ!$AL:$AL,$A14,ШТАТ!$AK:$AK,1,ШТАТ!$AJ:$AJ,"о",ШТАТ!$W:$W,"г. Белгород")</f>
        <v>5</v>
      </c>
      <c r="AE14" s="1219">
        <f>COUNTIFS(ШТАТ!$AL:$AL,$A14,ШТАТ!$AK:$AK,2,ШТАТ!$AJ:$AJ,"п",ШТАТ!$W:$W,"г. Белгород")</f>
        <v>1</v>
      </c>
      <c r="AF14" s="1219">
        <f>COUNTIFS(ШТАТ!$AL:$AL,$A14,ШТАТ!$AK:$AK,3,ШТАТ!$AJ:$AJ,"с/с",ШТАТ!$W:$W,"г. Белгород")</f>
        <v>0</v>
      </c>
      <c r="AG14" s="1219">
        <f>COUNTIFS(ШТАТ!$AL:$AL,$A14,ШТАТ!$AK:$AK,3,ШТАТ!$AJ:$AJ,"к/с",ШТАТ!$W:$W,"г. Белгород")</f>
        <v>7</v>
      </c>
      <c r="AH14" s="1222">
        <f t="shared" si="6"/>
        <v>7</v>
      </c>
      <c r="AI14" s="1219">
        <f>COUNTIFS(ШТАТ!$AL:$AL,$A14,ШТАТ!$AK:$AK,4,ШТАТ!$AJ:$AJ,"с/с",ШТАТ!$W:$W,"г. Белгород")</f>
        <v>0</v>
      </c>
      <c r="AJ14" s="1219">
        <f>COUNTIFS(ШТАТ!$AL:$AL,$A14,ШТАТ!$AK:$AK,4,ШТАТ!$AJ:$AJ,"к/с",ШТАТ!$W:$W,"г. Белгород")</f>
        <v>53</v>
      </c>
      <c r="AK14" s="1222">
        <f t="shared" si="7"/>
        <v>53</v>
      </c>
      <c r="AL14" s="1221">
        <f t="shared" si="16"/>
        <v>66</v>
      </c>
      <c r="AM14" s="1219">
        <f>COUNTIFS(ШТАТ!$AL:$AL,$A14,ШТАТ!$AK:$AK,1,ШТАТ!$AJ:$AJ,"о",ШТАТ!$U:$U,"")</f>
        <v>0</v>
      </c>
      <c r="AN14" s="1219">
        <f>COUNTIFS(ШТАТ!$AL:$AL,$A14,ШТАТ!$AK:$AK,2,ШТАТ!$AJ:$AJ,"п",ШТАТ!$U:$U,"")</f>
        <v>0</v>
      </c>
      <c r="AO14" s="1219">
        <f>COUNTIFS(ШТАТ!$AL:$AL,$A14,ШТАТ!$AK:$AK,3,ШТАТ!$AJ:$AJ,"с/с",ШТАТ!$U:$U,"")</f>
        <v>0</v>
      </c>
      <c r="AP14" s="1219">
        <f>COUNTIFS(ШТАТ!$AL:$AL,$A14,ШТАТ!$AK:$AK,3,ШТАТ!$AJ:$AJ,"к/с",ШТАТ!$U:$U,"")</f>
        <v>0</v>
      </c>
      <c r="AQ14" s="1222">
        <f t="shared" si="17"/>
        <v>0</v>
      </c>
      <c r="AR14" s="1219">
        <f>COUNTIFS(ШТАТ!$AL:$AL,$A14,ШТАТ!$AK:$AK,4,ШТАТ!$AJ:$AJ,"с/с",ШТАТ!$U:$U,"")</f>
        <v>0</v>
      </c>
      <c r="AS14" s="1219">
        <f>COUNTIFS(ШТАТ!$AL:$AL,$A14,ШТАТ!$AK:$AK,4,ШТАТ!$AJ:$AJ,"к/с",ШТАТ!$U:$U,"")</f>
        <v>5</v>
      </c>
      <c r="AT14" s="1222">
        <f t="shared" si="8"/>
        <v>5</v>
      </c>
      <c r="AU14" s="1221">
        <f t="shared" si="18"/>
        <v>5</v>
      </c>
      <c r="AV14" s="1219">
        <f>COUNTIFS(ШТАТ!$AL:$AL,$A14,ШТАТ!$U:$U,"госп")</f>
        <v>0</v>
      </c>
      <c r="AW14" s="1225">
        <f t="shared" si="9"/>
        <v>2</v>
      </c>
      <c r="AX14" s="1219">
        <f>COUNTIFS(ШТАТ!$AL:$AL,$A14,ШТАТ!$U:$U,"отпуск")</f>
        <v>1</v>
      </c>
      <c r="AY14" s="1219">
        <f>COUNTIFS(ШТАТ!$AL:$AL,$A14,ШТАТ!$U:$U,"соч")</f>
        <v>2</v>
      </c>
      <c r="AZ14" s="1225"/>
      <c r="BA14" s="1219">
        <f>COUNTIFS(ШТАТ!$AL:$AL,$A14,ШТАТ!$U:$U,"МП")</f>
        <v>0</v>
      </c>
      <c r="BB14" s="1226"/>
      <c r="BC14" s="1226"/>
      <c r="BD14" s="1219"/>
      <c r="BE14" s="1226"/>
      <c r="BF14" s="1226"/>
      <c r="BG14" s="1226"/>
      <c r="BH14" s="1226"/>
      <c r="BI14" s="1226"/>
      <c r="BJ14" s="1226"/>
      <c r="BK14" s="1226"/>
      <c r="BL14" s="1226"/>
      <c r="BM14" s="1226"/>
      <c r="BN14" s="1226"/>
      <c r="BO14" s="1226"/>
      <c r="BP14" s="1226"/>
      <c r="BQ14" s="1226"/>
      <c r="BR14" s="1226"/>
      <c r="BS14" s="1226"/>
      <c r="BT14" s="1226"/>
      <c r="BU14" s="1226"/>
      <c r="BV14" s="1226"/>
      <c r="BW14" s="1226"/>
      <c r="BX14" s="1226"/>
      <c r="BY14" s="1226"/>
      <c r="BZ14" s="1226"/>
      <c r="CA14" s="1226"/>
      <c r="CB14" s="1226"/>
      <c r="CC14" s="1226"/>
      <c r="CD14" s="1226"/>
      <c r="CE14" s="1226"/>
      <c r="CF14" s="1226"/>
      <c r="CG14" s="1226"/>
      <c r="CH14" s="1226"/>
      <c r="CI14" s="1226"/>
      <c r="CJ14" s="1226"/>
      <c r="CK14" s="1226"/>
      <c r="CL14" s="1226"/>
      <c r="CM14" s="1226"/>
      <c r="CN14" s="1226"/>
      <c r="CO14" s="1226"/>
      <c r="CP14" s="1226"/>
      <c r="CQ14" s="1226"/>
      <c r="CR14" s="1226"/>
      <c r="CS14" s="1226"/>
      <c r="CT14" s="1226"/>
      <c r="CU14" s="1226"/>
      <c r="CV14" s="1226"/>
      <c r="CW14" s="1226"/>
      <c r="CX14" s="1226"/>
      <c r="CY14" s="1226"/>
      <c r="CZ14" s="1226"/>
      <c r="DA14" s="1226"/>
      <c r="DB14" s="1226"/>
      <c r="DC14" s="1226"/>
      <c r="DD14" s="1226">
        <v>10</v>
      </c>
      <c r="DE14" s="1226"/>
      <c r="DF14" s="1226"/>
      <c r="DG14" s="1226"/>
      <c r="DH14" s="1226"/>
      <c r="DI14" s="1226"/>
      <c r="DJ14" s="1226"/>
      <c r="DK14" s="1226"/>
      <c r="DL14" s="1226"/>
      <c r="DM14" s="1226"/>
      <c r="DN14" s="1226"/>
      <c r="DO14" s="1226"/>
      <c r="DP14" s="1226"/>
      <c r="DQ14" s="1226"/>
      <c r="DR14" s="1226"/>
      <c r="DS14" s="1226"/>
      <c r="DT14" s="1226"/>
      <c r="DU14" s="1226"/>
      <c r="DV14" s="1226"/>
      <c r="DW14" s="1226"/>
      <c r="DX14" s="1226"/>
      <c r="DY14" s="1226"/>
      <c r="DZ14" s="1226"/>
      <c r="EA14" s="1226"/>
      <c r="EB14" s="1226"/>
      <c r="EC14" s="1226"/>
      <c r="ED14" s="1226"/>
      <c r="EE14" s="1226"/>
      <c r="EF14" s="1226"/>
      <c r="EG14" s="1226"/>
      <c r="EH14" s="1226"/>
      <c r="EI14" s="1226"/>
      <c r="EJ14" s="1226"/>
      <c r="EK14" s="1226"/>
      <c r="EL14" s="1226"/>
      <c r="EM14" s="1226"/>
      <c r="EN14" s="1226"/>
      <c r="EO14" s="1226"/>
      <c r="EP14" s="1226"/>
      <c r="EQ14" s="1226"/>
      <c r="ER14" s="1226"/>
      <c r="ES14" s="1226"/>
      <c r="ET14" s="1226"/>
      <c r="EU14" s="1226"/>
      <c r="EV14" s="1226"/>
      <c r="EW14" s="1226"/>
      <c r="EX14" s="1226"/>
      <c r="EY14" s="1226"/>
      <c r="EZ14" s="1226"/>
      <c r="FA14" s="1226"/>
      <c r="FB14" s="1226"/>
      <c r="FC14" s="1226"/>
      <c r="FD14" s="1226"/>
      <c r="FE14" s="1226"/>
      <c r="FF14" s="1226"/>
      <c r="FG14" s="1226"/>
      <c r="FH14" s="1226"/>
      <c r="FI14" s="1226"/>
      <c r="FJ14" s="1226"/>
      <c r="FK14" s="1226"/>
      <c r="FL14" s="1226"/>
      <c r="FM14" s="1226"/>
      <c r="FN14" s="1226"/>
      <c r="FO14" s="1226"/>
      <c r="FP14" s="1226"/>
      <c r="FQ14" s="1226"/>
      <c r="FR14" s="1226"/>
    </row>
    <row r="15" spans="1:174" ht="33" x14ac:dyDescent="0.25">
      <c r="A15" s="1227" t="s">
        <v>336</v>
      </c>
      <c r="B15" s="1227"/>
      <c r="C15" s="1275">
        <f t="shared" si="10"/>
        <v>60</v>
      </c>
      <c r="D15" s="1276" t="s">
        <v>56</v>
      </c>
      <c r="E15" s="1219">
        <f>COUNTIFS(ШТАТ!$AL:$AL,'БЧС Дерябин'!$A15,ШТАТ!$AK:$AK,1)</f>
        <v>5</v>
      </c>
      <c r="F15" s="1219">
        <f>COUNTIFS(ШТАТ!$AL:$AL,'БЧС Дерябин'!$A15,ШТАТ!$AK:$AK,2)</f>
        <v>3</v>
      </c>
      <c r="G15" s="1219">
        <f>COUNTIFS(ШТАТ!$AL:$AL,'БЧС Дерябин'!$A15,ШТАТ!$AK:$AK,3)</f>
        <v>10</v>
      </c>
      <c r="H15" s="1219">
        <f>COUNTIFS(ШТАТ!$AL:$AL,'БЧС Дерябин'!$A15,ШТАТ!$AK:$AK,4)</f>
        <v>76</v>
      </c>
      <c r="I15" s="1221">
        <f t="shared" si="3"/>
        <v>94</v>
      </c>
      <c r="J15" s="1219">
        <f>COUNTIFS(ШТАТ!AL:AL,A15,ШТАТ!AJ:AJ,"о")</f>
        <v>5</v>
      </c>
      <c r="K15" s="1219">
        <f>COUNTIFS(ШТАТ!AL:AL,A15,ШТАТ!AJ:AJ,"п")</f>
        <v>2</v>
      </c>
      <c r="L15" s="1219">
        <f>COUNTIFS(ШТАТ!$AL:$AL,$A15,ШТАТ!AK:AK,3,ШТАТ!AJ:AJ,"с/с")</f>
        <v>0</v>
      </c>
      <c r="M15" s="1219">
        <f>COUNTIFS(ШТАТ!$AL:$AL,$A15,ШТАТ!AK:AK,3,ШТАТ!AJ:AJ,"к/с")</f>
        <v>9</v>
      </c>
      <c r="N15" s="1222">
        <f t="shared" si="11"/>
        <v>9</v>
      </c>
      <c r="O15" s="1220">
        <f>COUNTIFS(ШТАТ!$AL:$AL,$A15,ШТАТ!AK:AK,4,ШТАТ!AJ:AJ,"с/с")</f>
        <v>0</v>
      </c>
      <c r="P15" s="1220">
        <f>COUNTIFS(ШТАТ!$AL:$AL,$A15,ШТАТ!AK:AK,4,ШТАТ!AJ:AJ,"к/с")</f>
        <v>59</v>
      </c>
      <c r="Q15" s="1222">
        <f t="shared" si="12"/>
        <v>59</v>
      </c>
      <c r="R15" s="1221">
        <f t="shared" si="13"/>
        <v>75</v>
      </c>
      <c r="S15" s="1223">
        <f t="shared" si="14"/>
        <v>0.7978723404255319</v>
      </c>
      <c r="T15" s="1219">
        <f>COUNTIFS(ШТАТ!$AL:$AL,$A15,ШТАТ!$AJ:$AJ,"о",ШТАТ!$X:$X,"выполнение специальных задач")</f>
        <v>1</v>
      </c>
      <c r="U15" s="1219">
        <f>COUNTIFS(ШТАТ!$AL:$AL,$A15,ШТАТ!$AJ:$AJ,"п",ШТАТ!$X:$X,"выполнение специальных задач")</f>
        <v>1</v>
      </c>
      <c r="V15" s="1219">
        <f>COUNTIFS(ШТАТ!$AL:$AL,$A15,ШТАТ!$AK:$AK,3,ШТАТ!$AJ:$AJ,"с/с",ШТАТ!$X:$X,"выполнение специальных задач")</f>
        <v>0</v>
      </c>
      <c r="W15" s="1219">
        <f>COUNTIFS(ШТАТ!$AL:$AL,$A15,ШТАТ!$AK:$AK,3,ШТАТ!$AJ:$AJ,"к/с",ШТАТ!$X:$X,"выполнение специальных задач")</f>
        <v>0</v>
      </c>
      <c r="X15" s="1222">
        <f t="shared" si="4"/>
        <v>0</v>
      </c>
      <c r="Y15" s="1219">
        <f>COUNTIFS(ШТАТ!$AL:$AL,$A15,ШТАТ!$AK:$AK,4,ШТАТ!$AJ:$AJ,"с/с",ШТАТ!$X:$X,"выполнение специальных задач")</f>
        <v>0</v>
      </c>
      <c r="Z15" s="1219">
        <f>COUNTIFS(ШТАТ!$AL:$AL,$A15,ШТАТ!$AK:$AK,4,ШТАТ!$AJ:$AJ,"к/с",ШТАТ!$X:$X,"выполнение специальных задач")</f>
        <v>2</v>
      </c>
      <c r="AA15" s="1222">
        <f t="shared" si="5"/>
        <v>2</v>
      </c>
      <c r="AB15" s="1221">
        <f t="shared" si="15"/>
        <v>4</v>
      </c>
      <c r="AC15" s="1224"/>
      <c r="AD15" s="1219">
        <f>COUNTIFS(ШТАТ!$AL:$AL,$A15,ШТАТ!$AK:$AK,1,ШТАТ!$AJ:$AJ,"о",ШТАТ!$W:$W,"г. Белгород")</f>
        <v>4</v>
      </c>
      <c r="AE15" s="1219">
        <f>COUNTIFS(ШТАТ!$AL:$AL,$A15,ШТАТ!$AK:$AK,2,ШТАТ!$AJ:$AJ,"п",ШТАТ!$W:$W,"г. Белгород")</f>
        <v>1</v>
      </c>
      <c r="AF15" s="1219">
        <f>COUNTIFS(ШТАТ!$AL:$AL,$A15,ШТАТ!$AK:$AK,3,ШТАТ!$AJ:$AJ,"с/с",ШТАТ!$W:$W,"г. Белгород")</f>
        <v>0</v>
      </c>
      <c r="AG15" s="1219">
        <f>COUNTIFS(ШТАТ!$AL:$AL,$A15,ШТАТ!$AK:$AK,3,ШТАТ!$AJ:$AJ,"к/с",ШТАТ!$W:$W,"г. Белгород")</f>
        <v>7</v>
      </c>
      <c r="AH15" s="1222">
        <f t="shared" si="6"/>
        <v>7</v>
      </c>
      <c r="AI15" s="1219">
        <f>COUNTIFS(ШТАТ!$AL:$AL,$A15,ШТАТ!$AK:$AK,4,ШТАТ!$AJ:$AJ,"с/с",ШТАТ!$W:$W,"г. Белгород")</f>
        <v>0</v>
      </c>
      <c r="AJ15" s="1219">
        <f>COUNTIFS(ШТАТ!$AL:$AL,$A15,ШТАТ!$AK:$AK,4,ШТАТ!$AJ:$AJ,"к/с",ШТАТ!$W:$W,"г. Белгород")</f>
        <v>48</v>
      </c>
      <c r="AK15" s="1222">
        <f t="shared" si="7"/>
        <v>48</v>
      </c>
      <c r="AL15" s="1221">
        <f t="shared" si="16"/>
        <v>60</v>
      </c>
      <c r="AM15" s="1219">
        <f>COUNTIFS(ШТАТ!$AL:$AL,$A15,ШТАТ!$AK:$AK,1,ШТАТ!$AJ:$AJ,"о",ШТАТ!$U:$U,"")</f>
        <v>0</v>
      </c>
      <c r="AN15" s="1219">
        <f>COUNTIFS(ШТАТ!$AL:$AL,$A15,ШТАТ!$AK:$AK,2,ШТАТ!$AJ:$AJ,"п",ШТАТ!$U:$U,"")</f>
        <v>0</v>
      </c>
      <c r="AO15" s="1219">
        <f>COUNTIFS(ШТАТ!$AL:$AL,$A15,ШТАТ!$AK:$AK,3,ШТАТ!$AJ:$AJ,"с/с",ШТАТ!$U:$U,"")</f>
        <v>0</v>
      </c>
      <c r="AP15" s="1219">
        <f>COUNTIFS(ШТАТ!$AL:$AL,$A15,ШТАТ!$AK:$AK,3,ШТАТ!$AJ:$AJ,"к/с",ШТАТ!$U:$U,"")</f>
        <v>1</v>
      </c>
      <c r="AQ15" s="1222">
        <f t="shared" si="17"/>
        <v>1</v>
      </c>
      <c r="AR15" s="1219">
        <f>COUNTIFS(ШТАТ!$AL:$AL,$A15,ШТАТ!$AK:$AK,4,ШТАТ!$AJ:$AJ,"с/с",ШТАТ!$U:$U,"")</f>
        <v>0</v>
      </c>
      <c r="AS15" s="1219">
        <f>COUNTIFS(ШТАТ!$AL:$AL,$A15,ШТАТ!$AK:$AK,4,ШТАТ!$AJ:$AJ,"к/с",ШТАТ!$U:$U,"")</f>
        <v>6</v>
      </c>
      <c r="AT15" s="1222">
        <f t="shared" si="8"/>
        <v>6</v>
      </c>
      <c r="AU15" s="1221">
        <f t="shared" si="18"/>
        <v>7</v>
      </c>
      <c r="AV15" s="1219">
        <f>COUNTIFS(ШТАТ!$AL:$AL,$A15,ШТАТ!$U:$U,"госп")</f>
        <v>0</v>
      </c>
      <c r="AW15" s="1225">
        <f t="shared" si="9"/>
        <v>4</v>
      </c>
      <c r="AX15" s="1219">
        <f>COUNTIFS(ШТАТ!$AL:$AL,$A15,ШТАТ!$U:$U,"отпуск")</f>
        <v>0</v>
      </c>
      <c r="AY15" s="1219">
        <f>COUNTIFS(ШТАТ!$AL:$AL,$A15,ШТАТ!$U:$U,"соч")</f>
        <v>0</v>
      </c>
      <c r="AZ15" s="1225"/>
      <c r="BA15" s="1219">
        <f>COUNTIFS(ШТАТ!$AL:$AL,$A15,ШТАТ!$U:$U,"МП")</f>
        <v>0</v>
      </c>
      <c r="BB15" s="1226"/>
      <c r="BC15" s="1226"/>
      <c r="BD15" s="1219"/>
      <c r="BE15" s="1226"/>
      <c r="BF15" s="1226"/>
      <c r="BG15" s="1226"/>
      <c r="BH15" s="1226"/>
      <c r="BI15" s="1226"/>
      <c r="BJ15" s="1226"/>
      <c r="BK15" s="1226"/>
      <c r="BL15" s="1226"/>
      <c r="BM15" s="1226"/>
      <c r="BN15" s="1226"/>
      <c r="BO15" s="1226"/>
      <c r="BP15" s="1226"/>
      <c r="BQ15" s="1226"/>
      <c r="BR15" s="1226"/>
      <c r="BS15" s="1226"/>
      <c r="BT15" s="1226"/>
      <c r="BU15" s="1226"/>
      <c r="BV15" s="1226"/>
      <c r="BW15" s="1226"/>
      <c r="BX15" s="1226"/>
      <c r="BY15" s="1226"/>
      <c r="BZ15" s="1226"/>
      <c r="CA15" s="1226"/>
      <c r="CB15" s="1226"/>
      <c r="CC15" s="1226"/>
      <c r="CD15" s="1226"/>
      <c r="CE15" s="1226"/>
      <c r="CF15" s="1226"/>
      <c r="CG15" s="1226"/>
      <c r="CH15" s="1226"/>
      <c r="CI15" s="1226"/>
      <c r="CJ15" s="1226"/>
      <c r="CK15" s="1226"/>
      <c r="CL15" s="1226"/>
      <c r="CM15" s="1226"/>
      <c r="CN15" s="1226"/>
      <c r="CO15" s="1226"/>
      <c r="CP15" s="1226"/>
      <c r="CQ15" s="1226"/>
      <c r="CR15" s="1226"/>
      <c r="CS15" s="1226"/>
      <c r="CT15" s="1226"/>
      <c r="CU15" s="1226"/>
      <c r="CV15" s="1226"/>
      <c r="CW15" s="1226"/>
      <c r="CX15" s="1226"/>
      <c r="CY15" s="1226"/>
      <c r="CZ15" s="1226"/>
      <c r="DA15" s="1226"/>
      <c r="DB15" s="1226"/>
      <c r="DC15" s="1226"/>
      <c r="DD15" s="1226">
        <v>10</v>
      </c>
      <c r="DE15" s="1226"/>
      <c r="DF15" s="1226"/>
      <c r="DG15" s="1226"/>
      <c r="DH15" s="1226"/>
      <c r="DI15" s="1226"/>
      <c r="DJ15" s="1226"/>
      <c r="DK15" s="1226"/>
      <c r="DL15" s="1226"/>
      <c r="DM15" s="1226"/>
      <c r="DN15" s="1226"/>
      <c r="DO15" s="1226"/>
      <c r="DP15" s="1226"/>
      <c r="DQ15" s="1226"/>
      <c r="DR15" s="1226"/>
      <c r="DS15" s="1226"/>
      <c r="DT15" s="1226"/>
      <c r="DU15" s="1226"/>
      <c r="DV15" s="1226"/>
      <c r="DW15" s="1226"/>
      <c r="DX15" s="1226"/>
      <c r="DY15" s="1226"/>
      <c r="DZ15" s="1226"/>
      <c r="EA15" s="1226"/>
      <c r="EB15" s="1226"/>
      <c r="EC15" s="1226"/>
      <c r="ED15" s="1226"/>
      <c r="EE15" s="1226"/>
      <c r="EF15" s="1226"/>
      <c r="EG15" s="1226"/>
      <c r="EH15" s="1226"/>
      <c r="EI15" s="1226"/>
      <c r="EJ15" s="1226"/>
      <c r="EK15" s="1226"/>
      <c r="EL15" s="1226"/>
      <c r="EM15" s="1226"/>
      <c r="EN15" s="1226"/>
      <c r="EO15" s="1226"/>
      <c r="EP15" s="1226"/>
      <c r="EQ15" s="1226"/>
      <c r="ER15" s="1226"/>
      <c r="ES15" s="1226"/>
      <c r="ET15" s="1226"/>
      <c r="EU15" s="1226"/>
      <c r="EV15" s="1226"/>
      <c r="EW15" s="1226"/>
      <c r="EX15" s="1226"/>
      <c r="EY15" s="1226"/>
      <c r="EZ15" s="1226"/>
      <c r="FA15" s="1226"/>
      <c r="FB15" s="1226"/>
      <c r="FC15" s="1226"/>
      <c r="FD15" s="1226"/>
      <c r="FE15" s="1226"/>
      <c r="FF15" s="1226"/>
      <c r="FG15" s="1226"/>
      <c r="FH15" s="1226"/>
      <c r="FI15" s="1226"/>
      <c r="FJ15" s="1226"/>
      <c r="FK15" s="1226"/>
      <c r="FL15" s="1226"/>
      <c r="FM15" s="1226"/>
      <c r="FN15" s="1226"/>
      <c r="FO15" s="1226"/>
      <c r="FP15" s="1226"/>
      <c r="FQ15" s="1226"/>
      <c r="FR15" s="1226"/>
    </row>
    <row r="16" spans="1:174" ht="33" x14ac:dyDescent="0.25">
      <c r="A16" s="1227" t="s">
        <v>341</v>
      </c>
      <c r="B16" s="1227"/>
      <c r="C16" s="1275">
        <f t="shared" si="10"/>
        <v>34</v>
      </c>
      <c r="D16" s="1276" t="s">
        <v>56</v>
      </c>
      <c r="E16" s="1219">
        <f>COUNTIFS(ШТАТ!$AL:$AL,'БЧС Дерябин'!$A16,ШТАТ!$AK:$AK,1)</f>
        <v>4</v>
      </c>
      <c r="F16" s="1219">
        <f>COUNTIFS(ШТАТ!$AL:$AL,'БЧС Дерябин'!$A16,ШТАТ!$AK:$AK,2)</f>
        <v>1</v>
      </c>
      <c r="G16" s="1219">
        <f>COUNTIFS(ШТАТ!$AL:$AL,'БЧС Дерябин'!$A16,ШТАТ!$AK:$AK,3)</f>
        <v>8</v>
      </c>
      <c r="H16" s="1219">
        <f>COUNTIFS(ШТАТ!$AL:$AL,'БЧС Дерябин'!$A16,ШТАТ!$AK:$AK,4)</f>
        <v>32</v>
      </c>
      <c r="I16" s="1221">
        <f t="shared" si="3"/>
        <v>45</v>
      </c>
      <c r="J16" s="1219">
        <f>COUNTIFS(ШТАТ!AL:AL,A16,ШТАТ!AJ:AJ,"о")</f>
        <v>4</v>
      </c>
      <c r="K16" s="1219">
        <f>COUNTIFS(ШТАТ!AL:AL,A16,ШТАТ!AJ:AJ,"п")</f>
        <v>0</v>
      </c>
      <c r="L16" s="1219">
        <f>COUNTIFS(ШТАТ!$AL:$AL,$A16,ШТАТ!AK:AK,3,ШТАТ!AJ:AJ,"с/с")</f>
        <v>0</v>
      </c>
      <c r="M16" s="1219">
        <f>COUNTIFS(ШТАТ!$AL:$AL,$A16,ШТАТ!AK:AK,3,ШТАТ!AJ:AJ,"к/с")</f>
        <v>8</v>
      </c>
      <c r="N16" s="1222">
        <f t="shared" si="11"/>
        <v>8</v>
      </c>
      <c r="O16" s="1220">
        <f>COUNTIFS(ШТАТ!$AL:$AL,$A16,ШТАТ!AK:AK,4,ШТАТ!AJ:AJ,"с/с")</f>
        <v>0</v>
      </c>
      <c r="P16" s="1220">
        <f>COUNTIFS(ШТАТ!$AL:$AL,$A16,ШТАТ!AK:AK,4,ШТАТ!AJ:AJ,"к/с")</f>
        <v>30</v>
      </c>
      <c r="Q16" s="1222">
        <f t="shared" si="12"/>
        <v>30</v>
      </c>
      <c r="R16" s="1221">
        <f t="shared" si="13"/>
        <v>42</v>
      </c>
      <c r="S16" s="1223">
        <f t="shared" si="14"/>
        <v>0.93333333333333335</v>
      </c>
      <c r="T16" s="1219">
        <f>COUNTIFS(ШТАТ!$AL:$AL,$A16,ШТАТ!$AJ:$AJ,"о",ШТАТ!$X:$X,"выполнение специальных задач")</f>
        <v>0</v>
      </c>
      <c r="U16" s="1219">
        <f>COUNTIFS(ШТАТ!$AL:$AL,$A16,ШТАТ!$AJ:$AJ,"п",ШТАТ!$X:$X,"выполнение специальных задач")</f>
        <v>0</v>
      </c>
      <c r="V16" s="1219">
        <f>COUNTIFS(ШТАТ!$AL:$AL,$A16,ШТАТ!$AK:$AK,3,ШТАТ!$AJ:$AJ,"с/с",ШТАТ!$X:$X,"выполнение специальных задач")</f>
        <v>0</v>
      </c>
      <c r="W16" s="1219">
        <f>COUNTIFS(ШТАТ!$AL:$AL,$A16,ШТАТ!$AK:$AK,3,ШТАТ!$AJ:$AJ,"к/с",ШТАТ!$X:$X,"выполнение специальных задач")</f>
        <v>0</v>
      </c>
      <c r="X16" s="1222">
        <f t="shared" si="4"/>
        <v>0</v>
      </c>
      <c r="Y16" s="1219">
        <f>COUNTIFS(ШТАТ!$AL:$AL,$A16,ШТАТ!$AK:$AK,4,ШТАТ!$AJ:$AJ,"с/с",ШТАТ!$X:$X,"выполнение специальных задач")</f>
        <v>0</v>
      </c>
      <c r="Z16" s="1219">
        <f>COUNTIFS(ШТАТ!$AL:$AL,$A16,ШТАТ!$AK:$AK,4,ШТАТ!$AJ:$AJ,"к/с",ШТАТ!$X:$X,"выполнение специальных задач")</f>
        <v>1</v>
      </c>
      <c r="AA16" s="1222">
        <f t="shared" si="5"/>
        <v>1</v>
      </c>
      <c r="AB16" s="1221">
        <f t="shared" si="15"/>
        <v>1</v>
      </c>
      <c r="AC16" s="1224"/>
      <c r="AD16" s="1219">
        <f>COUNTIFS(ШТАТ!$AL:$AL,$A16,ШТАТ!$AK:$AK,1,ШТАТ!$AJ:$AJ,"о",ШТАТ!$W:$W,"г. Белгород")</f>
        <v>3</v>
      </c>
      <c r="AE16" s="1219">
        <f>COUNTIFS(ШТАТ!$AL:$AL,$A16,ШТАТ!$AK:$AK,2,ШТАТ!$AJ:$AJ,"п",ШТАТ!$W:$W,"г. Белгород")</f>
        <v>0</v>
      </c>
      <c r="AF16" s="1219">
        <f>COUNTIFS(ШТАТ!$AL:$AL,$A16,ШТАТ!$AK:$AK,3,ШТАТ!$AJ:$AJ,"с/с",ШТАТ!$W:$W,"г. Белгород")</f>
        <v>0</v>
      </c>
      <c r="AG16" s="1219">
        <f>COUNTIFS(ШТАТ!$AL:$AL,$A16,ШТАТ!$AK:$AK,3,ШТАТ!$AJ:$AJ,"к/с",ШТАТ!$W:$W,"г. Белгород")</f>
        <v>5</v>
      </c>
      <c r="AH16" s="1222">
        <f t="shared" si="6"/>
        <v>5</v>
      </c>
      <c r="AI16" s="1219">
        <f>COUNTIFS(ШТАТ!$AL:$AL,$A16,ШТАТ!$AK:$AK,4,ШТАТ!$AJ:$AJ,"с/с",ШТАТ!$W:$W,"г. Белгород")</f>
        <v>0</v>
      </c>
      <c r="AJ16" s="1219">
        <f>COUNTIFS(ШТАТ!$AL:$AL,$A16,ШТАТ!$AK:$AK,4,ШТАТ!$AJ:$AJ,"к/с",ШТАТ!$W:$W,"г. Белгород")</f>
        <v>26</v>
      </c>
      <c r="AK16" s="1222">
        <f t="shared" si="7"/>
        <v>26</v>
      </c>
      <c r="AL16" s="1221">
        <f t="shared" si="16"/>
        <v>34</v>
      </c>
      <c r="AM16" s="1219">
        <f>COUNTIFS(ШТАТ!$AL:$AL,$A16,ШТАТ!$AK:$AK,1,ШТАТ!$AJ:$AJ,"о",ШТАТ!$U:$U,"")</f>
        <v>1</v>
      </c>
      <c r="AN16" s="1219">
        <f>COUNTIFS(ШТАТ!$AL:$AL,$A16,ШТАТ!$AK:$AK,2,ШТАТ!$AJ:$AJ,"п",ШТАТ!$U:$U,"")</f>
        <v>0</v>
      </c>
      <c r="AO16" s="1219">
        <f>COUNTIFS(ШТАТ!$AL:$AL,$A16,ШТАТ!$AK:$AK,3,ШТАТ!$AJ:$AJ,"с/с",ШТАТ!$U:$U,"")</f>
        <v>0</v>
      </c>
      <c r="AP16" s="1219">
        <f>COUNTIFS(ШТАТ!$AL:$AL,$A16,ШТАТ!$AK:$AK,3,ШТАТ!$AJ:$AJ,"к/с",ШТАТ!$U:$U,"")</f>
        <v>1</v>
      </c>
      <c r="AQ16" s="1222">
        <f t="shared" si="17"/>
        <v>1</v>
      </c>
      <c r="AR16" s="1219">
        <f>COUNTIFS(ШТАТ!$AL:$AL,$A16,ШТАТ!$AK:$AK,4,ШТАТ!$AJ:$AJ,"с/с",ШТАТ!$U:$U,"")</f>
        <v>0</v>
      </c>
      <c r="AS16" s="1219">
        <f>COUNTIFS(ШТАТ!$AL:$AL,$A16,ШТАТ!$AK:$AK,4,ШТАТ!$AJ:$AJ,"к/с",ШТАТ!$U:$U,"")</f>
        <v>0</v>
      </c>
      <c r="AT16" s="1222">
        <f t="shared" si="8"/>
        <v>0</v>
      </c>
      <c r="AU16" s="1221">
        <f t="shared" si="18"/>
        <v>2</v>
      </c>
      <c r="AV16" s="1219">
        <f>COUNTIFS(ШТАТ!$AL:$AL,$A16,ШТАТ!$U:$U,"госп")</f>
        <v>0</v>
      </c>
      <c r="AW16" s="1225">
        <f t="shared" si="9"/>
        <v>2</v>
      </c>
      <c r="AX16" s="1219">
        <f>COUNTIFS(ШТАТ!$AL:$AL,$A16,ШТАТ!$U:$U,"отпуск")</f>
        <v>1</v>
      </c>
      <c r="AY16" s="1219">
        <f>COUNTIFS(ШТАТ!$AL:$AL,$A16,ШТАТ!$U:$U,"соч")</f>
        <v>2</v>
      </c>
      <c r="AZ16" s="1225"/>
      <c r="BA16" s="1219">
        <f>COUNTIFS(ШТАТ!$AL:$AL,$A16,ШТАТ!$U:$U,"МП")</f>
        <v>0</v>
      </c>
      <c r="BB16" s="1226"/>
      <c r="BC16" s="1226"/>
      <c r="BD16" s="1219"/>
      <c r="BE16" s="1226"/>
      <c r="BF16" s="1226"/>
      <c r="BG16" s="1226"/>
      <c r="BH16" s="1226"/>
      <c r="BI16" s="1226"/>
      <c r="BJ16" s="1226"/>
      <c r="BK16" s="1226"/>
      <c r="BL16" s="1226"/>
      <c r="BM16" s="1226"/>
      <c r="BN16" s="1226"/>
      <c r="BO16" s="1226"/>
      <c r="BP16" s="1226"/>
      <c r="BQ16" s="1226"/>
      <c r="BR16" s="1226"/>
      <c r="BS16" s="1226"/>
      <c r="BT16" s="1226"/>
      <c r="BU16" s="1226"/>
      <c r="BV16" s="1226"/>
      <c r="BW16" s="1226"/>
      <c r="BX16" s="1226"/>
      <c r="BY16" s="1226"/>
      <c r="BZ16" s="1226"/>
      <c r="CA16" s="1226"/>
      <c r="CB16" s="1226"/>
      <c r="CC16" s="1226"/>
      <c r="CD16" s="1226"/>
      <c r="CE16" s="1226"/>
      <c r="CF16" s="1226"/>
      <c r="CG16" s="1226"/>
      <c r="CH16" s="1226"/>
      <c r="CI16" s="1226"/>
      <c r="CJ16" s="1226"/>
      <c r="CK16" s="1226"/>
      <c r="CL16" s="1226"/>
      <c r="CM16" s="1226"/>
      <c r="CN16" s="1226"/>
      <c r="CO16" s="1226"/>
      <c r="CP16" s="1226"/>
      <c r="CQ16" s="1226"/>
      <c r="CR16" s="1226"/>
      <c r="CS16" s="1226"/>
      <c r="CT16" s="1226"/>
      <c r="CU16" s="1226"/>
      <c r="CV16" s="1226"/>
      <c r="CW16" s="1226"/>
      <c r="CX16" s="1226"/>
      <c r="CY16" s="1226"/>
      <c r="CZ16" s="1226"/>
      <c r="DA16" s="1226"/>
      <c r="DB16" s="1226"/>
      <c r="DC16" s="1226"/>
      <c r="DD16" s="1226"/>
      <c r="DE16" s="1226"/>
      <c r="DF16" s="1226"/>
      <c r="DG16" s="1226"/>
      <c r="DH16" s="1226"/>
      <c r="DI16" s="1226"/>
      <c r="DJ16" s="1226"/>
      <c r="DK16" s="1226"/>
      <c r="DL16" s="1226"/>
      <c r="DM16" s="1226"/>
      <c r="DN16" s="1226"/>
      <c r="DO16" s="1226"/>
      <c r="DP16" s="1226"/>
      <c r="DQ16" s="1226"/>
      <c r="DR16" s="1226"/>
      <c r="DS16" s="1226"/>
      <c r="DT16" s="1226"/>
      <c r="DU16" s="1226"/>
      <c r="DV16" s="1226"/>
      <c r="DW16" s="1226"/>
      <c r="DX16" s="1226"/>
      <c r="DY16" s="1226"/>
      <c r="DZ16" s="1226"/>
      <c r="EA16" s="1226"/>
      <c r="EB16" s="1226"/>
      <c r="EC16" s="1226"/>
      <c r="ED16" s="1226"/>
      <c r="EE16" s="1226"/>
      <c r="EF16" s="1226"/>
      <c r="EG16" s="1226"/>
      <c r="EH16" s="1226"/>
      <c r="EI16" s="1226"/>
      <c r="EJ16" s="1226"/>
      <c r="EK16" s="1226"/>
      <c r="EL16" s="1226"/>
      <c r="EM16" s="1226"/>
      <c r="EN16" s="1226"/>
      <c r="EO16" s="1226"/>
      <c r="EP16" s="1226"/>
      <c r="EQ16" s="1226"/>
      <c r="ER16" s="1226"/>
      <c r="ES16" s="1226"/>
      <c r="ET16" s="1226"/>
      <c r="EU16" s="1226"/>
      <c r="EV16" s="1226"/>
      <c r="EW16" s="1226"/>
      <c r="EX16" s="1226"/>
      <c r="EY16" s="1226"/>
      <c r="EZ16" s="1226"/>
      <c r="FA16" s="1226"/>
      <c r="FB16" s="1226"/>
      <c r="FC16" s="1226"/>
      <c r="FD16" s="1226"/>
      <c r="FE16" s="1226"/>
      <c r="FF16" s="1226"/>
      <c r="FG16" s="1226"/>
      <c r="FH16" s="1226">
        <v>6</v>
      </c>
      <c r="FI16" s="1226"/>
      <c r="FJ16" s="1226">
        <v>2</v>
      </c>
      <c r="FK16" s="1226"/>
      <c r="FL16" s="1226"/>
      <c r="FM16" s="1226"/>
      <c r="FN16" s="1226"/>
      <c r="FO16" s="1226"/>
      <c r="FP16" s="1226"/>
      <c r="FQ16" s="1226"/>
      <c r="FR16" s="1226"/>
    </row>
    <row r="17" spans="1:174" ht="33" x14ac:dyDescent="0.25">
      <c r="A17" s="1227" t="s">
        <v>379</v>
      </c>
      <c r="B17" s="1227"/>
      <c r="C17" s="1275">
        <f t="shared" si="10"/>
        <v>16</v>
      </c>
      <c r="D17" s="1276" t="s">
        <v>56</v>
      </c>
      <c r="E17" s="1219">
        <f>COUNTIFS(ШТАТ!$AL:$AL,'БЧС Дерябин'!$A17,ШТАТ!$AK:$AK,1)</f>
        <v>1</v>
      </c>
      <c r="F17" s="1219">
        <f>COUNTIFS(ШТАТ!$AL:$AL,'БЧС Дерябин'!$A17,ШТАТ!$AK:$AK,2)</f>
        <v>0</v>
      </c>
      <c r="G17" s="1219">
        <f>COUNTIFS(ШТАТ!$AL:$AL,'БЧС Дерябин'!$A17,ШТАТ!$AK:$AK,3)</f>
        <v>3</v>
      </c>
      <c r="H17" s="1219">
        <f>COUNTIFS(ШТАТ!$AL:$AL,'БЧС Дерябин'!$A17,ШТАТ!$AK:$AK,4)</f>
        <v>18</v>
      </c>
      <c r="I17" s="1221">
        <f t="shared" si="3"/>
        <v>22</v>
      </c>
      <c r="J17" s="1219">
        <f>COUNTIFS(ШТАТ!AL:AL,A17,ШТАТ!AJ:AJ,"о")</f>
        <v>1</v>
      </c>
      <c r="K17" s="1219">
        <f>COUNTIFS(ШТАТ!AL:AL,A17,ШТАТ!AJ:AJ,"п")</f>
        <v>0</v>
      </c>
      <c r="L17" s="1219">
        <f>COUNTIFS(ШТАТ!$AL:$AL,$A17,ШТАТ!AK:AK,3,ШТАТ!AJ:AJ,"с/с")</f>
        <v>0</v>
      </c>
      <c r="M17" s="1219">
        <f>COUNTIFS(ШТАТ!$AL:$AL,$A17,ШТАТ!AK:AK,3,ШТАТ!AJ:AJ,"к/с")</f>
        <v>2</v>
      </c>
      <c r="N17" s="1222">
        <f t="shared" si="11"/>
        <v>2</v>
      </c>
      <c r="O17" s="1220">
        <f>COUNTIFS(ШТАТ!$AL:$AL,$A17,ШТАТ!AK:AK,4,ШТАТ!AJ:AJ,"с/с")</f>
        <v>0</v>
      </c>
      <c r="P17" s="1220">
        <f>COUNTIFS(ШТАТ!$AL:$AL,$A17,ШТАТ!AK:AK,4,ШТАТ!AJ:AJ,"к/с")</f>
        <v>16</v>
      </c>
      <c r="Q17" s="1222">
        <f t="shared" si="12"/>
        <v>16</v>
      </c>
      <c r="R17" s="1221">
        <f t="shared" si="13"/>
        <v>19</v>
      </c>
      <c r="S17" s="1223">
        <f t="shared" si="14"/>
        <v>0.86363636363636365</v>
      </c>
      <c r="T17" s="1219">
        <f>COUNTIFS(ШТАТ!$AL:$AL,$A17,ШТАТ!$AJ:$AJ,"о",ШТАТ!$X:$X,"выполнение специальных задач")</f>
        <v>0</v>
      </c>
      <c r="U17" s="1219">
        <f>COUNTIFS(ШТАТ!$AL:$AL,$A17,ШТАТ!$AJ:$AJ,"п",ШТАТ!$X:$X,"выполнение специальных задач")</f>
        <v>0</v>
      </c>
      <c r="V17" s="1219">
        <f>COUNTIFS(ШТАТ!$AL:$AL,$A17,ШТАТ!$AK:$AK,3,ШТАТ!$AJ:$AJ,"с/с",ШТАТ!$X:$X,"выполнение специальных задач")</f>
        <v>0</v>
      </c>
      <c r="W17" s="1219">
        <f>COUNTIFS(ШТАТ!$AL:$AL,$A17,ШТАТ!$AK:$AK,3,ШТАТ!$AJ:$AJ,"к/с",ШТАТ!$X:$X,"выполнение специальных задач")</f>
        <v>0</v>
      </c>
      <c r="X17" s="1222">
        <f t="shared" si="4"/>
        <v>0</v>
      </c>
      <c r="Y17" s="1219">
        <f>COUNTIFS(ШТАТ!$AL:$AL,$A17,ШТАТ!$AK:$AK,4,ШТАТ!$AJ:$AJ,"с/с",ШТАТ!$X:$X,"выполнение специальных задач")</f>
        <v>0</v>
      </c>
      <c r="Z17" s="1219">
        <f>COUNTIFS(ШТАТ!$AL:$AL,$A17,ШТАТ!$AK:$AK,4,ШТАТ!$AJ:$AJ,"к/с",ШТАТ!$X:$X,"выполнение специальных задач")</f>
        <v>0</v>
      </c>
      <c r="AA17" s="1222">
        <f t="shared" si="5"/>
        <v>0</v>
      </c>
      <c r="AB17" s="1221">
        <f t="shared" si="15"/>
        <v>0</v>
      </c>
      <c r="AC17" s="1224"/>
      <c r="AD17" s="1219">
        <f>COUNTIFS(ШТАТ!$AL:$AL,$A17,ШТАТ!$AK:$AK,1,ШТАТ!$AJ:$AJ,"о",ШТАТ!$W:$W,"г. Белгород")</f>
        <v>1</v>
      </c>
      <c r="AE17" s="1219">
        <f>COUNTIFS(ШТАТ!$AL:$AL,$A17,ШТАТ!$AK:$AK,2,ШТАТ!$AJ:$AJ,"п",ШТАТ!$W:$W,"г. Белгород")</f>
        <v>0</v>
      </c>
      <c r="AF17" s="1219">
        <f>COUNTIFS(ШТАТ!$AL:$AL,$A17,ШТАТ!$AK:$AK,3,ШТАТ!$AJ:$AJ,"с/с",ШТАТ!$W:$W,"г. Белгород")</f>
        <v>0</v>
      </c>
      <c r="AG17" s="1219">
        <f>COUNTIFS(ШТАТ!$AL:$AL,$A17,ШТАТ!$AK:$AK,3,ШТАТ!$AJ:$AJ,"к/с",ШТАТ!$W:$W,"г. Белгород")</f>
        <v>2</v>
      </c>
      <c r="AH17" s="1222">
        <f t="shared" si="6"/>
        <v>2</v>
      </c>
      <c r="AI17" s="1219">
        <f>COUNTIFS(ШТАТ!$AL:$AL,$A17,ШТАТ!$AK:$AK,4,ШТАТ!$AJ:$AJ,"с/с",ШТАТ!$W:$W,"г. Белгород")</f>
        <v>0</v>
      </c>
      <c r="AJ17" s="1219">
        <f>COUNTIFS(ШТАТ!$AL:$AL,$A17,ШТАТ!$AK:$AK,4,ШТАТ!$AJ:$AJ,"к/с",ШТАТ!$W:$W,"г. Белгород")</f>
        <v>13</v>
      </c>
      <c r="AK17" s="1222">
        <f t="shared" si="7"/>
        <v>13</v>
      </c>
      <c r="AL17" s="1221">
        <f t="shared" si="16"/>
        <v>16</v>
      </c>
      <c r="AM17" s="1219">
        <f>COUNTIFS(ШТАТ!$AL:$AL,$A17,ШТАТ!$AK:$AK,1,ШТАТ!$AJ:$AJ,"о",ШТАТ!$U:$U,"")</f>
        <v>0</v>
      </c>
      <c r="AN17" s="1219">
        <f>COUNTIFS(ШТАТ!$AL:$AL,$A17,ШТАТ!$AK:$AK,2,ШТАТ!$AJ:$AJ,"п",ШТАТ!$U:$U,"")</f>
        <v>0</v>
      </c>
      <c r="AO17" s="1219">
        <f>COUNTIFS(ШТАТ!$AL:$AL,$A17,ШТАТ!$AK:$AK,3,ШТАТ!$AJ:$AJ,"с/с",ШТАТ!$U:$U,"")</f>
        <v>0</v>
      </c>
      <c r="AP17" s="1219">
        <f>COUNTIFS(ШТАТ!$AL:$AL,$A17,ШТАТ!$AK:$AK,3,ШТАТ!$AJ:$AJ,"к/с",ШТАТ!$U:$U,"")</f>
        <v>0</v>
      </c>
      <c r="AQ17" s="1222">
        <f t="shared" si="17"/>
        <v>0</v>
      </c>
      <c r="AR17" s="1219">
        <f>COUNTIFS(ШТАТ!$AL:$AL,$A17,ШТАТ!$AK:$AK,4,ШТАТ!$AJ:$AJ,"с/с",ШТАТ!$U:$U,"")</f>
        <v>0</v>
      </c>
      <c r="AS17" s="1219">
        <f>COUNTIFS(ШТАТ!$AL:$AL,$A17,ШТАТ!$AK:$AK,4,ШТАТ!$AJ:$AJ,"к/с",ШТАТ!$U:$U,"")</f>
        <v>1</v>
      </c>
      <c r="AT17" s="1222">
        <f t="shared" si="8"/>
        <v>1</v>
      </c>
      <c r="AU17" s="1221">
        <f t="shared" si="18"/>
        <v>1</v>
      </c>
      <c r="AV17" s="1219">
        <f>COUNTIFS(ШТАТ!$AL:$AL,$A17,ШТАТ!$U:$U,"госп")</f>
        <v>0</v>
      </c>
      <c r="AW17" s="1225">
        <f t="shared" si="9"/>
        <v>1</v>
      </c>
      <c r="AX17" s="1219">
        <f>COUNTIFS(ШТАТ!$AL:$AL,$A17,ШТАТ!$U:$U,"отпуск")</f>
        <v>0</v>
      </c>
      <c r="AY17" s="1219">
        <f>COUNTIFS(ШТАТ!$AL:$AL,$A17,ШТАТ!$U:$U,"соч")</f>
        <v>1</v>
      </c>
      <c r="AZ17" s="1225"/>
      <c r="BA17" s="1219">
        <f>COUNTIFS(ШТАТ!$AL:$AL,$A17,ШТАТ!$U:$U,"МП")</f>
        <v>0</v>
      </c>
      <c r="BB17" s="1226"/>
      <c r="BC17" s="1226"/>
      <c r="BD17" s="1219"/>
      <c r="BE17" s="1226"/>
      <c r="BF17" s="1226"/>
      <c r="BG17" s="1226"/>
      <c r="BH17" s="1226"/>
      <c r="BI17" s="1226"/>
      <c r="BJ17" s="1226"/>
      <c r="BK17" s="1226"/>
      <c r="BL17" s="1226"/>
      <c r="BM17" s="1226"/>
      <c r="BN17" s="1226"/>
      <c r="BO17" s="1226"/>
      <c r="BP17" s="1226"/>
      <c r="BQ17" s="1226"/>
      <c r="BR17" s="1226"/>
      <c r="BS17" s="1226"/>
      <c r="BT17" s="1226"/>
      <c r="BU17" s="1226"/>
      <c r="BV17" s="1226"/>
      <c r="BW17" s="1226"/>
      <c r="BX17" s="1226"/>
      <c r="BY17" s="1226"/>
      <c r="BZ17" s="1226"/>
      <c r="CA17" s="1226"/>
      <c r="CB17" s="1226"/>
      <c r="CC17" s="1226"/>
      <c r="CD17" s="1226"/>
      <c r="CE17" s="1226"/>
      <c r="CF17" s="1226"/>
      <c r="CG17" s="1226"/>
      <c r="CH17" s="1226"/>
      <c r="CI17" s="1226"/>
      <c r="CJ17" s="1226"/>
      <c r="CK17" s="1226"/>
      <c r="CL17" s="1226"/>
      <c r="CM17" s="1226"/>
      <c r="CN17" s="1226"/>
      <c r="CO17" s="1226"/>
      <c r="CP17" s="1226"/>
      <c r="CQ17" s="1226"/>
      <c r="CR17" s="1226"/>
      <c r="CS17" s="1226"/>
      <c r="CT17" s="1226"/>
      <c r="CU17" s="1226"/>
      <c r="CV17" s="1226"/>
      <c r="CW17" s="1226"/>
      <c r="CX17" s="1226"/>
      <c r="CY17" s="1226"/>
      <c r="CZ17" s="1226"/>
      <c r="DA17" s="1226"/>
      <c r="DB17" s="1226"/>
      <c r="DC17" s="1226"/>
      <c r="DD17" s="1226">
        <v>4</v>
      </c>
      <c r="DE17" s="1226"/>
      <c r="DF17" s="1226"/>
      <c r="DG17" s="1226"/>
      <c r="DH17" s="1226"/>
      <c r="DI17" s="1226"/>
      <c r="DJ17" s="1226"/>
      <c r="DK17" s="1226"/>
      <c r="DL17" s="1226"/>
      <c r="DM17" s="1226"/>
      <c r="DN17" s="1226"/>
      <c r="DO17" s="1226"/>
      <c r="DP17" s="1226"/>
      <c r="DQ17" s="1226"/>
      <c r="DR17" s="1226"/>
      <c r="DS17" s="1226"/>
      <c r="DT17" s="1226"/>
      <c r="DU17" s="1226"/>
      <c r="DV17" s="1226"/>
      <c r="DW17" s="1226"/>
      <c r="DX17" s="1226"/>
      <c r="DY17" s="1226"/>
      <c r="DZ17" s="1226"/>
      <c r="EA17" s="1226"/>
      <c r="EB17" s="1226"/>
      <c r="EC17" s="1226"/>
      <c r="ED17" s="1226"/>
      <c r="EE17" s="1226"/>
      <c r="EF17" s="1226"/>
      <c r="EG17" s="1226"/>
      <c r="EH17" s="1226"/>
      <c r="EI17" s="1226"/>
      <c r="EJ17" s="1226"/>
      <c r="EK17" s="1226"/>
      <c r="EL17" s="1226"/>
      <c r="EM17" s="1226"/>
      <c r="EN17" s="1226"/>
      <c r="EO17" s="1226"/>
      <c r="EP17" s="1226"/>
      <c r="EQ17" s="1226"/>
      <c r="ER17" s="1226"/>
      <c r="ES17" s="1226"/>
      <c r="ET17" s="1226"/>
      <c r="EU17" s="1226"/>
      <c r="EV17" s="1226"/>
      <c r="EW17" s="1226"/>
      <c r="EX17" s="1226"/>
      <c r="EY17" s="1226"/>
      <c r="EZ17" s="1226"/>
      <c r="FA17" s="1226"/>
      <c r="FB17" s="1226"/>
      <c r="FC17" s="1226"/>
      <c r="FD17" s="1226"/>
      <c r="FE17" s="1226"/>
      <c r="FF17" s="1226"/>
      <c r="FG17" s="1226"/>
      <c r="FH17" s="1226"/>
      <c r="FI17" s="1226"/>
      <c r="FJ17" s="1226"/>
      <c r="FK17" s="1226"/>
      <c r="FL17" s="1226"/>
      <c r="FM17" s="1226"/>
      <c r="FN17" s="1226"/>
      <c r="FO17" s="1226"/>
      <c r="FP17" s="1226"/>
      <c r="FQ17" s="1226"/>
      <c r="FR17" s="1226"/>
    </row>
    <row r="18" spans="1:174" ht="33" x14ac:dyDescent="0.25">
      <c r="A18" s="1227" t="s">
        <v>394</v>
      </c>
      <c r="B18" s="1227"/>
      <c r="C18" s="1275">
        <f t="shared" si="10"/>
        <v>4</v>
      </c>
      <c r="D18" s="1276" t="s">
        <v>56</v>
      </c>
      <c r="E18" s="1219">
        <f>COUNTIFS(ШТАТ!$AL:$AL,'БЧС Дерябин'!$A18,ШТАТ!$AK:$AK,1)</f>
        <v>1</v>
      </c>
      <c r="F18" s="1219">
        <f>COUNTIFS(ШТАТ!$AL:$AL,'БЧС Дерябин'!$A18,ШТАТ!$AK:$AK,2)</f>
        <v>0</v>
      </c>
      <c r="G18" s="1219">
        <f>COUNTIFS(ШТАТ!$AL:$AL,'БЧС Дерябин'!$A18,ШТАТ!$AK:$AK,3)</f>
        <v>3</v>
      </c>
      <c r="H18" s="1219">
        <f>COUNTIFS(ШТАТ!$AL:$AL,'БЧС Дерябин'!$A18,ШТАТ!$AK:$AK,4)</f>
        <v>9</v>
      </c>
      <c r="I18" s="1221">
        <f t="shared" si="3"/>
        <v>13</v>
      </c>
      <c r="J18" s="1219">
        <f>COUNTIFS(ШТАТ!AL:AL,A18,ШТАТ!AJ:AJ,"о")</f>
        <v>1</v>
      </c>
      <c r="K18" s="1219">
        <f>COUNTIFS(ШТАТ!AL:AL,A18,ШТАТ!AJ:AJ,"п")</f>
        <v>0</v>
      </c>
      <c r="L18" s="1219">
        <f>COUNTIFS(ШТАТ!$AL:$AL,$A18,ШТАТ!AK:AK,3,ШТАТ!AJ:AJ,"с/с")</f>
        <v>0</v>
      </c>
      <c r="M18" s="1219">
        <f>COUNTIFS(ШТАТ!$AL:$AL,$A18,ШТАТ!AK:AK,3,ШТАТ!AJ:AJ,"к/с")</f>
        <v>1</v>
      </c>
      <c r="N18" s="1222">
        <f>SUM(L18:M18)</f>
        <v>1</v>
      </c>
      <c r="O18" s="1220">
        <f>COUNTIFS(ШТАТ!$AL:$AL,$A18,ШТАТ!AK:AK,4,ШТАТ!AJ:AJ,"с/с")</f>
        <v>0</v>
      </c>
      <c r="P18" s="1220">
        <f>COUNTIFS(ШТАТ!$AL:$AL,$A18,ШТАТ!AK:AK,4,ШТАТ!AJ:AJ,"к/с")</f>
        <v>4</v>
      </c>
      <c r="Q18" s="1222">
        <f t="shared" si="12"/>
        <v>4</v>
      </c>
      <c r="R18" s="1221">
        <f t="shared" si="13"/>
        <v>6</v>
      </c>
      <c r="S18" s="1223">
        <f t="shared" si="14"/>
        <v>0.46153846153846156</v>
      </c>
      <c r="T18" s="1219">
        <f>COUNTIFS(ШТАТ!$AL:$AL,$A18,ШТАТ!$AJ:$AJ,"о",ШТАТ!$X:$X,"выполнение специальных задач")</f>
        <v>0</v>
      </c>
      <c r="U18" s="1219">
        <f>COUNTIFS(ШТАТ!$AL:$AL,$A18,ШТАТ!$AJ:$AJ,"п",ШТАТ!$X:$X,"выполнение специальных задач")</f>
        <v>0</v>
      </c>
      <c r="V18" s="1219">
        <f>COUNTIFS(ШТАТ!$AL:$AL,$A18,ШТАТ!$AK:$AK,3,ШТАТ!$AJ:$AJ,"с/с",ШТАТ!$X:$X,"выполнение специальных задач")</f>
        <v>0</v>
      </c>
      <c r="W18" s="1219">
        <f>COUNTIFS(ШТАТ!$AL:$AL,$A18,ШТАТ!$AK:$AK,3,ШТАТ!$AJ:$AJ,"к/с",ШТАТ!$X:$X,"выполнение специальных задач")</f>
        <v>0</v>
      </c>
      <c r="X18" s="1222">
        <f t="shared" si="4"/>
        <v>0</v>
      </c>
      <c r="Y18" s="1219">
        <f>COUNTIFS(ШТАТ!$AL:$AL,$A18,ШТАТ!$AK:$AK,4,ШТАТ!$AJ:$AJ,"с/с",ШТАТ!$X:$X,"выполнение специальных задач")</f>
        <v>0</v>
      </c>
      <c r="Z18" s="1219">
        <f>COUNTIFS(ШТАТ!$AL:$AL,$A18,ШТАТ!$AK:$AK,4,ШТАТ!$AJ:$AJ,"к/с",ШТАТ!$X:$X,"выполнение специальных задач")</f>
        <v>0</v>
      </c>
      <c r="AA18" s="1222">
        <f t="shared" si="5"/>
        <v>0</v>
      </c>
      <c r="AB18" s="1221">
        <f t="shared" si="15"/>
        <v>0</v>
      </c>
      <c r="AC18" s="1224"/>
      <c r="AD18" s="1219">
        <f>COUNTIFS(ШТАТ!$AL:$AL,$A18,ШТАТ!$AK:$AK,1,ШТАТ!$AJ:$AJ,"о",ШТАТ!$W:$W,"г. Белгород")</f>
        <v>1</v>
      </c>
      <c r="AE18" s="1219">
        <f>COUNTIFS(ШТАТ!$AL:$AL,$A18,ШТАТ!$AK:$AK,2,ШТАТ!$AJ:$AJ,"п",ШТАТ!$W:$W,"г. Белгород")</f>
        <v>0</v>
      </c>
      <c r="AF18" s="1219">
        <f>COUNTIFS(ШТАТ!$AL:$AL,$A18,ШТАТ!$AK:$AK,3,ШТАТ!$AJ:$AJ,"с/с",ШТАТ!$W:$W,"г. Белгород")</f>
        <v>0</v>
      </c>
      <c r="AG18" s="1219">
        <f>COUNTIFS(ШТАТ!$AL:$AL,$A18,ШТАТ!$AK:$AK,3,ШТАТ!$AJ:$AJ,"к/с",ШТАТ!$W:$W,"г. Белгород")</f>
        <v>1</v>
      </c>
      <c r="AH18" s="1222">
        <f t="shared" si="6"/>
        <v>1</v>
      </c>
      <c r="AI18" s="1219">
        <f>COUNTIFS(ШТАТ!$AL:$AL,$A18,ШТАТ!$AK:$AK,4,ШТАТ!$AJ:$AJ,"с/с",ШТАТ!$W:$W,"г. Белгород")</f>
        <v>0</v>
      </c>
      <c r="AJ18" s="1219">
        <f>COUNTIFS(ШТАТ!$AL:$AL,$A18,ШТАТ!$AK:$AK,4,ШТАТ!$AJ:$AJ,"к/с",ШТАТ!$W:$W,"г. Белгород")</f>
        <v>2</v>
      </c>
      <c r="AK18" s="1222">
        <f t="shared" si="7"/>
        <v>2</v>
      </c>
      <c r="AL18" s="1221">
        <f t="shared" si="16"/>
        <v>4</v>
      </c>
      <c r="AM18" s="1219">
        <f>COUNTIFS(ШТАТ!$AL:$AL,$A18,ШТАТ!$AK:$AK,1,ШТАТ!$AJ:$AJ,"о",ШТАТ!$U:$U,"")</f>
        <v>0</v>
      </c>
      <c r="AN18" s="1219">
        <f>COUNTIFS(ШТАТ!$AL:$AL,$A18,ШТАТ!$AK:$AK,2,ШТАТ!$AJ:$AJ,"п",ШТАТ!$U:$U,"")</f>
        <v>0</v>
      </c>
      <c r="AO18" s="1219">
        <f>COUNTIFS(ШТАТ!$AL:$AL,$A18,ШТАТ!$AK:$AK,3,ШТАТ!$AJ:$AJ,"с/с",ШТАТ!$U:$U,"")</f>
        <v>0</v>
      </c>
      <c r="AP18" s="1219">
        <f>COUNTIFS(ШТАТ!$AL:$AL,$A18,ШТАТ!$AK:$AK,3,ШТАТ!$AJ:$AJ,"к/с",ШТАТ!$U:$U,"")</f>
        <v>0</v>
      </c>
      <c r="AQ18" s="1222">
        <f t="shared" si="17"/>
        <v>0</v>
      </c>
      <c r="AR18" s="1219">
        <f>COUNTIFS(ШТАТ!$AL:$AL,$A18,ШТАТ!$AK:$AK,4,ШТАТ!$AJ:$AJ,"с/с",ШТАТ!$U:$U,"")</f>
        <v>0</v>
      </c>
      <c r="AS18" s="1219">
        <f>COUNTIFS(ШТАТ!$AL:$AL,$A18,ШТАТ!$AK:$AK,4,ШТАТ!$AJ:$AJ,"к/с",ШТАТ!$U:$U,"")</f>
        <v>0</v>
      </c>
      <c r="AT18" s="1222">
        <f t="shared" si="8"/>
        <v>0</v>
      </c>
      <c r="AU18" s="1221">
        <f t="shared" si="18"/>
        <v>0</v>
      </c>
      <c r="AV18" s="1219">
        <f>COUNTIFS(ШТАТ!$AL:$AL,$A18,ШТАТ!$U:$U,"госп")</f>
        <v>1</v>
      </c>
      <c r="AW18" s="1225">
        <f t="shared" si="9"/>
        <v>0</v>
      </c>
      <c r="AX18" s="1219">
        <f>COUNTIFS(ШТАТ!$AL:$AL,$A18,ШТАТ!$U:$U,"отпуск")</f>
        <v>0</v>
      </c>
      <c r="AY18" s="1219">
        <f>COUNTIFS(ШТАТ!$AL:$AL,$A18,ШТАТ!$U:$U,"соч")</f>
        <v>1</v>
      </c>
      <c r="AZ18" s="1225"/>
      <c r="BA18" s="1219">
        <f>COUNTIFS(ШТАТ!$AL:$AL,$A18,ШТАТ!$U:$U,"МП")</f>
        <v>0</v>
      </c>
      <c r="BB18" s="1226"/>
      <c r="BC18" s="1226"/>
      <c r="BD18" s="1219"/>
      <c r="BE18" s="1226"/>
      <c r="BF18" s="1226"/>
      <c r="BG18" s="1226"/>
      <c r="BH18" s="1226"/>
      <c r="BI18" s="1226"/>
      <c r="BJ18" s="1226"/>
      <c r="BK18" s="1226"/>
      <c r="BL18" s="1226"/>
      <c r="BM18" s="1226"/>
      <c r="BN18" s="1226"/>
      <c r="BO18" s="1226"/>
      <c r="BP18" s="1226"/>
      <c r="BQ18" s="1226"/>
      <c r="BR18" s="1226"/>
      <c r="BS18" s="1226"/>
      <c r="BT18" s="1226"/>
      <c r="BU18" s="1226"/>
      <c r="BV18" s="1226"/>
      <c r="BW18" s="1226"/>
      <c r="BX18" s="1226"/>
      <c r="BY18" s="1226"/>
      <c r="BZ18" s="1226"/>
      <c r="CA18" s="1226"/>
      <c r="CB18" s="1226"/>
      <c r="CC18" s="1226"/>
      <c r="CD18" s="1226"/>
      <c r="CE18" s="1226"/>
      <c r="CF18" s="1226"/>
      <c r="CG18" s="1226"/>
      <c r="CH18" s="1226"/>
      <c r="CI18" s="1226"/>
      <c r="CJ18" s="1226"/>
      <c r="CK18" s="1226"/>
      <c r="CL18" s="1226"/>
      <c r="CM18" s="1226"/>
      <c r="CN18" s="1226"/>
      <c r="CO18" s="1226"/>
      <c r="CP18" s="1226"/>
      <c r="CQ18" s="1226"/>
      <c r="CR18" s="1226"/>
      <c r="CS18" s="1226"/>
      <c r="CT18" s="1226"/>
      <c r="CU18" s="1226"/>
      <c r="CV18" s="1226"/>
      <c r="CW18" s="1226"/>
      <c r="CX18" s="1226"/>
      <c r="CY18" s="1226"/>
      <c r="CZ18" s="1226"/>
      <c r="DA18" s="1226"/>
      <c r="DB18" s="1226"/>
      <c r="DC18" s="1226"/>
      <c r="DD18" s="1226"/>
      <c r="DE18" s="1226"/>
      <c r="DF18" s="1226"/>
      <c r="DG18" s="1226"/>
      <c r="DH18" s="1226"/>
      <c r="DI18" s="1226"/>
      <c r="DJ18" s="1226"/>
      <c r="DK18" s="1226"/>
      <c r="DL18" s="1226"/>
      <c r="DM18" s="1226">
        <v>6</v>
      </c>
      <c r="DN18" s="1226"/>
      <c r="DO18" s="1226"/>
      <c r="DP18" s="1226"/>
      <c r="DQ18" s="1226"/>
      <c r="DR18" s="1226"/>
      <c r="DS18" s="1226"/>
      <c r="DT18" s="1226"/>
      <c r="DU18" s="1226"/>
      <c r="DV18" s="1226"/>
      <c r="DW18" s="1226"/>
      <c r="DX18" s="1226"/>
      <c r="DY18" s="1226"/>
      <c r="DZ18" s="1226"/>
      <c r="EA18" s="1226"/>
      <c r="EB18" s="1226"/>
      <c r="EC18" s="1226"/>
      <c r="ED18" s="1226"/>
      <c r="EE18" s="1226"/>
      <c r="EF18" s="1226"/>
      <c r="EG18" s="1226"/>
      <c r="EH18" s="1226"/>
      <c r="EI18" s="1226"/>
      <c r="EJ18" s="1226"/>
      <c r="EK18" s="1226"/>
      <c r="EL18" s="1226"/>
      <c r="EM18" s="1226"/>
      <c r="EN18" s="1226"/>
      <c r="EO18" s="1226"/>
      <c r="EP18" s="1226"/>
      <c r="EQ18" s="1226"/>
      <c r="ER18" s="1226"/>
      <c r="ES18" s="1226"/>
      <c r="ET18" s="1226"/>
      <c r="EU18" s="1226"/>
      <c r="EV18" s="1226"/>
      <c r="EW18" s="1226"/>
      <c r="EX18" s="1226"/>
      <c r="EY18" s="1226"/>
      <c r="EZ18" s="1226"/>
      <c r="FA18" s="1226"/>
      <c r="FB18" s="1226"/>
      <c r="FC18" s="1226"/>
      <c r="FD18" s="1226"/>
      <c r="FE18" s="1226"/>
      <c r="FF18" s="1226"/>
      <c r="FG18" s="1226"/>
      <c r="FH18" s="1226"/>
      <c r="FI18" s="1226"/>
      <c r="FJ18" s="1226"/>
      <c r="FK18" s="1226"/>
      <c r="FL18" s="1226"/>
      <c r="FM18" s="1226"/>
      <c r="FN18" s="1226"/>
      <c r="FO18" s="1226"/>
      <c r="FP18" s="1226"/>
      <c r="FQ18" s="1226"/>
      <c r="FR18" s="1226"/>
    </row>
    <row r="19" spans="1:174" ht="33" x14ac:dyDescent="0.25">
      <c r="A19" s="1227" t="s">
        <v>405</v>
      </c>
      <c r="B19" s="1227"/>
      <c r="C19" s="1275">
        <f t="shared" si="10"/>
        <v>10</v>
      </c>
      <c r="D19" s="1276" t="s">
        <v>56</v>
      </c>
      <c r="E19" s="1219">
        <f>COUNTIFS(ШТАТ!$AL:$AL,'БЧС Дерябин'!$A19,ШТАТ!$AK:$AK,1)</f>
        <v>1</v>
      </c>
      <c r="F19" s="1219">
        <f>COUNTIFS(ШТАТ!$AL:$AL,'БЧС Дерябин'!$A19,ШТАТ!$AK:$AK,2)</f>
        <v>0</v>
      </c>
      <c r="G19" s="1219">
        <f>COUNTIFS(ШТАТ!$AL:$AL,'БЧС Дерябин'!$A19,ШТАТ!$AK:$AK,3)</f>
        <v>1</v>
      </c>
      <c r="H19" s="1219">
        <f>COUNTIFS(ШТАТ!$AL:$AL,'БЧС Дерябин'!$A19,ШТАТ!$AK:$AK,4)</f>
        <v>11</v>
      </c>
      <c r="I19" s="1221">
        <f t="shared" si="3"/>
        <v>13</v>
      </c>
      <c r="J19" s="1219">
        <f>COUNTIFS(ШТАТ!AL:AL,A19,ШТАТ!AJ:AJ,"о")</f>
        <v>1</v>
      </c>
      <c r="K19" s="1219">
        <f>COUNTIFS(ШТАТ!AL:AL,A19,ШТАТ!AJ:AJ,"п")</f>
        <v>0</v>
      </c>
      <c r="L19" s="1219">
        <f>COUNTIFS(ШТАТ!$AL:$AL,$A19,ШТАТ!AK:AK,3,ШТАТ!AJ:AJ,"с/с")</f>
        <v>0</v>
      </c>
      <c r="M19" s="1219">
        <f>COUNTIFS(ШТАТ!$AL:$AL,$A19,ШТАТ!AK:AK,3,ШТАТ!AJ:AJ,"к/с")</f>
        <v>1</v>
      </c>
      <c r="N19" s="1222">
        <f t="shared" si="11"/>
        <v>1</v>
      </c>
      <c r="O19" s="1220">
        <f>COUNTIFS(ШТАТ!$AL:$AL,$A19,ШТАТ!AK:AK,4,ШТАТ!AJ:AJ,"с/с")</f>
        <v>0</v>
      </c>
      <c r="P19" s="1220">
        <f>COUNTIFS(ШТАТ!$AL:$AL,$A19,ШТАТ!AK:AK,4,ШТАТ!AJ:AJ,"к/с")</f>
        <v>11</v>
      </c>
      <c r="Q19" s="1222">
        <f t="shared" si="12"/>
        <v>11</v>
      </c>
      <c r="R19" s="1221">
        <f t="shared" si="13"/>
        <v>13</v>
      </c>
      <c r="S19" s="1223">
        <f t="shared" si="14"/>
        <v>1</v>
      </c>
      <c r="T19" s="1219">
        <f>COUNTIFS(ШТАТ!$AL:$AL,$A19,ШТАТ!$AJ:$AJ,"о",ШТАТ!$X:$X,"выполнение специальных задач")</f>
        <v>0</v>
      </c>
      <c r="U19" s="1219">
        <f>COUNTIFS(ШТАТ!$AL:$AL,$A19,ШТАТ!$AJ:$AJ,"п",ШТАТ!$X:$X,"выполнение специальных задач")</f>
        <v>0</v>
      </c>
      <c r="V19" s="1219">
        <f>COUNTIFS(ШТАТ!$AL:$AL,$A19,ШТАТ!$AK:$AK,3,ШТАТ!$AJ:$AJ,"с/с",ШТАТ!$X:$X,"выполнение специальных задач")</f>
        <v>0</v>
      </c>
      <c r="W19" s="1219">
        <f>COUNTIFS(ШТАТ!$AL:$AL,$A19,ШТАТ!$AK:$AK,3,ШТАТ!$AJ:$AJ,"к/с",ШТАТ!$X:$X,"выполнение специальных задач")</f>
        <v>0</v>
      </c>
      <c r="X19" s="1222">
        <f t="shared" si="4"/>
        <v>0</v>
      </c>
      <c r="Y19" s="1219">
        <f>COUNTIFS(ШТАТ!$AL:$AL,$A19,ШТАТ!$AK:$AK,4,ШТАТ!$AJ:$AJ,"с/с",ШТАТ!$X:$X,"выполнение специальных задач")</f>
        <v>0</v>
      </c>
      <c r="Z19" s="1219">
        <f>COUNTIFS(ШТАТ!$AL:$AL,$A19,ШТАТ!$AK:$AK,4,ШТАТ!$AJ:$AJ,"к/с",ШТАТ!$X:$X,"выполнение специальных задач")</f>
        <v>1</v>
      </c>
      <c r="AA19" s="1222">
        <f t="shared" si="5"/>
        <v>1</v>
      </c>
      <c r="AB19" s="1221">
        <f t="shared" si="15"/>
        <v>1</v>
      </c>
      <c r="AC19" s="1224"/>
      <c r="AD19" s="1219">
        <f>COUNTIFS(ШТАТ!$AL:$AL,$A19,ШТАТ!$AK:$AK,1,ШТАТ!$AJ:$AJ,"о",ШТАТ!$W:$W,"г. Белгород")</f>
        <v>1</v>
      </c>
      <c r="AE19" s="1219">
        <f>COUNTIFS(ШТАТ!$AL:$AL,$A19,ШТАТ!$AK:$AK,2,ШТАТ!$AJ:$AJ,"п",ШТАТ!$W:$W,"г. Белгород")</f>
        <v>0</v>
      </c>
      <c r="AF19" s="1219">
        <f>COUNTIFS(ШТАТ!$AL:$AL,$A19,ШТАТ!$AK:$AK,3,ШТАТ!$AJ:$AJ,"с/с",ШТАТ!$W:$W,"г. Белгород")</f>
        <v>0</v>
      </c>
      <c r="AG19" s="1219">
        <f>COUNTIFS(ШТАТ!$AL:$AL,$A19,ШТАТ!$AK:$AK,3,ШТАТ!$AJ:$AJ,"к/с",ШТАТ!$W:$W,"г. Белгород")</f>
        <v>1</v>
      </c>
      <c r="AH19" s="1222">
        <f t="shared" si="6"/>
        <v>1</v>
      </c>
      <c r="AI19" s="1219">
        <f>COUNTIFS(ШТАТ!$AL:$AL,$A19,ШТАТ!$AK:$AK,4,ШТАТ!$AJ:$AJ,"с/с",ШТАТ!$W:$W,"г. Белгород")</f>
        <v>0</v>
      </c>
      <c r="AJ19" s="1219">
        <f>COUNTIFS(ШТАТ!$AL:$AL,$A19,ШТАТ!$AK:$AK,4,ШТАТ!$AJ:$AJ,"к/с",ШТАТ!$W:$W,"г. Белгород")</f>
        <v>8</v>
      </c>
      <c r="AK19" s="1222">
        <f t="shared" si="7"/>
        <v>8</v>
      </c>
      <c r="AL19" s="1221">
        <f t="shared" si="16"/>
        <v>10</v>
      </c>
      <c r="AM19" s="1219">
        <f>COUNTIFS(ШТАТ!$AL:$AL,$A19,ШТАТ!$AK:$AK,1,ШТАТ!$AJ:$AJ,"о",ШТАТ!$U:$U,"")</f>
        <v>0</v>
      </c>
      <c r="AN19" s="1219">
        <f>COUNTIFS(ШТАТ!$AL:$AL,$A19,ШТАТ!$AK:$AK,2,ШТАТ!$AJ:$AJ,"п",ШТАТ!$U:$U,"")</f>
        <v>0</v>
      </c>
      <c r="AO19" s="1219">
        <f>COUNTIFS(ШТАТ!$AL:$AL,$A19,ШТАТ!$AK:$AK,3,ШТАТ!$AJ:$AJ,"с/с",ШТАТ!$U:$U,"")</f>
        <v>0</v>
      </c>
      <c r="AP19" s="1219">
        <f>COUNTIFS(ШТАТ!$AL:$AL,$A19,ШТАТ!$AK:$AK,3,ШТАТ!$AJ:$AJ,"к/с",ШТАТ!$U:$U,"")</f>
        <v>0</v>
      </c>
      <c r="AQ19" s="1222">
        <f t="shared" si="17"/>
        <v>0</v>
      </c>
      <c r="AR19" s="1219">
        <f>COUNTIFS(ШТАТ!$AL:$AL,$A19,ШТАТ!$AK:$AK,4,ШТАТ!$AJ:$AJ,"с/с",ШТАТ!$U:$U,"")</f>
        <v>0</v>
      </c>
      <c r="AS19" s="1219">
        <f>COUNTIFS(ШТАТ!$AL:$AL,$A19,ШТАТ!$AK:$AK,4,ШТАТ!$AJ:$AJ,"к/с",ШТАТ!$U:$U,"")</f>
        <v>0</v>
      </c>
      <c r="AT19" s="1222">
        <f t="shared" si="8"/>
        <v>0</v>
      </c>
      <c r="AU19" s="1221">
        <f t="shared" si="18"/>
        <v>0</v>
      </c>
      <c r="AV19" s="1219">
        <f>COUNTIFS(ШТАТ!$AL:$AL,$A19,ШТАТ!$U:$U,"госп")</f>
        <v>0</v>
      </c>
      <c r="AW19" s="1225">
        <f t="shared" si="9"/>
        <v>0</v>
      </c>
      <c r="AX19" s="1219">
        <f>COUNTIFS(ШТАТ!$AL:$AL,$A19,ШТАТ!$U:$U,"отпуск")</f>
        <v>1</v>
      </c>
      <c r="AY19" s="1219">
        <f>COUNTIFS(ШТАТ!$AL:$AL,$A19,ШТАТ!$U:$U,"соч")</f>
        <v>1</v>
      </c>
      <c r="AZ19" s="1225"/>
      <c r="BA19" s="1219">
        <f>COUNTIFS(ШТАТ!$AL:$AL,$A19,ШТАТ!$U:$U,"МП")</f>
        <v>0</v>
      </c>
      <c r="BB19" s="1226"/>
      <c r="BC19" s="1226"/>
      <c r="BD19" s="1219"/>
      <c r="BE19" s="1226"/>
      <c r="BF19" s="1226"/>
      <c r="BG19" s="1226"/>
      <c r="BH19" s="1226"/>
      <c r="BI19" s="1226"/>
      <c r="BJ19" s="1226"/>
      <c r="BK19" s="1226"/>
      <c r="BL19" s="1226"/>
      <c r="BM19" s="1226"/>
      <c r="BN19" s="1226"/>
      <c r="BO19" s="1226"/>
      <c r="BP19" s="1226"/>
      <c r="BQ19" s="1226"/>
      <c r="BR19" s="1226"/>
      <c r="BS19" s="1226"/>
      <c r="BT19" s="1226"/>
      <c r="BU19" s="1226"/>
      <c r="BV19" s="1226"/>
      <c r="BW19" s="1226"/>
      <c r="BX19" s="1226"/>
      <c r="BY19" s="1226"/>
      <c r="BZ19" s="1226"/>
      <c r="CA19" s="1226"/>
      <c r="CB19" s="1226"/>
      <c r="CC19" s="1226"/>
      <c r="CD19" s="1226"/>
      <c r="CE19" s="1226"/>
      <c r="CF19" s="1226"/>
      <c r="CG19" s="1226"/>
      <c r="CH19" s="1226"/>
      <c r="CI19" s="1226"/>
      <c r="CJ19" s="1226"/>
      <c r="CK19" s="1226"/>
      <c r="CL19" s="1226"/>
      <c r="CM19" s="1226"/>
      <c r="CN19" s="1226"/>
      <c r="CO19" s="1226"/>
      <c r="CP19" s="1226"/>
      <c r="CQ19" s="1226"/>
      <c r="CR19" s="1226"/>
      <c r="CS19" s="1226"/>
      <c r="CT19" s="1226"/>
      <c r="CU19" s="1226"/>
      <c r="CV19" s="1226"/>
      <c r="CW19" s="1226"/>
      <c r="CX19" s="1226"/>
      <c r="CY19" s="1226"/>
      <c r="CZ19" s="1226"/>
      <c r="DA19" s="1226"/>
      <c r="DB19" s="1226"/>
      <c r="DC19" s="1226"/>
      <c r="DD19" s="1226">
        <v>1</v>
      </c>
      <c r="DE19" s="1226"/>
      <c r="DF19" s="1226"/>
      <c r="DG19" s="1226"/>
      <c r="DH19" s="1226"/>
      <c r="DI19" s="1226"/>
      <c r="DJ19" s="1226"/>
      <c r="DK19" s="1226">
        <v>2</v>
      </c>
      <c r="DL19" s="1226"/>
      <c r="DM19" s="1226"/>
      <c r="DN19" s="1226"/>
      <c r="DO19" s="1226"/>
      <c r="DP19" s="1226"/>
      <c r="DQ19" s="1226"/>
      <c r="DR19" s="1226"/>
      <c r="DS19" s="1226"/>
      <c r="DT19" s="1226"/>
      <c r="DU19" s="1226"/>
      <c r="DV19" s="1226"/>
      <c r="DW19" s="1226"/>
      <c r="DX19" s="1226"/>
      <c r="DY19" s="1226"/>
      <c r="DZ19" s="1226"/>
      <c r="EA19" s="1226"/>
      <c r="EB19" s="1226"/>
      <c r="EC19" s="1226"/>
      <c r="ED19" s="1226"/>
      <c r="EE19" s="1226"/>
      <c r="EF19" s="1226"/>
      <c r="EG19" s="1226"/>
      <c r="EH19" s="1226"/>
      <c r="EI19" s="1226"/>
      <c r="EJ19" s="1226"/>
      <c r="EK19" s="1226"/>
      <c r="EL19" s="1226"/>
      <c r="EM19" s="1226"/>
      <c r="EN19" s="1226"/>
      <c r="EO19" s="1226"/>
      <c r="EP19" s="1226"/>
      <c r="EQ19" s="1226"/>
      <c r="ER19" s="1226"/>
      <c r="ES19" s="1226"/>
      <c r="ET19" s="1226"/>
      <c r="EU19" s="1226"/>
      <c r="EV19" s="1226"/>
      <c r="EW19" s="1226"/>
      <c r="EX19" s="1226"/>
      <c r="EY19" s="1226"/>
      <c r="EZ19" s="1226"/>
      <c r="FA19" s="1226"/>
      <c r="FB19" s="1226"/>
      <c r="FC19" s="1226"/>
      <c r="FD19" s="1226"/>
      <c r="FE19" s="1226"/>
      <c r="FF19" s="1226"/>
      <c r="FG19" s="1226"/>
      <c r="FH19" s="1226"/>
      <c r="FI19" s="1226"/>
      <c r="FJ19" s="1226"/>
      <c r="FK19" s="1226"/>
      <c r="FL19" s="1226"/>
      <c r="FM19" s="1226"/>
      <c r="FN19" s="1226"/>
      <c r="FO19" s="1226"/>
      <c r="FP19" s="1226"/>
      <c r="FQ19" s="1226"/>
      <c r="FR19" s="1226"/>
    </row>
    <row r="20" spans="1:174" ht="33" x14ac:dyDescent="0.25">
      <c r="A20" s="1227" t="s">
        <v>423</v>
      </c>
      <c r="B20" s="1227"/>
      <c r="C20" s="1275">
        <f t="shared" si="10"/>
        <v>11</v>
      </c>
      <c r="D20" s="1276" t="s">
        <v>56</v>
      </c>
      <c r="E20" s="1219">
        <f>COUNTIFS(ШТАТ!$AL:$AL,'БЧС Дерябин'!$A20,ШТАТ!$AK:$AK,1)</f>
        <v>1</v>
      </c>
      <c r="F20" s="1219">
        <f>COUNTIFS(ШТАТ!$AL:$AL,'БЧС Дерябин'!$A20,ШТАТ!$AK:$AK,2)</f>
        <v>1</v>
      </c>
      <c r="G20" s="1219">
        <f>COUNTIFS(ШТАТ!$AL:$AL,'БЧС Дерябин'!$A20,ШТАТ!$AK:$AK,3)</f>
        <v>4</v>
      </c>
      <c r="H20" s="1219">
        <f>COUNTIFS(ШТАТ!$AL:$AL,'БЧС Дерябин'!$A20,ШТАТ!$AK:$AK,4)</f>
        <v>9</v>
      </c>
      <c r="I20" s="1221">
        <f t="shared" si="3"/>
        <v>15</v>
      </c>
      <c r="J20" s="1219">
        <f>COUNTIFS(ШТАТ!AL:AL,A20,ШТАТ!AJ:AJ,"о")</f>
        <v>1</v>
      </c>
      <c r="K20" s="1219">
        <f>COUNTIFS(ШТАТ!AL:AL,A20,ШТАТ!AJ:AJ,"п")</f>
        <v>0</v>
      </c>
      <c r="L20" s="1219">
        <f>COUNTIFS(ШТАТ!$AL:$AL,$A20,ШТАТ!AK:AK,3,ШТАТ!AJ:AJ,"с/с")</f>
        <v>0</v>
      </c>
      <c r="M20" s="1219">
        <f>COUNTIFS(ШТАТ!$AL:$AL,$A20,ШТАТ!AK:AK,3,ШТАТ!AJ:AJ,"к/с")</f>
        <v>4</v>
      </c>
      <c r="N20" s="1222">
        <f>SUM(L20:M20)</f>
        <v>4</v>
      </c>
      <c r="O20" s="1220">
        <f>COUNTIFS(ШТАТ!$AL:$AL,$A20,ШТАТ!AK:AK,4,ШТАТ!AJ:AJ,"с/с")</f>
        <v>0</v>
      </c>
      <c r="P20" s="1220">
        <f>COUNTIFS(ШТАТ!$AL:$AL,$A20,ШТАТ!AK:AK,4,ШТАТ!AJ:AJ,"к/с")</f>
        <v>8</v>
      </c>
      <c r="Q20" s="1222">
        <f t="shared" si="12"/>
        <v>8</v>
      </c>
      <c r="R20" s="1221">
        <f t="shared" si="13"/>
        <v>13</v>
      </c>
      <c r="S20" s="1223">
        <f t="shared" si="14"/>
        <v>0.8666666666666667</v>
      </c>
      <c r="T20" s="1219">
        <f>COUNTIFS(ШТАТ!$AL:$AL,$A20,ШТАТ!$AJ:$AJ,"о",ШТАТ!$X:$X,"выполнение специальных задач")</f>
        <v>0</v>
      </c>
      <c r="U20" s="1219">
        <f>COUNTIFS(ШТАТ!$AL:$AL,$A20,ШТАТ!$AJ:$AJ,"п",ШТАТ!$X:$X,"выполнение специальных задач")</f>
        <v>0</v>
      </c>
      <c r="V20" s="1219">
        <f>COUNTIFS(ШТАТ!$AL:$AL,$A20,ШТАТ!$AK:$AK,3,ШТАТ!$AJ:$AJ,"с/с",ШТАТ!$X:$X,"выполнение специальных задач")</f>
        <v>0</v>
      </c>
      <c r="W20" s="1219">
        <f>COUNTIFS(ШТАТ!$AL:$AL,$A20,ШТАТ!$AK:$AK,3,ШТАТ!$AJ:$AJ,"к/с",ШТАТ!$X:$X,"выполнение специальных задач")</f>
        <v>0</v>
      </c>
      <c r="X20" s="1222">
        <f t="shared" si="4"/>
        <v>0</v>
      </c>
      <c r="Y20" s="1219">
        <f>COUNTIFS(ШТАТ!$AL:$AL,$A20,ШТАТ!$AK:$AK,4,ШТАТ!$AJ:$AJ,"с/с",ШТАТ!$X:$X,"выполнение специальных задач")</f>
        <v>0</v>
      </c>
      <c r="Z20" s="1219">
        <f>COUNTIFS(ШТАТ!$AL:$AL,$A20,ШТАТ!$AK:$AK,4,ШТАТ!$AJ:$AJ,"к/с",ШТАТ!$X:$X,"выполнение специальных задач")</f>
        <v>0</v>
      </c>
      <c r="AA20" s="1222">
        <f t="shared" si="5"/>
        <v>0</v>
      </c>
      <c r="AB20" s="1221">
        <f t="shared" si="15"/>
        <v>0</v>
      </c>
      <c r="AC20" s="1224"/>
      <c r="AD20" s="1219">
        <f>COUNTIFS(ШТАТ!$AL:$AL,$A20,ШТАТ!$AK:$AK,1,ШТАТ!$AJ:$AJ,"о",ШТАТ!$W:$W,"г. Белгород")</f>
        <v>1</v>
      </c>
      <c r="AE20" s="1219">
        <f>COUNTIFS(ШТАТ!$AL:$AL,$A20,ШТАТ!$AK:$AK,2,ШТАТ!$AJ:$AJ,"п",ШТАТ!$W:$W,"г. Белгород")</f>
        <v>0</v>
      </c>
      <c r="AF20" s="1219">
        <f>COUNTIFS(ШТАТ!$AL:$AL,$A20,ШТАТ!$AK:$AK,3,ШТАТ!$AJ:$AJ,"с/с",ШТАТ!$W:$W,"г. Белгород")</f>
        <v>0</v>
      </c>
      <c r="AG20" s="1219">
        <f>COUNTIFS(ШТАТ!$AL:$AL,$A20,ШТАТ!$AK:$AK,3,ШТАТ!$AJ:$AJ,"к/с",ШТАТ!$W:$W,"г. Белгород")</f>
        <v>3</v>
      </c>
      <c r="AH20" s="1222">
        <f t="shared" si="6"/>
        <v>3</v>
      </c>
      <c r="AI20" s="1219">
        <f>COUNTIFS(ШТАТ!$AL:$AL,$A20,ШТАТ!$AK:$AK,4,ШТАТ!$AJ:$AJ,"с/с",ШТАТ!$W:$W,"г. Белгород")</f>
        <v>0</v>
      </c>
      <c r="AJ20" s="1219">
        <f>COUNTIFS(ШТАТ!$AL:$AL,$A20,ШТАТ!$AK:$AK,4,ШТАТ!$AJ:$AJ,"к/с",ШТАТ!$W:$W,"г. Белгород")</f>
        <v>7</v>
      </c>
      <c r="AK20" s="1222">
        <f t="shared" si="7"/>
        <v>7</v>
      </c>
      <c r="AL20" s="1221">
        <f t="shared" si="16"/>
        <v>11</v>
      </c>
      <c r="AM20" s="1219">
        <f>COUNTIFS(ШТАТ!$AL:$AL,$A20,ШТАТ!$AK:$AK,1,ШТАТ!$AJ:$AJ,"о",ШТАТ!$U:$U,"")</f>
        <v>0</v>
      </c>
      <c r="AN20" s="1219">
        <f>COUNTIFS(ШТАТ!$AL:$AL,$A20,ШТАТ!$AK:$AK,2,ШТАТ!$AJ:$AJ,"п",ШТАТ!$U:$U,"")</f>
        <v>0</v>
      </c>
      <c r="AO20" s="1219">
        <f>COUNTIFS(ШТАТ!$AL:$AL,$A20,ШТАТ!$AK:$AK,3,ШТАТ!$AJ:$AJ,"с/с",ШТАТ!$U:$U,"")</f>
        <v>0</v>
      </c>
      <c r="AP20" s="1219">
        <f>COUNTIFS(ШТАТ!$AL:$AL,$A20,ШТАТ!$AK:$AK,3,ШТАТ!$AJ:$AJ,"к/с",ШТАТ!$U:$U,"")</f>
        <v>0</v>
      </c>
      <c r="AQ20" s="1222">
        <f t="shared" si="17"/>
        <v>0</v>
      </c>
      <c r="AR20" s="1219">
        <f>COUNTIFS(ШТАТ!$AL:$AL,$A20,ШТАТ!$AK:$AK,4,ШТАТ!$AJ:$AJ,"с/с",ШТАТ!$U:$U,"")</f>
        <v>0</v>
      </c>
      <c r="AS20" s="1219">
        <f>COUNTIFS(ШТАТ!$AL:$AL,$A20,ШТАТ!$AK:$AK,4,ШТАТ!$AJ:$AJ,"к/с",ШТАТ!$U:$U,"")</f>
        <v>0</v>
      </c>
      <c r="AT20" s="1222">
        <f t="shared" si="8"/>
        <v>0</v>
      </c>
      <c r="AU20" s="1221">
        <f t="shared" si="18"/>
        <v>0</v>
      </c>
      <c r="AV20" s="1219">
        <f>COUNTIFS(ШТАТ!$AL:$AL,$A20,ШТАТ!$U:$U,"госп")</f>
        <v>0</v>
      </c>
      <c r="AW20" s="1225">
        <f t="shared" si="9"/>
        <v>0</v>
      </c>
      <c r="AX20" s="1219">
        <f>COUNTIFS(ШТАТ!$AL:$AL,$A20,ШТАТ!$U:$U,"отпуск")</f>
        <v>0</v>
      </c>
      <c r="AY20" s="1219">
        <f>COUNTIFS(ШТАТ!$AL:$AL,$A20,ШТАТ!$U:$U,"соч")</f>
        <v>2</v>
      </c>
      <c r="AZ20" s="1225"/>
      <c r="BA20" s="1219">
        <f>COUNTIFS(ШТАТ!$AL:$AL,$A20,ШТАТ!$U:$U,"МП")</f>
        <v>0</v>
      </c>
      <c r="BB20" s="1226"/>
      <c r="BC20" s="1226"/>
      <c r="BD20" s="1219"/>
      <c r="BE20" s="1226"/>
      <c r="BF20" s="1226"/>
      <c r="BG20" s="1226"/>
      <c r="BH20" s="1226"/>
      <c r="BI20" s="1226"/>
      <c r="BJ20" s="1226"/>
      <c r="BK20" s="1226"/>
      <c r="BL20" s="1226"/>
      <c r="BM20" s="1226"/>
      <c r="BN20" s="1226"/>
      <c r="BO20" s="1226"/>
      <c r="BP20" s="1226"/>
      <c r="BQ20" s="1226"/>
      <c r="BR20" s="1226"/>
      <c r="BS20" s="1226"/>
      <c r="BT20" s="1226"/>
      <c r="BU20" s="1226"/>
      <c r="BV20" s="1226"/>
      <c r="BW20" s="1226"/>
      <c r="BX20" s="1226"/>
      <c r="BY20" s="1226"/>
      <c r="BZ20" s="1226"/>
      <c r="CA20" s="1226"/>
      <c r="CB20" s="1226"/>
      <c r="CC20" s="1226"/>
      <c r="CD20" s="1226"/>
      <c r="CE20" s="1226"/>
      <c r="CF20" s="1226"/>
      <c r="CG20" s="1226"/>
      <c r="CH20" s="1226"/>
      <c r="CI20" s="1226"/>
      <c r="CJ20" s="1226"/>
      <c r="CK20" s="1226"/>
      <c r="CL20" s="1226"/>
      <c r="CM20" s="1226"/>
      <c r="CN20" s="1226"/>
      <c r="CO20" s="1226"/>
      <c r="CP20" s="1226"/>
      <c r="CQ20" s="1226"/>
      <c r="CR20" s="1226"/>
      <c r="CS20" s="1226"/>
      <c r="CT20" s="1226"/>
      <c r="CU20" s="1226"/>
      <c r="CV20" s="1226"/>
      <c r="CW20" s="1226"/>
      <c r="CX20" s="1226"/>
      <c r="CY20" s="1226"/>
      <c r="CZ20" s="1226"/>
      <c r="DA20" s="1226"/>
      <c r="DB20" s="1226"/>
      <c r="DC20" s="1226"/>
      <c r="DD20" s="1226"/>
      <c r="DE20" s="1226"/>
      <c r="DF20" s="1226"/>
      <c r="DG20" s="1226"/>
      <c r="DH20" s="1226"/>
      <c r="DI20" s="1226"/>
      <c r="DJ20" s="1226"/>
      <c r="DK20" s="1226"/>
      <c r="DL20" s="1226"/>
      <c r="DM20" s="1226"/>
      <c r="DN20" s="1226"/>
      <c r="DO20" s="1226"/>
      <c r="DP20" s="1226"/>
      <c r="DQ20" s="1226"/>
      <c r="DR20" s="1226"/>
      <c r="DS20" s="1226"/>
      <c r="DT20" s="1226"/>
      <c r="DU20" s="1226"/>
      <c r="DV20" s="1226"/>
      <c r="DW20" s="1226"/>
      <c r="DX20" s="1226"/>
      <c r="DY20" s="1226"/>
      <c r="DZ20" s="1226"/>
      <c r="EA20" s="1226"/>
      <c r="EB20" s="1226"/>
      <c r="EC20" s="1226"/>
      <c r="ED20" s="1226"/>
      <c r="EE20" s="1226"/>
      <c r="EF20" s="1226"/>
      <c r="EG20" s="1226"/>
      <c r="EH20" s="1226"/>
      <c r="EI20" s="1226"/>
      <c r="EJ20" s="1226"/>
      <c r="EK20" s="1226"/>
      <c r="EL20" s="1226"/>
      <c r="EM20" s="1226"/>
      <c r="EN20" s="1226"/>
      <c r="EO20" s="1226"/>
      <c r="EP20" s="1226"/>
      <c r="EQ20" s="1226"/>
      <c r="ER20" s="1226"/>
      <c r="ES20" s="1226"/>
      <c r="ET20" s="1226"/>
      <c r="EU20" s="1226"/>
      <c r="EV20" s="1226"/>
      <c r="EW20" s="1226"/>
      <c r="EX20" s="1226"/>
      <c r="EY20" s="1226"/>
      <c r="EZ20" s="1226"/>
      <c r="FA20" s="1226"/>
      <c r="FB20" s="1226"/>
      <c r="FC20" s="1226"/>
      <c r="FD20" s="1226"/>
      <c r="FE20" s="1226"/>
      <c r="FF20" s="1226"/>
      <c r="FG20" s="1226"/>
      <c r="FH20" s="1226"/>
      <c r="FI20" s="1226"/>
      <c r="FJ20" s="1226"/>
      <c r="FK20" s="1226"/>
      <c r="FL20" s="1226"/>
      <c r="FM20" s="1226"/>
      <c r="FN20" s="1226"/>
      <c r="FO20" s="1226"/>
      <c r="FP20" s="1226"/>
      <c r="FQ20" s="1226"/>
      <c r="FR20" s="1226"/>
    </row>
    <row r="21" spans="1:174" ht="33" x14ac:dyDescent="0.25">
      <c r="A21" s="1227" t="s">
        <v>433</v>
      </c>
      <c r="B21" s="1227"/>
      <c r="C21" s="1275">
        <f t="shared" si="10"/>
        <v>18</v>
      </c>
      <c r="D21" s="1276" t="s">
        <v>56</v>
      </c>
      <c r="E21" s="1219">
        <f>COUNTIFS(ШТАТ!$AL:$AL,'БЧС Дерябин'!$A21,ШТАТ!$AK:$AK,1)</f>
        <v>0</v>
      </c>
      <c r="F21" s="1219">
        <f>COUNTIFS(ШТАТ!$AL:$AL,'БЧС Дерябин'!$A21,ШТАТ!$AK:$AK,2)</f>
        <v>1</v>
      </c>
      <c r="G21" s="1219">
        <f>COUNTIFS(ШТАТ!$AL:$AL,'БЧС Дерябин'!$A21,ШТАТ!$AK:$AK,3)</f>
        <v>5</v>
      </c>
      <c r="H21" s="1219">
        <f>COUNTIFS(ШТАТ!$AL:$AL,'БЧС Дерябин'!$A21,ШТАТ!$AK:$AK,4)</f>
        <v>21</v>
      </c>
      <c r="I21" s="1221">
        <f t="shared" si="3"/>
        <v>27</v>
      </c>
      <c r="J21" s="1219">
        <f>COUNTIFS(ШТАТ!AL:AL,A21,ШТАТ!AJ:AJ,"о")</f>
        <v>0</v>
      </c>
      <c r="K21" s="1219">
        <f>COUNTIFS(ШТАТ!AL:AL,A21,ШТАТ!AJ:AJ,"п")</f>
        <v>1</v>
      </c>
      <c r="L21" s="1219">
        <f>COUNTIFS(ШТАТ!$AL:$AL,$A21,ШТАТ!AK:AK,3,ШТАТ!AJ:AJ,"с/с")</f>
        <v>0</v>
      </c>
      <c r="M21" s="1219">
        <f>COUNTIFS(ШТАТ!$AL:$AL,$A21,ШТАТ!AK:AK,3,ШТАТ!AJ:AJ,"к/с")</f>
        <v>5</v>
      </c>
      <c r="N21" s="1222">
        <f t="shared" si="11"/>
        <v>5</v>
      </c>
      <c r="O21" s="1220">
        <f>COUNTIFS(ШТАТ!$AL:$AL,$A21,ШТАТ!AK:AK,4,ШТАТ!AJ:AJ,"с/с")</f>
        <v>0</v>
      </c>
      <c r="P21" s="1220">
        <f>COUNTIFS(ШТАТ!$AL:$AL,$A21,ШТАТ!AK:AK,4,ШТАТ!AJ:AJ,"к/с")</f>
        <v>20</v>
      </c>
      <c r="Q21" s="1222">
        <f t="shared" si="12"/>
        <v>20</v>
      </c>
      <c r="R21" s="1221">
        <f t="shared" si="13"/>
        <v>26</v>
      </c>
      <c r="S21" s="1223">
        <f t="shared" si="14"/>
        <v>0.96296296296296291</v>
      </c>
      <c r="T21" s="1219">
        <f>COUNTIFS(ШТАТ!$AL:$AL,$A21,ШТАТ!$AJ:$AJ,"о",ШТАТ!$X:$X,"выполнение специальных задач")</f>
        <v>0</v>
      </c>
      <c r="U21" s="1219">
        <f>COUNTIFS(ШТАТ!$AL:$AL,$A21,ШТАТ!$AJ:$AJ,"п",ШТАТ!$X:$X,"выполнение специальных задач")</f>
        <v>0</v>
      </c>
      <c r="V21" s="1219">
        <f>COUNTIFS(ШТАТ!$AL:$AL,$A21,ШТАТ!$AK:$AK,3,ШТАТ!$AJ:$AJ,"с/с",ШТАТ!$X:$X,"выполнение специальных задач")</f>
        <v>0</v>
      </c>
      <c r="W21" s="1219">
        <f>COUNTIFS(ШТАТ!$AL:$AL,$A21,ШТАТ!$AK:$AK,3,ШТАТ!$AJ:$AJ,"к/с",ШТАТ!$X:$X,"выполнение специальных задач")</f>
        <v>1</v>
      </c>
      <c r="X21" s="1222">
        <f t="shared" si="4"/>
        <v>1</v>
      </c>
      <c r="Y21" s="1219">
        <f>COUNTIFS(ШТАТ!$AL:$AL,$A21,ШТАТ!$AK:$AK,4,ШТАТ!$AJ:$AJ,"с/с",ШТАТ!$X:$X,"выполнение специальных задач")</f>
        <v>0</v>
      </c>
      <c r="Z21" s="1219">
        <f>COUNTIFS(ШТАТ!$AL:$AL,$A21,ШТАТ!$AK:$AK,4,ШТАТ!$AJ:$AJ,"к/с",ШТАТ!$X:$X,"выполнение специальных задач")</f>
        <v>1</v>
      </c>
      <c r="AA21" s="1222">
        <f t="shared" si="5"/>
        <v>1</v>
      </c>
      <c r="AB21" s="1221">
        <f t="shared" si="15"/>
        <v>2</v>
      </c>
      <c r="AC21" s="1224"/>
      <c r="AD21" s="1219">
        <f>COUNTIFS(ШТАТ!$AL:$AL,$A21,ШТАТ!$AK:$AK,1,ШТАТ!$AJ:$AJ,"о",ШТАТ!$W:$W,"г. Белгород")</f>
        <v>0</v>
      </c>
      <c r="AE21" s="1219">
        <f>COUNTIFS(ШТАТ!$AL:$AL,$A21,ШТАТ!$AK:$AK,2,ШТАТ!$AJ:$AJ,"п",ШТАТ!$W:$W,"г. Белгород")</f>
        <v>0</v>
      </c>
      <c r="AF21" s="1219">
        <f>COUNTIFS(ШТАТ!$AL:$AL,$A21,ШТАТ!$AK:$AK,3,ШТАТ!$AJ:$AJ,"с/с",ШТАТ!$W:$W,"г. Белгород")</f>
        <v>0</v>
      </c>
      <c r="AG21" s="1219">
        <f>COUNTIFS(ШТАТ!$AL:$AL,$A21,ШТАТ!$AK:$AK,3,ШТАТ!$AJ:$AJ,"к/с",ШТАТ!$W:$W,"г. Белгород")</f>
        <v>2</v>
      </c>
      <c r="AH21" s="1222">
        <f t="shared" si="6"/>
        <v>2</v>
      </c>
      <c r="AI21" s="1219">
        <f>COUNTIFS(ШТАТ!$AL:$AL,$A21,ШТАТ!$AK:$AK,4,ШТАТ!$AJ:$AJ,"с/с",ШТАТ!$W:$W,"г. Белгород")</f>
        <v>0</v>
      </c>
      <c r="AJ21" s="1219">
        <f>COUNTIFS(ШТАТ!$AL:$AL,$A21,ШТАТ!$AK:$AK,4,ШТАТ!$AJ:$AJ,"к/с",ШТАТ!$W:$W,"г. Белгород")</f>
        <v>16</v>
      </c>
      <c r="AK21" s="1222">
        <f t="shared" si="7"/>
        <v>16</v>
      </c>
      <c r="AL21" s="1221">
        <f t="shared" si="16"/>
        <v>18</v>
      </c>
      <c r="AM21" s="1219">
        <f>COUNTIFS(ШТАТ!$AL:$AL,$A21,ШТАТ!$AK:$AK,1,ШТАТ!$AJ:$AJ,"о",ШТАТ!$U:$U,"")</f>
        <v>0</v>
      </c>
      <c r="AN21" s="1219">
        <f>COUNTIFS(ШТАТ!$AL:$AL,$A21,ШТАТ!$AK:$AK,2,ШТАТ!$AJ:$AJ,"п",ШТАТ!$U:$U,"")</f>
        <v>1</v>
      </c>
      <c r="AO21" s="1219">
        <f>COUNTIFS(ШТАТ!$AL:$AL,$A21,ШТАТ!$AK:$AK,3,ШТАТ!$AJ:$AJ,"с/с",ШТАТ!$U:$U,"")</f>
        <v>0</v>
      </c>
      <c r="AP21" s="1219">
        <f>COUNTIFS(ШТАТ!$AL:$AL,$A21,ШТАТ!$AK:$AK,3,ШТАТ!$AJ:$AJ,"к/с",ШТАТ!$U:$U,"")</f>
        <v>0</v>
      </c>
      <c r="AQ21" s="1222">
        <f t="shared" si="17"/>
        <v>0</v>
      </c>
      <c r="AR21" s="1219">
        <f>COUNTIFS(ШТАТ!$AL:$AL,$A21,ШТАТ!$AK:$AK,4,ШТАТ!$AJ:$AJ,"с/с",ШТАТ!$U:$U,"")</f>
        <v>0</v>
      </c>
      <c r="AS21" s="1219">
        <f>COUNTIFS(ШТАТ!$AL:$AL,$A21,ШТАТ!$AK:$AK,4,ШТАТ!$AJ:$AJ,"к/с",ШТАТ!$U:$U,"")</f>
        <v>2</v>
      </c>
      <c r="AT21" s="1222">
        <f t="shared" si="8"/>
        <v>2</v>
      </c>
      <c r="AU21" s="1221">
        <f t="shared" si="18"/>
        <v>3</v>
      </c>
      <c r="AV21" s="1219">
        <f>COUNTIFS(ШТАТ!$AL:$AL,$A21,ШТАТ!$U:$U,"госп")</f>
        <v>0</v>
      </c>
      <c r="AW21" s="1225">
        <f t="shared" si="9"/>
        <v>1</v>
      </c>
      <c r="AX21" s="1219">
        <f>COUNTIFS(ШТАТ!$AL:$AL,$A21,ШТАТ!$U:$U,"отпуск")</f>
        <v>2</v>
      </c>
      <c r="AY21" s="1219">
        <f>COUNTIFS(ШТАТ!$AL:$AL,$A21,ШТАТ!$U:$U,"соч")</f>
        <v>0</v>
      </c>
      <c r="AZ21" s="1225"/>
      <c r="BA21" s="1219">
        <f>COUNTIFS(ШТАТ!$AL:$AL,$A21,ШТАТ!$U:$U,"МП")</f>
        <v>0</v>
      </c>
      <c r="BB21" s="1226"/>
      <c r="BC21" s="1226"/>
      <c r="BD21" s="1219"/>
      <c r="BE21" s="1226"/>
      <c r="BF21" s="1226"/>
      <c r="BG21" s="1226"/>
      <c r="BH21" s="1226"/>
      <c r="BI21" s="1226"/>
      <c r="BJ21" s="1226"/>
      <c r="BK21" s="1226"/>
      <c r="BL21" s="1226"/>
      <c r="BM21" s="1226"/>
      <c r="BN21" s="1226"/>
      <c r="BO21" s="1226"/>
      <c r="BP21" s="1226"/>
      <c r="BQ21" s="1226"/>
      <c r="BR21" s="1226"/>
      <c r="BS21" s="1226"/>
      <c r="BT21" s="1226"/>
      <c r="BU21" s="1226"/>
      <c r="BV21" s="1226"/>
      <c r="BW21" s="1226"/>
      <c r="BX21" s="1226"/>
      <c r="BY21" s="1226"/>
      <c r="BZ21" s="1226"/>
      <c r="CA21" s="1226"/>
      <c r="CB21" s="1226"/>
      <c r="CC21" s="1226"/>
      <c r="CD21" s="1226"/>
      <c r="CE21" s="1226"/>
      <c r="CF21" s="1226"/>
      <c r="CG21" s="1226"/>
      <c r="CH21" s="1226"/>
      <c r="CI21" s="1226"/>
      <c r="CJ21" s="1226"/>
      <c r="CK21" s="1226"/>
      <c r="CL21" s="1226"/>
      <c r="CM21" s="1226"/>
      <c r="CN21" s="1226"/>
      <c r="CO21" s="1226"/>
      <c r="CP21" s="1226"/>
      <c r="CQ21" s="1226"/>
      <c r="CR21" s="1226"/>
      <c r="CS21" s="1226"/>
      <c r="CT21" s="1226"/>
      <c r="CU21" s="1226"/>
      <c r="CV21" s="1226"/>
      <c r="CW21" s="1226"/>
      <c r="CX21" s="1226"/>
      <c r="CY21" s="1226"/>
      <c r="CZ21" s="1226"/>
      <c r="DA21" s="1226"/>
      <c r="DB21" s="1226"/>
      <c r="DC21" s="1226"/>
      <c r="DD21" s="1226"/>
      <c r="DE21" s="1226"/>
      <c r="DF21" s="1226"/>
      <c r="DG21" s="1226"/>
      <c r="DH21" s="1226"/>
      <c r="DI21" s="1226"/>
      <c r="DJ21" s="1226"/>
      <c r="DK21" s="1226"/>
      <c r="DL21" s="1226"/>
      <c r="DM21" s="1226"/>
      <c r="DN21" s="1226">
        <v>2</v>
      </c>
      <c r="DO21" s="1226"/>
      <c r="DP21" s="1226"/>
      <c r="DQ21" s="1226"/>
      <c r="DR21" s="1226"/>
      <c r="DS21" s="1226"/>
      <c r="DT21" s="1226"/>
      <c r="DU21" s="1226"/>
      <c r="DV21" s="1226"/>
      <c r="DW21" s="1226"/>
      <c r="DX21" s="1226"/>
      <c r="DY21" s="1226"/>
      <c r="DZ21" s="1226"/>
      <c r="EA21" s="1226"/>
      <c r="EB21" s="1226"/>
      <c r="EC21" s="1226"/>
      <c r="ED21" s="1226"/>
      <c r="EE21" s="1226"/>
      <c r="EF21" s="1226"/>
      <c r="EG21" s="1226"/>
      <c r="EH21" s="1226">
        <v>2</v>
      </c>
      <c r="EI21" s="1226"/>
      <c r="EJ21" s="1226"/>
      <c r="EK21" s="1226"/>
      <c r="EL21" s="1226"/>
      <c r="EM21" s="1226"/>
      <c r="EN21" s="1226"/>
      <c r="EO21" s="1226"/>
      <c r="EP21" s="1226"/>
      <c r="EQ21" s="1226"/>
      <c r="ER21" s="1226"/>
      <c r="ES21" s="1226"/>
      <c r="ET21" s="1226"/>
      <c r="EU21" s="1226"/>
      <c r="EV21" s="1226"/>
      <c r="EW21" s="1226"/>
      <c r="EX21" s="1226"/>
      <c r="EY21" s="1226"/>
      <c r="EZ21" s="1226"/>
      <c r="FA21" s="1226"/>
      <c r="FB21" s="1226"/>
      <c r="FC21" s="1226"/>
      <c r="FD21" s="1226"/>
      <c r="FE21" s="1226"/>
      <c r="FF21" s="1226"/>
      <c r="FG21" s="1226"/>
      <c r="FH21" s="1226">
        <v>10</v>
      </c>
      <c r="FI21" s="1226"/>
      <c r="FJ21" s="1226"/>
      <c r="FK21" s="1226"/>
      <c r="FL21" s="1226"/>
      <c r="FM21" s="1226">
        <v>1</v>
      </c>
      <c r="FN21" s="1226"/>
      <c r="FO21" s="1226"/>
      <c r="FP21" s="1226"/>
      <c r="FQ21" s="1226"/>
      <c r="FR21" s="1226"/>
    </row>
    <row r="22" spans="1:174" ht="33" x14ac:dyDescent="0.25">
      <c r="A22" s="1218" t="s">
        <v>267</v>
      </c>
      <c r="B22" s="1265" t="s">
        <v>4736</v>
      </c>
      <c r="C22" s="1265">
        <f>AL22</f>
        <v>290</v>
      </c>
      <c r="D22" s="1265" t="s">
        <v>56</v>
      </c>
      <c r="E22" s="1219">
        <f>SUM(E12:E21)</f>
        <v>27</v>
      </c>
      <c r="F22" s="1219">
        <f>SUM(F12:F21)</f>
        <v>12</v>
      </c>
      <c r="G22" s="1219">
        <f>SUM(G12:G21)</f>
        <v>55</v>
      </c>
      <c r="H22" s="1219">
        <f>SUM(H12:H21)</f>
        <v>328</v>
      </c>
      <c r="I22" s="1221">
        <f>SUM(E22:H22)</f>
        <v>422</v>
      </c>
      <c r="J22" s="1219">
        <f>SUM(J12:J21)</f>
        <v>26</v>
      </c>
      <c r="K22" s="1219">
        <f>SUM(K12:K21)</f>
        <v>7</v>
      </c>
      <c r="L22" s="1219">
        <f>SUM(L12:L21)</f>
        <v>0</v>
      </c>
      <c r="M22" s="1219">
        <f>SUM(M12:M21)</f>
        <v>46</v>
      </c>
      <c r="N22" s="1222">
        <f t="shared" si="11"/>
        <v>46</v>
      </c>
      <c r="O22" s="1219">
        <f>SUM(O12:O21)</f>
        <v>0</v>
      </c>
      <c r="P22" s="1219">
        <f>SUM(P12:P21)</f>
        <v>283</v>
      </c>
      <c r="Q22" s="1222">
        <f t="shared" si="12"/>
        <v>283</v>
      </c>
      <c r="R22" s="1221">
        <f t="shared" si="13"/>
        <v>362</v>
      </c>
      <c r="S22" s="1223">
        <f t="shared" si="14"/>
        <v>0.85781990521327012</v>
      </c>
      <c r="T22" s="1219">
        <f>SUM(T12:T21)</f>
        <v>1</v>
      </c>
      <c r="U22" s="1219">
        <f>SUM(U12:U21)</f>
        <v>1</v>
      </c>
      <c r="V22" s="1219">
        <f>SUM(V12:V21)</f>
        <v>0</v>
      </c>
      <c r="W22" s="1219">
        <f>SUM(W12:W21)</f>
        <v>2</v>
      </c>
      <c r="X22" s="1222">
        <f t="shared" si="4"/>
        <v>2</v>
      </c>
      <c r="Y22" s="1219">
        <f>SUM(Y12:Y21)</f>
        <v>0</v>
      </c>
      <c r="Z22" s="1219">
        <f>SUM(Z12:Z21)</f>
        <v>5</v>
      </c>
      <c r="AA22" s="1222">
        <f t="shared" si="5"/>
        <v>5</v>
      </c>
      <c r="AB22" s="1221">
        <f t="shared" si="15"/>
        <v>9</v>
      </c>
      <c r="AC22" s="1224">
        <f>AB22/R22</f>
        <v>2.4861878453038673E-2</v>
      </c>
      <c r="AD22" s="1219">
        <f>SUM(AD12:AD21)</f>
        <v>24</v>
      </c>
      <c r="AE22" s="1219">
        <f>SUM(AE12:AE21)</f>
        <v>4</v>
      </c>
      <c r="AF22" s="1219">
        <f>SUM(AF12:AF21)</f>
        <v>0</v>
      </c>
      <c r="AG22" s="1219">
        <f>SUM(AG12:AG21)</f>
        <v>34</v>
      </c>
      <c r="AH22" s="1222">
        <f t="shared" si="6"/>
        <v>34</v>
      </c>
      <c r="AI22" s="1219">
        <f>SUM(AI12:AI21)</f>
        <v>0</v>
      </c>
      <c r="AJ22" s="1219">
        <f>SUM(AJ12:AJ21)</f>
        <v>228</v>
      </c>
      <c r="AK22" s="1222">
        <f t="shared" si="7"/>
        <v>228</v>
      </c>
      <c r="AL22" s="1221">
        <f>SUM(AK22,AH22,AD22:AE22)</f>
        <v>290</v>
      </c>
      <c r="AM22" s="1219">
        <f>SUM(AM12:AM21)</f>
        <v>1</v>
      </c>
      <c r="AN22" s="1219">
        <f>SUM(AN12:AN21)</f>
        <v>1</v>
      </c>
      <c r="AO22" s="1219">
        <f>SUM(AO12:AO21)</f>
        <v>0</v>
      </c>
      <c r="AP22" s="1219">
        <f>SUM(AP12:AP21)</f>
        <v>2</v>
      </c>
      <c r="AQ22" s="1222">
        <f t="shared" si="17"/>
        <v>2</v>
      </c>
      <c r="AR22" s="1219">
        <f>SUM(AR12:AR21)</f>
        <v>0</v>
      </c>
      <c r="AS22" s="1219">
        <f>SUM(AS12:AS21)</f>
        <v>27</v>
      </c>
      <c r="AT22" s="1222">
        <f t="shared" si="8"/>
        <v>27</v>
      </c>
      <c r="AU22" s="1221">
        <f t="shared" si="18"/>
        <v>31</v>
      </c>
      <c r="AV22" s="1219">
        <f>SUM(AV12:AV21)</f>
        <v>2</v>
      </c>
      <c r="AW22" s="1225">
        <f t="shared" si="9"/>
        <v>13</v>
      </c>
      <c r="AX22" s="1219">
        <f>SUM(AX12:AX21)</f>
        <v>6</v>
      </c>
      <c r="AY22" s="1219">
        <f>SUM(AY12:AY21)</f>
        <v>11</v>
      </c>
      <c r="AZ22" s="1219">
        <f>SUM(AZ12:AZ21)</f>
        <v>0</v>
      </c>
      <c r="BA22" s="1219">
        <f>SUM(BA12:BA21)</f>
        <v>0</v>
      </c>
      <c r="BB22" s="1226">
        <v>337</v>
      </c>
      <c r="BC22" s="1226">
        <v>22</v>
      </c>
      <c r="BD22" s="1219">
        <v>23</v>
      </c>
      <c r="BE22" s="1226">
        <v>18</v>
      </c>
      <c r="BF22" s="1226">
        <v>12</v>
      </c>
      <c r="BG22" s="1226"/>
      <c r="BH22" s="1226">
        <v>3</v>
      </c>
      <c r="BI22" s="1226">
        <v>21</v>
      </c>
      <c r="BJ22" s="1226"/>
      <c r="BK22" s="1226">
        <v>18</v>
      </c>
      <c r="BL22" s="1226"/>
      <c r="BM22" s="1226">
        <v>6</v>
      </c>
      <c r="BN22" s="1226">
        <v>5</v>
      </c>
      <c r="BO22" s="1226"/>
      <c r="BP22" s="1226"/>
      <c r="BQ22" s="1226"/>
      <c r="BR22" s="1226"/>
      <c r="BS22" s="1226"/>
      <c r="BT22" s="1226"/>
      <c r="BU22" s="1226"/>
      <c r="BV22" s="1226"/>
      <c r="BW22" s="1226"/>
      <c r="BX22" s="1226"/>
      <c r="BY22" s="1226"/>
      <c r="BZ22" s="1226"/>
      <c r="CA22" s="1226"/>
      <c r="CB22" s="1226"/>
      <c r="CC22" s="1226"/>
      <c r="CD22" s="1226"/>
      <c r="CE22" s="1226"/>
      <c r="CF22" s="1226"/>
      <c r="CG22" s="1226"/>
      <c r="CH22" s="1226"/>
      <c r="CI22" s="1226"/>
      <c r="CJ22" s="1226"/>
      <c r="CK22" s="1226">
        <v>6</v>
      </c>
      <c r="CL22" s="1226"/>
      <c r="CM22" s="1226"/>
      <c r="CN22" s="1226"/>
      <c r="CO22" s="1226"/>
      <c r="CP22" s="1226"/>
      <c r="CQ22" s="1226"/>
      <c r="CR22" s="1226"/>
      <c r="CS22" s="1226"/>
      <c r="CT22" s="1226"/>
      <c r="CU22" s="1226"/>
      <c r="CV22" s="1226"/>
      <c r="CW22" s="1226"/>
      <c r="CX22" s="1226"/>
      <c r="CY22" s="1226"/>
      <c r="CZ22" s="1226"/>
      <c r="DA22" s="1226"/>
      <c r="DB22" s="1226"/>
      <c r="DC22" s="1219">
        <f>SUM(DC12:DC21)</f>
        <v>0</v>
      </c>
      <c r="DD22" s="1219">
        <f t="shared" ref="DD22:FO22" si="19">SUM(DD12:DD21)</f>
        <v>35</v>
      </c>
      <c r="DE22" s="1219">
        <f t="shared" si="19"/>
        <v>0</v>
      </c>
      <c r="DF22" s="1219">
        <f t="shared" si="19"/>
        <v>0</v>
      </c>
      <c r="DG22" s="1219">
        <f t="shared" si="19"/>
        <v>0</v>
      </c>
      <c r="DH22" s="1219">
        <f t="shared" si="19"/>
        <v>0</v>
      </c>
      <c r="DI22" s="1219">
        <f t="shared" si="19"/>
        <v>0</v>
      </c>
      <c r="DJ22" s="1219">
        <f t="shared" si="19"/>
        <v>0</v>
      </c>
      <c r="DK22" s="1219">
        <f t="shared" si="19"/>
        <v>2</v>
      </c>
      <c r="DL22" s="1219">
        <f t="shared" si="19"/>
        <v>0</v>
      </c>
      <c r="DM22" s="1219">
        <f t="shared" si="19"/>
        <v>6</v>
      </c>
      <c r="DN22" s="1219">
        <f t="shared" si="19"/>
        <v>2</v>
      </c>
      <c r="DO22" s="1219">
        <f t="shared" si="19"/>
        <v>0</v>
      </c>
      <c r="DP22" s="1219">
        <f t="shared" si="19"/>
        <v>0</v>
      </c>
      <c r="DQ22" s="1219">
        <f t="shared" si="19"/>
        <v>0</v>
      </c>
      <c r="DR22" s="1219">
        <f t="shared" si="19"/>
        <v>0</v>
      </c>
      <c r="DS22" s="1219">
        <f t="shared" si="19"/>
        <v>0</v>
      </c>
      <c r="DT22" s="1219">
        <f t="shared" si="19"/>
        <v>0</v>
      </c>
      <c r="DU22" s="1219">
        <f t="shared" si="19"/>
        <v>0</v>
      </c>
      <c r="DV22" s="1219">
        <f t="shared" si="19"/>
        <v>0</v>
      </c>
      <c r="DW22" s="1219">
        <f t="shared" si="19"/>
        <v>0</v>
      </c>
      <c r="DX22" s="1219">
        <f t="shared" si="19"/>
        <v>0</v>
      </c>
      <c r="DY22" s="1219">
        <f t="shared" si="19"/>
        <v>0</v>
      </c>
      <c r="DZ22" s="1219">
        <f t="shared" si="19"/>
        <v>0</v>
      </c>
      <c r="EA22" s="1219">
        <f t="shared" si="19"/>
        <v>0</v>
      </c>
      <c r="EB22" s="1219">
        <f t="shared" si="19"/>
        <v>0</v>
      </c>
      <c r="EC22" s="1219">
        <f t="shared" si="19"/>
        <v>0</v>
      </c>
      <c r="ED22" s="1219">
        <f t="shared" si="19"/>
        <v>0</v>
      </c>
      <c r="EE22" s="1219">
        <f t="shared" si="19"/>
        <v>0</v>
      </c>
      <c r="EF22" s="1219">
        <f t="shared" si="19"/>
        <v>0</v>
      </c>
      <c r="EG22" s="1219">
        <f t="shared" si="19"/>
        <v>0</v>
      </c>
      <c r="EH22" s="1219">
        <f t="shared" si="19"/>
        <v>2</v>
      </c>
      <c r="EI22" s="1219">
        <f t="shared" si="19"/>
        <v>0</v>
      </c>
      <c r="EJ22" s="1219">
        <f t="shared" si="19"/>
        <v>0</v>
      </c>
      <c r="EK22" s="1219">
        <f t="shared" si="19"/>
        <v>0</v>
      </c>
      <c r="EL22" s="1219">
        <f t="shared" si="19"/>
        <v>0</v>
      </c>
      <c r="EM22" s="1219">
        <f t="shared" si="19"/>
        <v>0</v>
      </c>
      <c r="EN22" s="1219">
        <f t="shared" si="19"/>
        <v>0</v>
      </c>
      <c r="EO22" s="1219">
        <f t="shared" si="19"/>
        <v>0</v>
      </c>
      <c r="EP22" s="1219">
        <f t="shared" si="19"/>
        <v>0</v>
      </c>
      <c r="EQ22" s="1219">
        <f t="shared" si="19"/>
        <v>0</v>
      </c>
      <c r="ER22" s="1219">
        <f t="shared" si="19"/>
        <v>0</v>
      </c>
      <c r="ES22" s="1219">
        <f t="shared" si="19"/>
        <v>0</v>
      </c>
      <c r="ET22" s="1219">
        <f t="shared" si="19"/>
        <v>0</v>
      </c>
      <c r="EU22" s="1219">
        <f t="shared" si="19"/>
        <v>0</v>
      </c>
      <c r="EV22" s="1219">
        <f t="shared" si="19"/>
        <v>0</v>
      </c>
      <c r="EW22" s="1219">
        <f t="shared" si="19"/>
        <v>0</v>
      </c>
      <c r="EX22" s="1219">
        <f t="shared" si="19"/>
        <v>0</v>
      </c>
      <c r="EY22" s="1219">
        <f t="shared" si="19"/>
        <v>0</v>
      </c>
      <c r="EZ22" s="1219">
        <f t="shared" si="19"/>
        <v>0</v>
      </c>
      <c r="FA22" s="1219">
        <f t="shared" si="19"/>
        <v>0</v>
      </c>
      <c r="FB22" s="1219">
        <f t="shared" si="19"/>
        <v>0</v>
      </c>
      <c r="FC22" s="1219">
        <f t="shared" si="19"/>
        <v>0</v>
      </c>
      <c r="FD22" s="1219">
        <f t="shared" si="19"/>
        <v>0</v>
      </c>
      <c r="FE22" s="1219">
        <f t="shared" si="19"/>
        <v>0</v>
      </c>
      <c r="FF22" s="1219">
        <f t="shared" si="19"/>
        <v>0</v>
      </c>
      <c r="FG22" s="1219">
        <f t="shared" si="19"/>
        <v>0</v>
      </c>
      <c r="FH22" s="1219">
        <f t="shared" si="19"/>
        <v>16</v>
      </c>
      <c r="FI22" s="1219">
        <f t="shared" si="19"/>
        <v>0</v>
      </c>
      <c r="FJ22" s="1219">
        <f t="shared" si="19"/>
        <v>2</v>
      </c>
      <c r="FK22" s="1219">
        <f t="shared" si="19"/>
        <v>0</v>
      </c>
      <c r="FL22" s="1219">
        <f t="shared" si="19"/>
        <v>0</v>
      </c>
      <c r="FM22" s="1219">
        <f t="shared" si="19"/>
        <v>1</v>
      </c>
      <c r="FN22" s="1219">
        <f t="shared" si="19"/>
        <v>0</v>
      </c>
      <c r="FO22" s="1219">
        <f t="shared" si="19"/>
        <v>0</v>
      </c>
      <c r="FP22" s="1219">
        <f t="shared" ref="FP22:FR22" si="20">SUM(FP12:FP21)</f>
        <v>0</v>
      </c>
      <c r="FQ22" s="1219">
        <f t="shared" si="20"/>
        <v>0</v>
      </c>
      <c r="FR22" s="1219">
        <f t="shared" si="20"/>
        <v>0</v>
      </c>
    </row>
    <row r="23" spans="1:174" ht="33" x14ac:dyDescent="0.25">
      <c r="A23" s="1227" t="s">
        <v>459</v>
      </c>
      <c r="B23" s="1227"/>
      <c r="C23" s="1275">
        <f>AW23</f>
        <v>1</v>
      </c>
      <c r="D23" s="1276" t="s">
        <v>4803</v>
      </c>
      <c r="E23" s="1219">
        <f>COUNTIFS(ШТАТ!$AL:$AL,'БЧС Дерябин'!$A23,ШТАТ!$AK:$AK,1)</f>
        <v>4</v>
      </c>
      <c r="F23" s="1219">
        <f>COUNTIFS(ШТАТ!$AL:$AL,'БЧС Дерябин'!$A23,ШТАТ!$AK:$AK,2)</f>
        <v>0</v>
      </c>
      <c r="G23" s="1219">
        <f>COUNTIFS(ШТАТ!$AL:$AL,'БЧС Дерябин'!$A23,ШТАТ!$AK:$AK,3)</f>
        <v>1</v>
      </c>
      <c r="H23" s="1219">
        <f>COUNTIFS(ШТАТ!$AL:$AL,'БЧС Дерябин'!$A23,ШТАТ!$AK:$AK,4)</f>
        <v>0</v>
      </c>
      <c r="I23" s="1221">
        <f t="shared" si="3"/>
        <v>5</v>
      </c>
      <c r="J23" s="1219">
        <f>COUNTIFS(ШТАТ!AL:AL,A23,ШТАТ!AJ:AJ,"о")</f>
        <v>3</v>
      </c>
      <c r="K23" s="1219">
        <f>COUNTIFS(ШТАТ!AL:AL,A23,ШТАТ!AJ:AJ,"п")</f>
        <v>0</v>
      </c>
      <c r="L23" s="1219">
        <f>COUNTIFS(ШТАТ!$AL:$AL,$A23,ШТАТ!AK:AK,3,ШТАТ!AJ:AJ,"с/с")</f>
        <v>1</v>
      </c>
      <c r="M23" s="1219">
        <f>COUNTIFS(ШТАТ!$AL:$AL,$A23,ШТАТ!AK:AK,3,ШТАТ!AJ:AJ,"к/с")</f>
        <v>0</v>
      </c>
      <c r="N23" s="1222">
        <f t="shared" si="11"/>
        <v>1</v>
      </c>
      <c r="O23" s="1220">
        <f>COUNTIFS(ШТАТ!$AL:$AL,$A23,ШТАТ!AK:AK,4,ШТАТ!AJ:AJ,"с/с")</f>
        <v>0</v>
      </c>
      <c r="P23" s="1220">
        <f>COUNTIFS(ШТАТ!$AL:$AL,$A23,ШТАТ!AK:AK,4,ШТАТ!AJ:AJ,"к/с")</f>
        <v>0</v>
      </c>
      <c r="Q23" s="1222">
        <f t="shared" si="12"/>
        <v>0</v>
      </c>
      <c r="R23" s="1221">
        <f t="shared" si="13"/>
        <v>4</v>
      </c>
      <c r="S23" s="1223">
        <f t="shared" si="14"/>
        <v>0.8</v>
      </c>
      <c r="T23" s="1219">
        <f>COUNTIFS(ШТАТ!$AL:$AL,$A23,ШТАТ!$AJ:$AJ,"о",ШТАТ!$X:$X,"выполнение специальных задач")</f>
        <v>0</v>
      </c>
      <c r="U23" s="1219">
        <f>COUNTIFS(ШТАТ!$AL:$AL,$A23,ШТАТ!$AJ:$AJ,"п",ШТАТ!$X:$X,"выполнение специальных задач")</f>
        <v>0</v>
      </c>
      <c r="V23" s="1219">
        <f>COUNTIFS(ШТАТ!$AL:$AL,$A23,ШТАТ!$AK:$AK,3,ШТАТ!$AJ:$AJ,"с/с",ШТАТ!$X:$X,"выполнение специальных задач")</f>
        <v>0</v>
      </c>
      <c r="W23" s="1219">
        <f>COUNTIFS(ШТАТ!$AL:$AL,$A23,ШТАТ!$AK:$AK,3,ШТАТ!$AJ:$AJ,"к/с",ШТАТ!$X:$X,"выполнение специальных задач")</f>
        <v>0</v>
      </c>
      <c r="X23" s="1222">
        <f t="shared" si="4"/>
        <v>0</v>
      </c>
      <c r="Y23" s="1219">
        <f>COUNTIFS(ШТАТ!$AL:$AL,$A23,ШТАТ!$AK:$AK,4,ШТАТ!$AJ:$AJ,"с/с",ШТАТ!$X:$X,"выполнение специальных задач")</f>
        <v>0</v>
      </c>
      <c r="Z23" s="1219">
        <f>COUNTIFS(ШТАТ!$AL:$AL,$A23,ШТАТ!$AK:$AK,4,ШТАТ!$AJ:$AJ,"к/с",ШТАТ!$X:$X,"выполнение специальных задач")</f>
        <v>0</v>
      </c>
      <c r="AA23" s="1222">
        <f t="shared" si="5"/>
        <v>0</v>
      </c>
      <c r="AB23" s="1221">
        <f t="shared" si="15"/>
        <v>0</v>
      </c>
      <c r="AC23" s="1224"/>
      <c r="AD23" s="1219">
        <f>COUNTIFS(ШТАТ!$AL:$AL,$A23,ШТАТ!$AK:$AK,1,ШТАТ!$AJ:$AJ,"о",ШТАТ!$W:$W,"г. Белгород")</f>
        <v>2</v>
      </c>
      <c r="AE23" s="1219">
        <f>COUNTIFS(ШТАТ!$AL:$AL,$A23,ШТАТ!$AK:$AK,2,ШТАТ!$AJ:$AJ,"п",ШТАТ!$W:$W,"г. Белгород")</f>
        <v>0</v>
      </c>
      <c r="AF23" s="1219">
        <f>COUNTIFS(ШТАТ!$AL:$AL,$A23,ШТАТ!$AK:$AK,3,ШТАТ!$AJ:$AJ,"с/с",ШТАТ!$W:$W,"г. Белгород")</f>
        <v>0</v>
      </c>
      <c r="AG23" s="1219">
        <f>COUNTIFS(ШТАТ!$AL:$AL,$A23,ШТАТ!$AK:$AK,3,ШТАТ!$AJ:$AJ,"к/с",ШТАТ!$W:$W,"г. Белгород")</f>
        <v>0</v>
      </c>
      <c r="AH23" s="1222">
        <f t="shared" si="6"/>
        <v>0</v>
      </c>
      <c r="AI23" s="1219">
        <f>COUNTIFS(ШТАТ!$AL:$AL,$A23,ШТАТ!$AK:$AK,4,ШТАТ!$AJ:$AJ,"с/с",ШТАТ!$W:$W,"г. Белгород")</f>
        <v>0</v>
      </c>
      <c r="AJ23" s="1219">
        <f>COUNTIFS(ШТАТ!$AL:$AL,$A23,ШТАТ!$AK:$AK,4,ШТАТ!$AJ:$AJ,"к/с",ШТАТ!$W:$W,"г. Белгород")</f>
        <v>0</v>
      </c>
      <c r="AK23" s="1222">
        <f t="shared" si="7"/>
        <v>0</v>
      </c>
      <c r="AL23" s="1221">
        <f t="shared" si="16"/>
        <v>2</v>
      </c>
      <c r="AM23" s="1219">
        <f>COUNTIFS(ШТАТ!$AL:$AL,$A23,ШТАТ!$AK:$AK,1,ШТАТ!$AJ:$AJ,"о",ШТАТ!$U:$U,"")</f>
        <v>1</v>
      </c>
      <c r="AN23" s="1219">
        <f>COUNTIFS(ШТАТ!$AL:$AL,$A23,ШТАТ!$AK:$AK,2,ШТАТ!$AJ:$AJ,"п",ШТАТ!$U:$U,"")</f>
        <v>0</v>
      </c>
      <c r="AO23" s="1219">
        <f>COUNTIFS(ШТАТ!$AL:$AL,$A23,ШТАТ!$AK:$AK,3,ШТАТ!$AJ:$AJ,"с/с",ШТАТ!$U:$U,"")</f>
        <v>0</v>
      </c>
      <c r="AP23" s="1219">
        <f>COUNTIFS(ШТАТ!$AL:$AL,$A23,ШТАТ!$AK:$AK,3,ШТАТ!$AJ:$AJ,"к/с",ШТАТ!$U:$U,"")</f>
        <v>0</v>
      </c>
      <c r="AQ23" s="1222">
        <f t="shared" si="17"/>
        <v>0</v>
      </c>
      <c r="AR23" s="1219">
        <f>COUNTIFS(ШТАТ!$AL:$AL,$A23,ШТАТ!$AK:$AK,4,ШТАТ!$AJ:$AJ,"с/с",ШТАТ!$U:$U,"")</f>
        <v>0</v>
      </c>
      <c r="AS23" s="1219">
        <f>COUNTIFS(ШТАТ!$AL:$AL,$A23,ШТАТ!$AK:$AK,4,ШТАТ!$AJ:$AJ,"к/с",ШТАТ!$U:$U,"")</f>
        <v>0</v>
      </c>
      <c r="AT23" s="1222">
        <f t="shared" si="8"/>
        <v>0</v>
      </c>
      <c r="AU23" s="1221">
        <f t="shared" si="18"/>
        <v>1</v>
      </c>
      <c r="AV23" s="1219">
        <f>COUNTIFS(ШТАТ!$AL:$AL,$A23,ШТАТ!$U:$U,"госп")</f>
        <v>0</v>
      </c>
      <c r="AW23" s="1225">
        <f t="shared" si="9"/>
        <v>1</v>
      </c>
      <c r="AX23" s="1219">
        <f>COUNTIFS(ШТАТ!$AL:$AL,$A23,ШТАТ!$U:$U,"отпуск")</f>
        <v>0</v>
      </c>
      <c r="AY23" s="1219">
        <f>COUNTIFS(ШТАТ!$AL:$AL,$A23,ШТАТ!$U:$U,"соч")</f>
        <v>0</v>
      </c>
      <c r="AZ23" s="1225"/>
      <c r="BA23" s="1219">
        <f>COUNTIFS(ШТАТ!$AL:$AL,$A23,ШТАТ!$U:$U,"МП")</f>
        <v>0</v>
      </c>
      <c r="BB23" s="1226"/>
      <c r="BC23" s="1226"/>
      <c r="BD23" s="1219"/>
      <c r="BE23" s="1226"/>
      <c r="BF23" s="1226"/>
      <c r="BG23" s="1226"/>
      <c r="BH23" s="1226"/>
      <c r="BI23" s="1226"/>
      <c r="BJ23" s="1226"/>
      <c r="BK23" s="1226"/>
      <c r="BL23" s="1226"/>
      <c r="BM23" s="1226"/>
      <c r="BN23" s="1226"/>
      <c r="BO23" s="1226"/>
      <c r="BP23" s="1226"/>
      <c r="BQ23" s="1226"/>
      <c r="BR23" s="1226"/>
      <c r="BS23" s="1226"/>
      <c r="BT23" s="1226"/>
      <c r="BU23" s="1226"/>
      <c r="BV23" s="1226"/>
      <c r="BW23" s="1226"/>
      <c r="BX23" s="1226"/>
      <c r="BY23" s="1226"/>
      <c r="BZ23" s="1226"/>
      <c r="CA23" s="1226"/>
      <c r="CB23" s="1226"/>
      <c r="CC23" s="1226"/>
      <c r="CD23" s="1226"/>
      <c r="CE23" s="1226"/>
      <c r="CF23" s="1226"/>
      <c r="CG23" s="1226"/>
      <c r="CH23" s="1226"/>
      <c r="CI23" s="1226"/>
      <c r="CJ23" s="1226"/>
      <c r="CK23" s="1226"/>
      <c r="CL23" s="1226"/>
      <c r="CM23" s="1226"/>
      <c r="CN23" s="1226"/>
      <c r="CO23" s="1226"/>
      <c r="CP23" s="1226"/>
      <c r="CQ23" s="1226"/>
      <c r="CR23" s="1226"/>
      <c r="CS23" s="1226"/>
      <c r="CT23" s="1226"/>
      <c r="CU23" s="1226"/>
      <c r="CV23" s="1226"/>
      <c r="CW23" s="1226"/>
      <c r="CX23" s="1226"/>
      <c r="CY23" s="1226"/>
      <c r="CZ23" s="1226"/>
      <c r="DA23" s="1226"/>
      <c r="DB23" s="1226"/>
      <c r="DC23" s="1226"/>
      <c r="DD23" s="1226"/>
      <c r="DE23" s="1226"/>
      <c r="DF23" s="1226"/>
      <c r="DG23" s="1226"/>
      <c r="DH23" s="1226"/>
      <c r="DI23" s="1226"/>
      <c r="DJ23" s="1226"/>
      <c r="DK23" s="1226"/>
      <c r="DL23" s="1226"/>
      <c r="DM23" s="1226"/>
      <c r="DN23" s="1226"/>
      <c r="DO23" s="1226"/>
      <c r="DP23" s="1226"/>
      <c r="DQ23" s="1226"/>
      <c r="DR23" s="1226"/>
      <c r="DS23" s="1226"/>
      <c r="DT23" s="1226"/>
      <c r="DU23" s="1226"/>
      <c r="DV23" s="1226"/>
      <c r="DW23" s="1226"/>
      <c r="DX23" s="1226"/>
      <c r="DY23" s="1226"/>
      <c r="DZ23" s="1226"/>
      <c r="EA23" s="1226"/>
      <c r="EB23" s="1226"/>
      <c r="EC23" s="1226"/>
      <c r="ED23" s="1226"/>
      <c r="EE23" s="1226"/>
      <c r="EF23" s="1226"/>
      <c r="EG23" s="1226"/>
      <c r="EH23" s="1226"/>
      <c r="EI23" s="1226"/>
      <c r="EJ23" s="1226"/>
      <c r="EK23" s="1226"/>
      <c r="EL23" s="1226"/>
      <c r="EM23" s="1226"/>
      <c r="EN23" s="1226"/>
      <c r="EO23" s="1226"/>
      <c r="EP23" s="1226"/>
      <c r="EQ23" s="1226"/>
      <c r="ER23" s="1226"/>
      <c r="ES23" s="1226"/>
      <c r="ET23" s="1226"/>
      <c r="EU23" s="1226"/>
      <c r="EV23" s="1226"/>
      <c r="EW23" s="1226"/>
      <c r="EX23" s="1226"/>
      <c r="EY23" s="1226"/>
      <c r="EZ23" s="1226"/>
      <c r="FA23" s="1226"/>
      <c r="FB23" s="1226"/>
      <c r="FC23" s="1226"/>
      <c r="FD23" s="1226"/>
      <c r="FE23" s="1226"/>
      <c r="FF23" s="1226"/>
      <c r="FG23" s="1226"/>
      <c r="FH23" s="1226"/>
      <c r="FI23" s="1226"/>
      <c r="FJ23" s="1226"/>
      <c r="FK23" s="1226"/>
      <c r="FL23" s="1226"/>
      <c r="FM23" s="1226"/>
      <c r="FN23" s="1226"/>
      <c r="FO23" s="1226"/>
      <c r="FP23" s="1226"/>
      <c r="FQ23" s="1226"/>
      <c r="FR23" s="1226"/>
    </row>
    <row r="24" spans="1:174" ht="33" x14ac:dyDescent="0.25">
      <c r="A24" s="1227" t="s">
        <v>463</v>
      </c>
      <c r="B24" s="1227"/>
      <c r="C24" s="1275">
        <f>AW24</f>
        <v>80</v>
      </c>
      <c r="D24" s="1276" t="s">
        <v>4803</v>
      </c>
      <c r="E24" s="1219">
        <f>COUNTIFS(ШТАТ!$AL:$AL,'БЧС Дерябин'!$A24,ШТАТ!$AK:$AK,1)</f>
        <v>5</v>
      </c>
      <c r="F24" s="1219">
        <f>COUNTIFS(ШТАТ!$AL:$AL,'БЧС Дерябин'!$A24,ШТАТ!$AK:$AK,2)</f>
        <v>3</v>
      </c>
      <c r="G24" s="1219">
        <f>COUNTIFS(ШТАТ!$AL:$AL,'БЧС Дерябин'!$A24,ШТАТ!$AK:$AK,3)</f>
        <v>10</v>
      </c>
      <c r="H24" s="1219">
        <f>COUNTIFS(ШТАТ!$AL:$AL,'БЧС Дерябин'!$A24,ШТАТ!$AK:$AK,4)</f>
        <v>76</v>
      </c>
      <c r="I24" s="1221">
        <f t="shared" si="3"/>
        <v>94</v>
      </c>
      <c r="J24" s="1219">
        <f>COUNTIFS(ШТАТ!AL:AL,A24,ШТАТ!AJ:AJ,"о")</f>
        <v>5</v>
      </c>
      <c r="K24" s="1219">
        <f>COUNTIFS(ШТАТ!AL:AL,A24,ШТАТ!AJ:AJ,"п")</f>
        <v>2</v>
      </c>
      <c r="L24" s="1219">
        <f>COUNTIFS(ШТАТ!$AL:$AL,$A24,ШТАТ!AK:AK,3,ШТАТ!AJ:AJ,"с/с")</f>
        <v>9</v>
      </c>
      <c r="M24" s="1219">
        <f>COUNTIFS(ШТАТ!$AL:$AL,$A24,ШТАТ!AK:AK,3,ШТАТ!AJ:AJ,"к/с")</f>
        <v>1</v>
      </c>
      <c r="N24" s="1222">
        <f t="shared" si="11"/>
        <v>10</v>
      </c>
      <c r="O24" s="1220">
        <f>COUNTIFS(ШТАТ!$AL:$AL,$A24,ШТАТ!AK:AK,4,ШТАТ!AJ:AJ,"с/с")</f>
        <v>74</v>
      </c>
      <c r="P24" s="1220">
        <f>COUNTIFS(ШТАТ!$AL:$AL,$A24,ШТАТ!AK:AK,4,ШТАТ!AJ:AJ,"к/с")</f>
        <v>1</v>
      </c>
      <c r="Q24" s="1222">
        <f t="shared" si="12"/>
        <v>75</v>
      </c>
      <c r="R24" s="1221">
        <f t="shared" si="13"/>
        <v>92</v>
      </c>
      <c r="S24" s="1223">
        <f t="shared" si="14"/>
        <v>0.97872340425531912</v>
      </c>
      <c r="T24" s="1219">
        <f>COUNTIFS(ШТАТ!$AL:$AL,$A24,ШТАТ!$AJ:$AJ,"о",ШТАТ!$X:$X,"выполнение специальных задач")</f>
        <v>1</v>
      </c>
      <c r="U24" s="1219">
        <f>COUNTIFS(ШТАТ!$AL:$AL,$A24,ШТАТ!$AJ:$AJ,"п",ШТАТ!$X:$X,"выполнение специальных задач")</f>
        <v>0</v>
      </c>
      <c r="V24" s="1219">
        <f>COUNTIFS(ШТАТ!$AL:$AL,$A24,ШТАТ!$AK:$AK,3,ШТАТ!$AJ:$AJ,"с/с",ШТАТ!$X:$X,"выполнение специальных задач")</f>
        <v>0</v>
      </c>
      <c r="W24" s="1219">
        <f>COUNTIFS(ШТАТ!$AL:$AL,$A24,ШТАТ!$AK:$AK,3,ШТАТ!$AJ:$AJ,"к/с",ШТАТ!$X:$X,"выполнение специальных задач")</f>
        <v>0</v>
      </c>
      <c r="X24" s="1222">
        <f t="shared" si="4"/>
        <v>0</v>
      </c>
      <c r="Y24" s="1219">
        <f>COUNTIFS(ШТАТ!$AL:$AL,$A24,ШТАТ!$AK:$AK,4,ШТАТ!$AJ:$AJ,"с/с",ШТАТ!$X:$X,"выполнение специальных задач")</f>
        <v>0</v>
      </c>
      <c r="Z24" s="1219">
        <f>COUNTIFS(ШТАТ!$AL:$AL,$A24,ШТАТ!$AK:$AK,4,ШТАТ!$AJ:$AJ,"к/с",ШТАТ!$X:$X,"выполнение специальных задач")</f>
        <v>0</v>
      </c>
      <c r="AA24" s="1222">
        <f t="shared" si="5"/>
        <v>0</v>
      </c>
      <c r="AB24" s="1221">
        <f t="shared" si="15"/>
        <v>1</v>
      </c>
      <c r="AC24" s="1224"/>
      <c r="AD24" s="1219">
        <f>COUNTIFS(ШТАТ!$AL:$AL,$A24,ШТАТ!$AK:$AK,1,ШТАТ!$AJ:$AJ,"о",ШТАТ!$W:$W,"г. Белгород")</f>
        <v>0</v>
      </c>
      <c r="AE24" s="1219">
        <f>COUNTIFS(ШТАТ!$AL:$AL,$A24,ШТАТ!$AK:$AK,2,ШТАТ!$AJ:$AJ,"п",ШТАТ!$W:$W,"г. Белгород")</f>
        <v>0</v>
      </c>
      <c r="AF24" s="1219">
        <f>COUNTIFS(ШТАТ!$AL:$AL,$A24,ШТАТ!$AK:$AK,3,ШТАТ!$AJ:$AJ,"с/с",ШТАТ!$W:$W,"г. Белгород")</f>
        <v>0</v>
      </c>
      <c r="AG24" s="1219">
        <f>COUNTIFS(ШТАТ!$AL:$AL,$A24,ШТАТ!$AK:$AK,3,ШТАТ!$AJ:$AJ,"к/с",ШТАТ!$W:$W,"г. Белгород")</f>
        <v>0</v>
      </c>
      <c r="AH24" s="1222">
        <f t="shared" si="6"/>
        <v>0</v>
      </c>
      <c r="AI24" s="1219">
        <f>COUNTIFS(ШТАТ!$AL:$AL,$A24,ШТАТ!$AK:$AK,4,ШТАТ!$AJ:$AJ,"с/с",ШТАТ!$W:$W,"г. Белгород")</f>
        <v>0</v>
      </c>
      <c r="AJ24" s="1219">
        <f>COUNTIFS(ШТАТ!$AL:$AL,$A24,ШТАТ!$AK:$AK,4,ШТАТ!$AJ:$AJ,"к/с",ШТАТ!$W:$W,"г. Белгород")</f>
        <v>1</v>
      </c>
      <c r="AK24" s="1222">
        <f t="shared" si="7"/>
        <v>1</v>
      </c>
      <c r="AL24" s="1221">
        <f t="shared" si="16"/>
        <v>1</v>
      </c>
      <c r="AM24" s="1219">
        <f>COUNTIFS(ШТАТ!$AL:$AL,$A24,ШТАТ!$AK:$AK,1,ШТАТ!$AJ:$AJ,"о",ШТАТ!$U:$U,"")</f>
        <v>3</v>
      </c>
      <c r="AN24" s="1219">
        <f>COUNTIFS(ШТАТ!$AL:$AL,$A24,ШТАТ!$AK:$AK,2,ШТАТ!$AJ:$AJ,"п",ШТАТ!$U:$U,"")</f>
        <v>2</v>
      </c>
      <c r="AO24" s="1219">
        <f>COUNTIFS(ШТАТ!$AL:$AL,$A24,ШТАТ!$AK:$AK,3,ШТАТ!$AJ:$AJ,"с/с",ШТАТ!$U:$U,"")</f>
        <v>0</v>
      </c>
      <c r="AP24" s="1219">
        <f>COUNTIFS(ШТАТ!$AL:$AL,$A24,ШТАТ!$AK:$AK,3,ШТАТ!$AJ:$AJ,"к/с",ШТАТ!$U:$U,"")</f>
        <v>1</v>
      </c>
      <c r="AQ24" s="1222">
        <f t="shared" si="17"/>
        <v>1</v>
      </c>
      <c r="AR24" s="1219">
        <f>COUNTIFS(ШТАТ!$AL:$AL,$A24,ШТАТ!$AK:$AK,4,ШТАТ!$AJ:$AJ,"с/с",ШТАТ!$U:$U,"")</f>
        <v>1</v>
      </c>
      <c r="AS24" s="1219">
        <f>COUNTIFS(ШТАТ!$AL:$AL,$A24,ШТАТ!$AK:$AK,4,ШТАТ!$AJ:$AJ,"к/с",ШТАТ!$U:$U,"")</f>
        <v>0</v>
      </c>
      <c r="AT24" s="1222">
        <f t="shared" si="8"/>
        <v>1</v>
      </c>
      <c r="AU24" s="1221">
        <f t="shared" si="18"/>
        <v>7</v>
      </c>
      <c r="AV24" s="1219">
        <f>COUNTIFS(ШТАТ!$AL:$AL,$A24,ШТАТ!$U:$U,"госп")</f>
        <v>3</v>
      </c>
      <c r="AW24" s="1225">
        <f t="shared" si="9"/>
        <v>80</v>
      </c>
      <c r="AX24" s="1219">
        <f>COUNTIFS(ШТАТ!$AL:$AL,$A24,ШТАТ!$U:$U,"отпуск")</f>
        <v>0</v>
      </c>
      <c r="AY24" s="1219">
        <f>COUNTIFS(ШТАТ!$AL:$AL,$A24,ШТАТ!$U:$U,"соч")</f>
        <v>0</v>
      </c>
      <c r="AZ24" s="1225"/>
      <c r="BA24" s="1219">
        <f>COUNTIFS(ШТАТ!$AL:$AL,$A24,ШТАТ!$U:$U,"МП")</f>
        <v>0</v>
      </c>
      <c r="BB24" s="1226"/>
      <c r="BC24" s="1226"/>
      <c r="BD24" s="1219"/>
      <c r="BE24" s="1226"/>
      <c r="BF24" s="1226"/>
      <c r="BG24" s="1226"/>
      <c r="BH24" s="1226"/>
      <c r="BI24" s="1226"/>
      <c r="BJ24" s="1226"/>
      <c r="BK24" s="1226"/>
      <c r="BL24" s="1226"/>
      <c r="BM24" s="1226"/>
      <c r="BN24" s="1226"/>
      <c r="BO24" s="1226"/>
      <c r="BP24" s="1226"/>
      <c r="BQ24" s="1226"/>
      <c r="BR24" s="1226"/>
      <c r="BS24" s="1226"/>
      <c r="BT24" s="1226"/>
      <c r="BU24" s="1226"/>
      <c r="BV24" s="1226"/>
      <c r="BW24" s="1226"/>
      <c r="BX24" s="1226"/>
      <c r="BY24" s="1226"/>
      <c r="BZ24" s="1226"/>
      <c r="CA24" s="1226"/>
      <c r="CB24" s="1226"/>
      <c r="CC24" s="1226"/>
      <c r="CD24" s="1226"/>
      <c r="CE24" s="1226"/>
      <c r="CF24" s="1226"/>
      <c r="CG24" s="1226"/>
      <c r="CH24" s="1226"/>
      <c r="CI24" s="1226"/>
      <c r="CJ24" s="1226"/>
      <c r="CK24" s="1226"/>
      <c r="CL24" s="1226"/>
      <c r="CM24" s="1226"/>
      <c r="CN24" s="1226"/>
      <c r="CO24" s="1226"/>
      <c r="CP24" s="1226"/>
      <c r="CQ24" s="1226"/>
      <c r="CR24" s="1226"/>
      <c r="CS24" s="1226"/>
      <c r="CT24" s="1226"/>
      <c r="CU24" s="1226"/>
      <c r="CV24" s="1226"/>
      <c r="CW24" s="1226"/>
      <c r="CX24" s="1226"/>
      <c r="CY24" s="1226"/>
      <c r="CZ24" s="1226"/>
      <c r="DA24" s="1226"/>
      <c r="DB24" s="1226"/>
      <c r="DC24" s="1226"/>
      <c r="DD24" s="1226">
        <v>10</v>
      </c>
      <c r="DE24" s="1226"/>
      <c r="DF24" s="1226"/>
      <c r="DG24" s="1226"/>
      <c r="DH24" s="1226"/>
      <c r="DI24" s="1226"/>
      <c r="DJ24" s="1226"/>
      <c r="DK24" s="1226"/>
      <c r="DL24" s="1226"/>
      <c r="DM24" s="1226"/>
      <c r="DN24" s="1226"/>
      <c r="DO24" s="1226"/>
      <c r="DP24" s="1226"/>
      <c r="DQ24" s="1226"/>
      <c r="DR24" s="1226"/>
      <c r="DS24" s="1226"/>
      <c r="DT24" s="1226"/>
      <c r="DU24" s="1226"/>
      <c r="DV24" s="1226">
        <f>COUNTIFS(ШТАТ!$AN:$AN,"Урал-4320-31",ШТАТ!AL:AL,"Управление")</f>
        <v>0</v>
      </c>
      <c r="DW24" s="1226"/>
      <c r="DX24" s="1226"/>
      <c r="DY24" s="1226"/>
      <c r="DZ24" s="1226"/>
      <c r="EA24" s="1226"/>
      <c r="EB24" s="1226"/>
      <c r="EC24" s="1226"/>
      <c r="ED24" s="1226"/>
      <c r="EE24" s="1226"/>
      <c r="EF24" s="1226"/>
      <c r="EG24" s="1226"/>
      <c r="EH24" s="1226"/>
      <c r="EI24" s="1226"/>
      <c r="EJ24" s="1226"/>
      <c r="EK24" s="1226"/>
      <c r="EL24" s="1226"/>
      <c r="EM24" s="1226"/>
      <c r="EN24" s="1226"/>
      <c r="EO24" s="1226"/>
      <c r="EP24" s="1226"/>
      <c r="EQ24" s="1226"/>
      <c r="ER24" s="1226"/>
      <c r="ES24" s="1226"/>
      <c r="ET24" s="1226"/>
      <c r="EU24" s="1226"/>
      <c r="EV24" s="1226"/>
      <c r="EW24" s="1226"/>
      <c r="EX24" s="1226"/>
      <c r="EY24" s="1226"/>
      <c r="EZ24" s="1226"/>
      <c r="FA24" s="1226"/>
      <c r="FB24" s="1226"/>
      <c r="FC24" s="1226"/>
      <c r="FD24" s="1226"/>
      <c r="FE24" s="1226"/>
      <c r="FF24" s="1226"/>
      <c r="FG24" s="1226"/>
      <c r="FH24" s="1226"/>
      <c r="FI24" s="1226"/>
      <c r="FJ24" s="1226"/>
      <c r="FK24" s="1226"/>
      <c r="FL24" s="1226"/>
      <c r="FM24" s="1226"/>
      <c r="FN24" s="1226"/>
      <c r="FO24" s="1226"/>
      <c r="FP24" s="1226"/>
      <c r="FQ24" s="1226"/>
      <c r="FR24" s="1226"/>
    </row>
    <row r="25" spans="1:174" ht="39.75" customHeight="1" x14ac:dyDescent="0.25">
      <c r="A25" s="1227" t="s">
        <v>474</v>
      </c>
      <c r="B25" s="1227"/>
      <c r="C25" s="1275">
        <f>AU25</f>
        <v>10</v>
      </c>
      <c r="D25" s="1276" t="s">
        <v>4805</v>
      </c>
      <c r="E25" s="1219">
        <f>COUNTIFS(ШТАТ!$AL:$AL,'БЧС Дерябин'!$A25,ШТАТ!$AK:$AK,1)</f>
        <v>5</v>
      </c>
      <c r="F25" s="1219">
        <f>COUNTIFS(ШТАТ!$AL:$AL,'БЧС Дерябин'!$A25,ШТАТ!$AK:$AK,2)</f>
        <v>3</v>
      </c>
      <c r="G25" s="1219">
        <f>COUNTIFS(ШТАТ!$AL:$AL,'БЧС Дерябин'!$A25,ШТАТ!$AK:$AK,3)</f>
        <v>10</v>
      </c>
      <c r="H25" s="1219">
        <f>COUNTIFS(ШТАТ!$AL:$AL,'БЧС Дерябин'!$A25,ШТАТ!$AK:$AK,4)</f>
        <v>76</v>
      </c>
      <c r="I25" s="1221">
        <f t="shared" si="3"/>
        <v>94</v>
      </c>
      <c r="J25" s="1219">
        <f>COUNTIFS(ШТАТ!AL:AL,A25,ШТАТ!AJ:AJ,"о")</f>
        <v>5</v>
      </c>
      <c r="K25" s="1219">
        <f>COUNTIFS(ШТАТ!AL:AL,A25,ШТАТ!AJ:AJ,"п")</f>
        <v>2</v>
      </c>
      <c r="L25" s="1219">
        <f>COUNTIFS(ШТАТ!$AL:$AL,$A25,ШТАТ!AK:AK,3,ШТАТ!AJ:AJ,"с/с")</f>
        <v>10</v>
      </c>
      <c r="M25" s="1219">
        <f>COUNTIFS(ШТАТ!$AL:$AL,$A25,ШТАТ!AK:AK,3,ШТАТ!AJ:AJ,"к/с")</f>
        <v>0</v>
      </c>
      <c r="N25" s="1222">
        <f t="shared" si="11"/>
        <v>10</v>
      </c>
      <c r="O25" s="1220">
        <f>COUNTIFS(ШТАТ!$AL:$AL,$A25,ШТАТ!AK:AK,4,ШТАТ!AJ:AJ,"с/с")</f>
        <v>73</v>
      </c>
      <c r="P25" s="1220">
        <f>COUNTIFS(ШТАТ!$AL:$AL,$A25,ШТАТ!AK:AK,4,ШТАТ!AJ:AJ,"к/с")</f>
        <v>3</v>
      </c>
      <c r="Q25" s="1222">
        <f t="shared" si="12"/>
        <v>76</v>
      </c>
      <c r="R25" s="1221">
        <f t="shared" si="13"/>
        <v>93</v>
      </c>
      <c r="S25" s="1223">
        <f t="shared" si="14"/>
        <v>0.98936170212765961</v>
      </c>
      <c r="T25" s="1219">
        <f>COUNTIFS(ШТАТ!$AL:$AL,$A25,ШТАТ!$AJ:$AJ,"о",ШТАТ!$X:$X,"выполнение специальных задач")</f>
        <v>0</v>
      </c>
      <c r="U25" s="1219">
        <f>COUNTIFS(ШТАТ!$AL:$AL,$A25,ШТАТ!$AJ:$AJ,"п",ШТАТ!$X:$X,"выполнение специальных задач")</f>
        <v>1</v>
      </c>
      <c r="V25" s="1219">
        <f>COUNTIFS(ШТАТ!$AL:$AL,$A25,ШТАТ!$AK:$AK,3,ШТАТ!$AJ:$AJ,"с/с",ШТАТ!$X:$X,"выполнение специальных задач")</f>
        <v>0</v>
      </c>
      <c r="W25" s="1219">
        <f>COUNTIFS(ШТАТ!$AL:$AL,$A25,ШТАТ!$AK:$AK,3,ШТАТ!$AJ:$AJ,"к/с",ШТАТ!$X:$X,"выполнение специальных задач")</f>
        <v>0</v>
      </c>
      <c r="X25" s="1222">
        <f t="shared" si="4"/>
        <v>0</v>
      </c>
      <c r="Y25" s="1219">
        <f>COUNTIFS(ШТАТ!$AL:$AL,$A25,ШТАТ!$AK:$AK,4,ШТАТ!$AJ:$AJ,"с/с",ШТАТ!$X:$X,"выполнение специальных задач")</f>
        <v>0</v>
      </c>
      <c r="Z25" s="1219">
        <f>COUNTIFS(ШТАТ!$AL:$AL,$A25,ШТАТ!$AK:$AK,4,ШТАТ!$AJ:$AJ,"к/с",ШТАТ!$X:$X,"выполнение специальных задач")</f>
        <v>0</v>
      </c>
      <c r="AA25" s="1222">
        <f t="shared" si="5"/>
        <v>0</v>
      </c>
      <c r="AB25" s="1221">
        <f t="shared" si="15"/>
        <v>1</v>
      </c>
      <c r="AC25" s="1224"/>
      <c r="AD25" s="1219">
        <f>COUNTIFS(ШТАТ!$AL:$AL,$A25,ШТАТ!$AK:$AK,1,ШТАТ!$AJ:$AJ,"о",ШТАТ!$W:$W,"г. Белгород")</f>
        <v>1</v>
      </c>
      <c r="AE25" s="1219">
        <f>COUNTIFS(ШТАТ!$AL:$AL,$A25,ШТАТ!$AK:$AK,2,ШТАТ!$AJ:$AJ,"п",ШТАТ!$W:$W,"г. Белгород")</f>
        <v>0</v>
      </c>
      <c r="AF25" s="1219">
        <f>COUNTIFS(ШТАТ!$AL:$AL,$A25,ШТАТ!$AK:$AK,3,ШТАТ!$AJ:$AJ,"с/с",ШТАТ!$W:$W,"г. Белгород")</f>
        <v>0</v>
      </c>
      <c r="AG25" s="1219">
        <f>COUNTIFS(ШТАТ!$AL:$AL,$A25,ШТАТ!$AK:$AK,3,ШТАТ!$AJ:$AJ,"к/с",ШТАТ!$W:$W,"г. Белгород")</f>
        <v>0</v>
      </c>
      <c r="AH25" s="1222">
        <f t="shared" si="6"/>
        <v>0</v>
      </c>
      <c r="AI25" s="1219">
        <f>COUNTIFS(ШТАТ!$AL:$AL,$A25,ШТАТ!$AK:$AK,4,ШТАТ!$AJ:$AJ,"с/с",ШТАТ!$W:$W,"г. Белгород")</f>
        <v>0</v>
      </c>
      <c r="AJ25" s="1219">
        <f>COUNTIFS(ШТАТ!$AL:$AL,$A25,ШТАТ!$AK:$AK,4,ШТАТ!$AJ:$AJ,"к/с",ШТАТ!$W:$W,"г. Белгород")</f>
        <v>1</v>
      </c>
      <c r="AK25" s="1222">
        <f t="shared" si="7"/>
        <v>1</v>
      </c>
      <c r="AL25" s="1221">
        <f t="shared" si="16"/>
        <v>2</v>
      </c>
      <c r="AM25" s="1219">
        <f>COUNTIFS(ШТАТ!$AL:$AL,$A25,ШТАТ!$AK:$AK,1,ШТАТ!$AJ:$AJ,"о",ШТАТ!$U:$U,"")</f>
        <v>4</v>
      </c>
      <c r="AN25" s="1219">
        <f>COUNTIFS(ШТАТ!$AL:$AL,$A25,ШТАТ!$AK:$AK,2,ШТАТ!$AJ:$AJ,"п",ШТАТ!$U:$U,"")</f>
        <v>1</v>
      </c>
      <c r="AO25" s="1219">
        <f>COUNTIFS(ШТАТ!$AL:$AL,$A25,ШТАТ!$AK:$AK,3,ШТАТ!$AJ:$AJ,"с/с",ШТАТ!$U:$U,"")</f>
        <v>0</v>
      </c>
      <c r="AP25" s="1219">
        <f>COUNTIFS(ШТАТ!$AL:$AL,$A25,ШТАТ!$AK:$AK,3,ШТАТ!$AJ:$AJ,"к/с",ШТАТ!$U:$U,"")</f>
        <v>0</v>
      </c>
      <c r="AQ25" s="1222">
        <f t="shared" si="17"/>
        <v>0</v>
      </c>
      <c r="AR25" s="1219">
        <f>COUNTIFS(ШТАТ!$AL:$AL,$A25,ШТАТ!$AK:$AK,4,ШТАТ!$AJ:$AJ,"с/с",ШТАТ!$U:$U,"")</f>
        <v>3</v>
      </c>
      <c r="AS25" s="1219">
        <f>COUNTIFS(ШТАТ!$AL:$AL,$A25,ШТАТ!$AK:$AK,4,ШТАТ!$AJ:$AJ,"к/с",ШТАТ!$U:$U,"")</f>
        <v>2</v>
      </c>
      <c r="AT25" s="1222">
        <f t="shared" si="8"/>
        <v>5</v>
      </c>
      <c r="AU25" s="1221">
        <f t="shared" si="18"/>
        <v>10</v>
      </c>
      <c r="AV25" s="1219">
        <f>COUNTIFS(ШТАТ!$AL:$AL,$A25,ШТАТ!$U:$U,"госп")</f>
        <v>0</v>
      </c>
      <c r="AW25" s="1225">
        <f t="shared" si="9"/>
        <v>80</v>
      </c>
      <c r="AX25" s="1219">
        <f>COUNTIFS(ШТАТ!$AL:$AL,$A25,ШТАТ!$U:$U,"отпуск")</f>
        <v>0</v>
      </c>
      <c r="AY25" s="1219">
        <f>COUNTIFS(ШТАТ!$AL:$AL,$A25,ШТАТ!$U:$U,"соч")</f>
        <v>0</v>
      </c>
      <c r="AZ25" s="1225"/>
      <c r="BA25" s="1219">
        <f>COUNTIFS(ШТАТ!$AL:$AL,$A25,ШТАТ!$U:$U,"МП")</f>
        <v>0</v>
      </c>
      <c r="BB25" s="1226"/>
      <c r="BC25" s="1226"/>
      <c r="BD25" s="1219"/>
      <c r="BE25" s="1226"/>
      <c r="BF25" s="1226"/>
      <c r="BG25" s="1226"/>
      <c r="BH25" s="1226"/>
      <c r="BI25" s="1226"/>
      <c r="BJ25" s="1226"/>
      <c r="BK25" s="1226"/>
      <c r="BL25" s="1226"/>
      <c r="BM25" s="1226"/>
      <c r="BN25" s="1226"/>
      <c r="BO25" s="1226"/>
      <c r="BP25" s="1226"/>
      <c r="BQ25" s="1226"/>
      <c r="BR25" s="1226"/>
      <c r="BS25" s="1226"/>
      <c r="BT25" s="1226"/>
      <c r="BU25" s="1226"/>
      <c r="BV25" s="1226"/>
      <c r="BW25" s="1226"/>
      <c r="BX25" s="1226"/>
      <c r="BY25" s="1226"/>
      <c r="BZ25" s="1226"/>
      <c r="CA25" s="1226"/>
      <c r="CB25" s="1226"/>
      <c r="CC25" s="1226"/>
      <c r="CD25" s="1226"/>
      <c r="CE25" s="1226"/>
      <c r="CF25" s="1226"/>
      <c r="CG25" s="1226"/>
      <c r="CH25" s="1226"/>
      <c r="CI25" s="1226"/>
      <c r="CJ25" s="1226"/>
      <c r="CK25" s="1226"/>
      <c r="CL25" s="1226"/>
      <c r="CM25" s="1226"/>
      <c r="CN25" s="1226"/>
      <c r="CO25" s="1226"/>
      <c r="CP25" s="1226"/>
      <c r="CQ25" s="1226"/>
      <c r="CR25" s="1226"/>
      <c r="CS25" s="1226"/>
      <c r="CT25" s="1226"/>
      <c r="CU25" s="1226"/>
      <c r="CV25" s="1226"/>
      <c r="CW25" s="1226"/>
      <c r="CX25" s="1226"/>
      <c r="CY25" s="1226"/>
      <c r="CZ25" s="1226"/>
      <c r="DA25" s="1226"/>
      <c r="DB25" s="1226"/>
      <c r="DC25" s="1226"/>
      <c r="DD25" s="1226">
        <v>10</v>
      </c>
      <c r="DE25" s="1226"/>
      <c r="DF25" s="1226"/>
      <c r="DG25" s="1226"/>
      <c r="DH25" s="1226"/>
      <c r="DI25" s="1226"/>
      <c r="DJ25" s="1226"/>
      <c r="DK25" s="1226"/>
      <c r="DL25" s="1226"/>
      <c r="DM25" s="1226"/>
      <c r="DN25" s="1226"/>
      <c r="DO25" s="1226"/>
      <c r="DP25" s="1226"/>
      <c r="DQ25" s="1226"/>
      <c r="DR25" s="1226"/>
      <c r="DS25" s="1226"/>
      <c r="DT25" s="1226"/>
      <c r="DU25" s="1226"/>
      <c r="DV25" s="1226">
        <f>COUNTIFS(ШТАТ!$AN:$AN,"Урал-4320-31",ШТАТ!AL:AL,"Управление")</f>
        <v>0</v>
      </c>
      <c r="DW25" s="1226"/>
      <c r="DX25" s="1226"/>
      <c r="DY25" s="1226"/>
      <c r="DZ25" s="1226"/>
      <c r="EA25" s="1226"/>
      <c r="EB25" s="1226"/>
      <c r="EC25" s="1226"/>
      <c r="ED25" s="1226"/>
      <c r="EE25" s="1226"/>
      <c r="EF25" s="1226"/>
      <c r="EG25" s="1226"/>
      <c r="EH25" s="1226"/>
      <c r="EI25" s="1226"/>
      <c r="EJ25" s="1226"/>
      <c r="EK25" s="1226"/>
      <c r="EL25" s="1226"/>
      <c r="EM25" s="1226"/>
      <c r="EN25" s="1226"/>
      <c r="EO25" s="1226"/>
      <c r="EP25" s="1226"/>
      <c r="EQ25" s="1226"/>
      <c r="ER25" s="1226"/>
      <c r="ES25" s="1226"/>
      <c r="ET25" s="1226"/>
      <c r="EU25" s="1226"/>
      <c r="EV25" s="1226"/>
      <c r="EW25" s="1226"/>
      <c r="EX25" s="1226"/>
      <c r="EY25" s="1226"/>
      <c r="EZ25" s="1226"/>
      <c r="FA25" s="1226"/>
      <c r="FB25" s="1226"/>
      <c r="FC25" s="1226"/>
      <c r="FD25" s="1226"/>
      <c r="FE25" s="1226"/>
      <c r="FF25" s="1226"/>
      <c r="FG25" s="1226"/>
      <c r="FH25" s="1226"/>
      <c r="FI25" s="1226"/>
      <c r="FJ25" s="1226"/>
      <c r="FK25" s="1226"/>
      <c r="FL25" s="1226"/>
      <c r="FM25" s="1226"/>
      <c r="FN25" s="1226"/>
      <c r="FO25" s="1226"/>
      <c r="FP25" s="1226"/>
      <c r="FQ25" s="1226"/>
      <c r="FR25" s="1226"/>
    </row>
    <row r="26" spans="1:174" ht="33" x14ac:dyDescent="0.25">
      <c r="A26" s="1227" t="s">
        <v>477</v>
      </c>
      <c r="B26" s="1227"/>
      <c r="C26" s="1275">
        <f t="shared" ref="C26:C32" si="21">AW26</f>
        <v>80</v>
      </c>
      <c r="D26" s="1276" t="s">
        <v>4803</v>
      </c>
      <c r="E26" s="1219">
        <f>COUNTIFS(ШТАТ!$AL:$AL,'БЧС Дерябин'!$A26,ШТАТ!$AK:$AK,1)</f>
        <v>5</v>
      </c>
      <c r="F26" s="1219">
        <f>COUNTIFS(ШТАТ!$AL:$AL,'БЧС Дерябин'!$A26,ШТАТ!$AK:$AK,2)</f>
        <v>3</v>
      </c>
      <c r="G26" s="1219">
        <f>COUNTIFS(ШТАТ!$AL:$AL,'БЧС Дерябин'!$A26,ШТАТ!$AK:$AK,3)</f>
        <v>10</v>
      </c>
      <c r="H26" s="1219">
        <f>COUNTIFS(ШТАТ!$AL:$AL,'БЧС Дерябин'!$A26,ШТАТ!$AK:$AK,4)</f>
        <v>76</v>
      </c>
      <c r="I26" s="1221">
        <f t="shared" si="3"/>
        <v>94</v>
      </c>
      <c r="J26" s="1219">
        <f>COUNTIFS(ШТАТ!AL:AL,A26,ШТАТ!AJ:AJ,"о")</f>
        <v>4</v>
      </c>
      <c r="K26" s="1219">
        <f>COUNTIFS(ШТАТ!AL:AL,A26,ШТАТ!AJ:AJ,"п")</f>
        <v>2</v>
      </c>
      <c r="L26" s="1219">
        <f>COUNTIFS(ШТАТ!$AL:$AL,$A26,ШТАТ!AK:AK,3,ШТАТ!AJ:AJ,"с/с")</f>
        <v>9</v>
      </c>
      <c r="M26" s="1219">
        <f>COUNTIFS(ШТАТ!$AL:$AL,$A26,ШТАТ!AK:AK,3,ШТАТ!AJ:AJ,"к/с")</f>
        <v>0</v>
      </c>
      <c r="N26" s="1222">
        <f t="shared" si="11"/>
        <v>9</v>
      </c>
      <c r="O26" s="1220">
        <f>COUNTIFS(ШТАТ!$AL:$AL,$A26,ШТАТ!AK:AK,4,ШТАТ!AJ:AJ,"с/с")</f>
        <v>75</v>
      </c>
      <c r="P26" s="1220">
        <f>COUNTIFS(ШТАТ!$AL:$AL,$A26,ШТАТ!AK:AK,4,ШТАТ!AJ:AJ,"к/с")</f>
        <v>1</v>
      </c>
      <c r="Q26" s="1222">
        <f t="shared" si="12"/>
        <v>76</v>
      </c>
      <c r="R26" s="1221">
        <f t="shared" si="13"/>
        <v>91</v>
      </c>
      <c r="S26" s="1223">
        <f t="shared" si="14"/>
        <v>0.96808510638297873</v>
      </c>
      <c r="T26" s="1219">
        <f>COUNTIFS(ШТАТ!$AL:$AL,$A26,ШТАТ!$AJ:$AJ,"о",ШТАТ!$X:$X,"выполнение специальных задач")</f>
        <v>0</v>
      </c>
      <c r="U26" s="1219">
        <f>COUNTIFS(ШТАТ!$AL:$AL,$A26,ШТАТ!$AJ:$AJ,"п",ШТАТ!$X:$X,"выполнение специальных задач")</f>
        <v>0</v>
      </c>
      <c r="V26" s="1219">
        <f>COUNTIFS(ШТАТ!$AL:$AL,$A26,ШТАТ!$AK:$AK,3,ШТАТ!$AJ:$AJ,"с/с",ШТАТ!$X:$X,"выполнение специальных задач")</f>
        <v>0</v>
      </c>
      <c r="W26" s="1219">
        <f>COUNTIFS(ШТАТ!$AL:$AL,$A26,ШТАТ!$AK:$AK,3,ШТАТ!$AJ:$AJ,"к/с",ШТАТ!$X:$X,"выполнение специальных задач")</f>
        <v>0</v>
      </c>
      <c r="X26" s="1222">
        <f t="shared" si="4"/>
        <v>0</v>
      </c>
      <c r="Y26" s="1219">
        <f>COUNTIFS(ШТАТ!$AL:$AL,$A26,ШТАТ!$AK:$AK,4,ШТАТ!$AJ:$AJ,"с/с",ШТАТ!$X:$X,"выполнение специальных задач")</f>
        <v>0</v>
      </c>
      <c r="Z26" s="1219">
        <f>COUNTIFS(ШТАТ!$AL:$AL,$A26,ШТАТ!$AK:$AK,4,ШТАТ!$AJ:$AJ,"к/с",ШТАТ!$X:$X,"выполнение специальных задач")</f>
        <v>0</v>
      </c>
      <c r="AA26" s="1222">
        <f t="shared" si="5"/>
        <v>0</v>
      </c>
      <c r="AB26" s="1221">
        <f t="shared" si="15"/>
        <v>0</v>
      </c>
      <c r="AC26" s="1224"/>
      <c r="AD26" s="1219">
        <f>COUNTIFS(ШТАТ!$AL:$AL,$A26,ШТАТ!$AK:$AK,1,ШТАТ!$AJ:$AJ,"о",ШТАТ!$W:$W,"г. Белгород")</f>
        <v>0</v>
      </c>
      <c r="AE26" s="1219">
        <f>COUNTIFS(ШТАТ!$AL:$AL,$A26,ШТАТ!$AK:$AK,2,ШТАТ!$AJ:$AJ,"п",ШТАТ!$W:$W,"г. Белгород")</f>
        <v>0</v>
      </c>
      <c r="AF26" s="1219">
        <f>COUNTIFS(ШТАТ!$AL:$AL,$A26,ШТАТ!$AK:$AK,3,ШТАТ!$AJ:$AJ,"с/с",ШТАТ!$W:$W,"г. Белгород")</f>
        <v>0</v>
      </c>
      <c r="AG26" s="1219">
        <f>COUNTIFS(ШТАТ!$AL:$AL,$A26,ШТАТ!$AK:$AK,3,ШТАТ!$AJ:$AJ,"к/с",ШТАТ!$W:$W,"г. Белгород")</f>
        <v>0</v>
      </c>
      <c r="AH26" s="1222">
        <f t="shared" si="6"/>
        <v>0</v>
      </c>
      <c r="AI26" s="1219">
        <f>COUNTIFS(ШТАТ!$AL:$AL,$A26,ШТАТ!$AK:$AK,4,ШТАТ!$AJ:$AJ,"с/с",ШТАТ!$W:$W,"г. Белгород")</f>
        <v>0</v>
      </c>
      <c r="AJ26" s="1219">
        <f>COUNTIFS(ШТАТ!$AL:$AL,$A26,ШТАТ!$AK:$AK,4,ШТАТ!$AJ:$AJ,"к/с",ШТАТ!$W:$W,"г. Белгород")</f>
        <v>0</v>
      </c>
      <c r="AK26" s="1222">
        <f t="shared" si="7"/>
        <v>0</v>
      </c>
      <c r="AL26" s="1221">
        <f t="shared" si="16"/>
        <v>0</v>
      </c>
      <c r="AM26" s="1219">
        <f>COUNTIFS(ШТАТ!$AL:$AL,$A26,ШТАТ!$AK:$AK,1,ШТАТ!$AJ:$AJ,"о",ШТАТ!$U:$U,"")</f>
        <v>4</v>
      </c>
      <c r="AN26" s="1219">
        <f>COUNTIFS(ШТАТ!$AL:$AL,$A26,ШТАТ!$AK:$AK,2,ШТАТ!$AJ:$AJ,"п",ШТАТ!$U:$U,"")</f>
        <v>2</v>
      </c>
      <c r="AO26" s="1219">
        <f>COUNTIFS(ШТАТ!$AL:$AL,$A26,ШТАТ!$AK:$AK,3,ШТАТ!$AJ:$AJ,"с/с",ШТАТ!$U:$U,"")</f>
        <v>4</v>
      </c>
      <c r="AP26" s="1219">
        <f>COUNTIFS(ШТАТ!$AL:$AL,$A26,ШТАТ!$AK:$AK,3,ШТАТ!$AJ:$AJ,"к/с",ШТАТ!$U:$U,"")</f>
        <v>0</v>
      </c>
      <c r="AQ26" s="1222">
        <f t="shared" si="17"/>
        <v>4</v>
      </c>
      <c r="AR26" s="1219">
        <f>COUNTIFS(ШТАТ!$AL:$AL,$A26,ШТАТ!$AK:$AK,4,ШТАТ!$AJ:$AJ,"с/с",ШТАТ!$U:$U,"")</f>
        <v>0</v>
      </c>
      <c r="AS26" s="1219">
        <f>COUNTIFS(ШТАТ!$AL:$AL,$A26,ШТАТ!$AK:$AK,4,ШТАТ!$AJ:$AJ,"к/с",ШТАТ!$U:$U,"")</f>
        <v>0</v>
      </c>
      <c r="AT26" s="1222">
        <f t="shared" si="8"/>
        <v>0</v>
      </c>
      <c r="AU26" s="1221">
        <f t="shared" si="18"/>
        <v>10</v>
      </c>
      <c r="AV26" s="1219">
        <f>COUNTIFS(ШТАТ!$AL:$AL,$A26,ШТАТ!$U:$U,"госп")</f>
        <v>0</v>
      </c>
      <c r="AW26" s="1225">
        <f t="shared" si="9"/>
        <v>80</v>
      </c>
      <c r="AX26" s="1219">
        <f>COUNTIFS(ШТАТ!$AL:$AL,$A26,ШТАТ!$U:$U,"отпуск")</f>
        <v>1</v>
      </c>
      <c r="AY26" s="1219">
        <f>COUNTIFS(ШТАТ!$AL:$AL,$A26,ШТАТ!$U:$U,"соч")</f>
        <v>0</v>
      </c>
      <c r="AZ26" s="1225"/>
      <c r="BA26" s="1219">
        <f>COUNTIFS(ШТАТ!$AL:$AL,$A26,ШТАТ!$U:$U,"МП")</f>
        <v>0</v>
      </c>
      <c r="BB26" s="1226"/>
      <c r="BC26" s="1226"/>
      <c r="BD26" s="1219"/>
      <c r="BE26" s="1226"/>
      <c r="BF26" s="1226"/>
      <c r="BG26" s="1226"/>
      <c r="BH26" s="1226"/>
      <c r="BI26" s="1226"/>
      <c r="BJ26" s="1226"/>
      <c r="BK26" s="1226"/>
      <c r="BL26" s="1226"/>
      <c r="BM26" s="1226"/>
      <c r="BN26" s="1226"/>
      <c r="BO26" s="1226"/>
      <c r="BP26" s="1226"/>
      <c r="BQ26" s="1226"/>
      <c r="BR26" s="1226"/>
      <c r="BS26" s="1226"/>
      <c r="BT26" s="1226"/>
      <c r="BU26" s="1226"/>
      <c r="BV26" s="1226"/>
      <c r="BW26" s="1226"/>
      <c r="BX26" s="1226"/>
      <c r="BY26" s="1226"/>
      <c r="BZ26" s="1226"/>
      <c r="CA26" s="1226"/>
      <c r="CB26" s="1226"/>
      <c r="CC26" s="1226"/>
      <c r="CD26" s="1226"/>
      <c r="CE26" s="1226"/>
      <c r="CF26" s="1226"/>
      <c r="CG26" s="1226"/>
      <c r="CH26" s="1226"/>
      <c r="CI26" s="1226"/>
      <c r="CJ26" s="1226"/>
      <c r="CK26" s="1226"/>
      <c r="CL26" s="1226"/>
      <c r="CM26" s="1226"/>
      <c r="CN26" s="1226"/>
      <c r="CO26" s="1226"/>
      <c r="CP26" s="1226"/>
      <c r="CQ26" s="1226"/>
      <c r="CR26" s="1226"/>
      <c r="CS26" s="1226"/>
      <c r="CT26" s="1226"/>
      <c r="CU26" s="1226"/>
      <c r="CV26" s="1226"/>
      <c r="CW26" s="1226"/>
      <c r="CX26" s="1226"/>
      <c r="CY26" s="1226"/>
      <c r="CZ26" s="1226"/>
      <c r="DA26" s="1226"/>
      <c r="DB26" s="1226"/>
      <c r="DC26" s="1226"/>
      <c r="DD26" s="1226">
        <v>10</v>
      </c>
      <c r="DE26" s="1226"/>
      <c r="DF26" s="1226"/>
      <c r="DG26" s="1226"/>
      <c r="DH26" s="1226"/>
      <c r="DI26" s="1226"/>
      <c r="DJ26" s="1226"/>
      <c r="DK26" s="1226"/>
      <c r="DL26" s="1226"/>
      <c r="DM26" s="1226"/>
      <c r="DN26" s="1226"/>
      <c r="DO26" s="1226"/>
      <c r="DP26" s="1226"/>
      <c r="DQ26" s="1226"/>
      <c r="DR26" s="1226"/>
      <c r="DS26" s="1226"/>
      <c r="DT26" s="1226"/>
      <c r="DU26" s="1226"/>
      <c r="DV26" s="1226">
        <f>COUNTIFS(ШТАТ!$AN:$AN,"Урал-4320-31",ШТАТ!AL:AL,"Управление")</f>
        <v>0</v>
      </c>
      <c r="DW26" s="1226"/>
      <c r="DX26" s="1226"/>
      <c r="DY26" s="1226"/>
      <c r="DZ26" s="1226"/>
      <c r="EA26" s="1226"/>
      <c r="EB26" s="1226"/>
      <c r="EC26" s="1226"/>
      <c r="ED26" s="1226"/>
      <c r="EE26" s="1226"/>
      <c r="EF26" s="1226"/>
      <c r="EG26" s="1226"/>
      <c r="EH26" s="1226"/>
      <c r="EI26" s="1226"/>
      <c r="EJ26" s="1226"/>
      <c r="EK26" s="1226"/>
      <c r="EL26" s="1226"/>
      <c r="EM26" s="1226"/>
      <c r="EN26" s="1226"/>
      <c r="EO26" s="1226"/>
      <c r="EP26" s="1226"/>
      <c r="EQ26" s="1226"/>
      <c r="ER26" s="1226"/>
      <c r="ES26" s="1226"/>
      <c r="ET26" s="1226"/>
      <c r="EU26" s="1226"/>
      <c r="EV26" s="1226"/>
      <c r="EW26" s="1226"/>
      <c r="EX26" s="1226"/>
      <c r="EY26" s="1226"/>
      <c r="EZ26" s="1226"/>
      <c r="FA26" s="1226"/>
      <c r="FB26" s="1226"/>
      <c r="FC26" s="1226"/>
      <c r="FD26" s="1226"/>
      <c r="FE26" s="1226"/>
      <c r="FF26" s="1226"/>
      <c r="FG26" s="1226"/>
      <c r="FH26" s="1226"/>
      <c r="FI26" s="1226"/>
      <c r="FJ26" s="1226"/>
      <c r="FK26" s="1226"/>
      <c r="FL26" s="1226"/>
      <c r="FM26" s="1226"/>
      <c r="FN26" s="1226"/>
      <c r="FO26" s="1226"/>
      <c r="FP26" s="1226"/>
      <c r="FQ26" s="1226"/>
      <c r="FR26" s="1226"/>
    </row>
    <row r="27" spans="1:174" ht="33" x14ac:dyDescent="0.25">
      <c r="A27" s="1227" t="s">
        <v>479</v>
      </c>
      <c r="B27" s="1227"/>
      <c r="C27" s="1275">
        <f t="shared" si="21"/>
        <v>37</v>
      </c>
      <c r="D27" s="1276" t="s">
        <v>4803</v>
      </c>
      <c r="E27" s="1219">
        <f>COUNTIFS(ШТАТ!$AL:$AL,'БЧС Дерябин'!$A27,ШТАТ!$AK:$AK,1)</f>
        <v>4</v>
      </c>
      <c r="F27" s="1219">
        <f>COUNTIFS(ШТАТ!$AL:$AL,'БЧС Дерябин'!$A27,ШТАТ!$AK:$AK,2)</f>
        <v>1</v>
      </c>
      <c r="G27" s="1219">
        <f>COUNTIFS(ШТАТ!$AL:$AL,'БЧС Дерябин'!$A27,ШТАТ!$AK:$AK,3)</f>
        <v>8</v>
      </c>
      <c r="H27" s="1219">
        <f>COUNTIFS(ШТАТ!$AL:$AL,'БЧС Дерябин'!$A27,ШТАТ!$AK:$AK,4)</f>
        <v>32</v>
      </c>
      <c r="I27" s="1221">
        <f t="shared" si="3"/>
        <v>45</v>
      </c>
      <c r="J27" s="1219">
        <f>COUNTIFS(ШТАТ!AL:AL,A27,ШТАТ!AJ:AJ,"о")</f>
        <v>4</v>
      </c>
      <c r="K27" s="1219">
        <f>COUNTIFS(ШТАТ!AL:AL,A27,ШТАТ!AJ:AJ,"п")</f>
        <v>1</v>
      </c>
      <c r="L27" s="1219">
        <f>COUNTIFS(ШТАТ!$AL:$AL,$A27,ШТАТ!AK:AK,3,ШТАТ!AJ:AJ,"с/с")</f>
        <v>5</v>
      </c>
      <c r="M27" s="1219">
        <f>COUNTIFS(ШТАТ!$AL:$AL,$A27,ШТАТ!AK:AK,3,ШТАТ!AJ:AJ,"к/с")</f>
        <v>0</v>
      </c>
      <c r="N27" s="1222">
        <f t="shared" si="11"/>
        <v>5</v>
      </c>
      <c r="O27" s="1220">
        <f>COUNTIFS(ШТАТ!$AL:$AL,$A27,ШТАТ!AK:AK,4,ШТАТ!AJ:AJ,"с/с")</f>
        <v>28</v>
      </c>
      <c r="P27" s="1220">
        <f>COUNTIFS(ШТАТ!$AL:$AL,$A27,ШТАТ!AK:AK,4,ШТАТ!AJ:AJ,"к/с")</f>
        <v>1</v>
      </c>
      <c r="Q27" s="1222">
        <f t="shared" si="12"/>
        <v>29</v>
      </c>
      <c r="R27" s="1221">
        <f t="shared" si="13"/>
        <v>39</v>
      </c>
      <c r="S27" s="1223">
        <f t="shared" si="14"/>
        <v>0.8666666666666667</v>
      </c>
      <c r="T27" s="1219">
        <f>COUNTIFS(ШТАТ!$AL:$AL,$A27,ШТАТ!$AJ:$AJ,"о",ШТАТ!$X:$X,"выполнение специальных задач")</f>
        <v>0</v>
      </c>
      <c r="U27" s="1219">
        <f>COUNTIFS(ШТАТ!$AL:$AL,$A27,ШТАТ!$AJ:$AJ,"п",ШТАТ!$X:$X,"выполнение специальных задач")</f>
        <v>1</v>
      </c>
      <c r="V27" s="1219">
        <f>COUNTIFS(ШТАТ!$AL:$AL,$A27,ШТАТ!$AK:$AK,3,ШТАТ!$AJ:$AJ,"с/с",ШТАТ!$X:$X,"выполнение специальных задач")</f>
        <v>0</v>
      </c>
      <c r="W27" s="1219">
        <f>COUNTIFS(ШТАТ!$AL:$AL,$A27,ШТАТ!$AK:$AK,3,ШТАТ!$AJ:$AJ,"к/с",ШТАТ!$X:$X,"выполнение специальных задач")</f>
        <v>0</v>
      </c>
      <c r="X27" s="1222">
        <f t="shared" si="4"/>
        <v>0</v>
      </c>
      <c r="Y27" s="1219">
        <f>COUNTIFS(ШТАТ!$AL:$AL,$A27,ШТАТ!$AK:$AK,4,ШТАТ!$AJ:$AJ,"с/с",ШТАТ!$X:$X,"выполнение специальных задач")</f>
        <v>0</v>
      </c>
      <c r="Z27" s="1219">
        <f>COUNTIFS(ШТАТ!$AL:$AL,$A27,ШТАТ!$AK:$AK,4,ШТАТ!$AJ:$AJ,"к/с",ШТАТ!$X:$X,"выполнение специальных задач")</f>
        <v>0</v>
      </c>
      <c r="AA27" s="1222">
        <f t="shared" si="5"/>
        <v>0</v>
      </c>
      <c r="AB27" s="1221">
        <f t="shared" si="15"/>
        <v>1</v>
      </c>
      <c r="AC27" s="1224"/>
      <c r="AD27" s="1219">
        <f>COUNTIFS(ШТАТ!$AL:$AL,$A27,ШТАТ!$AK:$AK,1,ШТАТ!$AJ:$AJ,"о",ШТАТ!$W:$W,"г. Белгород")</f>
        <v>0</v>
      </c>
      <c r="AE27" s="1219">
        <f>COUNTIFS(ШТАТ!$AL:$AL,$A27,ШТАТ!$AK:$AK,2,ШТАТ!$AJ:$AJ,"п",ШТАТ!$W:$W,"г. Белгород")</f>
        <v>0</v>
      </c>
      <c r="AF27" s="1219">
        <f>COUNTIFS(ШТАТ!$AL:$AL,$A27,ШТАТ!$AK:$AK,3,ШТАТ!$AJ:$AJ,"с/с",ШТАТ!$W:$W,"г. Белгород")</f>
        <v>0</v>
      </c>
      <c r="AG27" s="1219">
        <f>COUNTIFS(ШТАТ!$AL:$AL,$A27,ШТАТ!$AK:$AK,3,ШТАТ!$AJ:$AJ,"к/с",ШТАТ!$W:$W,"г. Белгород")</f>
        <v>0</v>
      </c>
      <c r="AH27" s="1222">
        <f t="shared" si="6"/>
        <v>0</v>
      </c>
      <c r="AI27" s="1219">
        <f>COUNTIFS(ШТАТ!$AL:$AL,$A27,ШТАТ!$AK:$AK,4,ШТАТ!$AJ:$AJ,"с/с",ШТАТ!$W:$W,"г. Белгород")</f>
        <v>0</v>
      </c>
      <c r="AJ27" s="1219">
        <f>COUNTIFS(ШТАТ!$AL:$AL,$A27,ШТАТ!$AK:$AK,4,ШТАТ!$AJ:$AJ,"к/с",ШТАТ!$W:$W,"г. Белгород")</f>
        <v>0</v>
      </c>
      <c r="AK27" s="1222">
        <f t="shared" si="7"/>
        <v>0</v>
      </c>
      <c r="AL27" s="1221">
        <f t="shared" si="16"/>
        <v>0</v>
      </c>
      <c r="AM27" s="1219">
        <f>COUNTIFS(ШТАТ!$AL:$AL,$A27,ШТАТ!$AK:$AK,1,ШТАТ!$AJ:$AJ,"о",ШТАТ!$U:$U,"")</f>
        <v>1</v>
      </c>
      <c r="AN27" s="1219">
        <f>COUNTIFS(ШТАТ!$AL:$AL,$A27,ШТАТ!$AK:$AK,2,ШТАТ!$AJ:$AJ,"п",ШТАТ!$U:$U,"")</f>
        <v>0</v>
      </c>
      <c r="AO27" s="1219">
        <f>COUNTIFS(ШТАТ!$AL:$AL,$A27,ШТАТ!$AK:$AK,3,ШТАТ!$AJ:$AJ,"с/с",ШТАТ!$U:$U,"")</f>
        <v>0</v>
      </c>
      <c r="AP27" s="1219">
        <f>COUNTIFS(ШТАТ!$AL:$AL,$A27,ШТАТ!$AK:$AK,3,ШТАТ!$AJ:$AJ,"к/с",ШТАТ!$U:$U,"")</f>
        <v>0</v>
      </c>
      <c r="AQ27" s="1222">
        <f t="shared" si="17"/>
        <v>0</v>
      </c>
      <c r="AR27" s="1219">
        <f>COUNTIFS(ШТАТ!$AL:$AL,$A27,ШТАТ!$AK:$AK,4,ШТАТ!$AJ:$AJ,"с/с",ШТАТ!$U:$U,"")</f>
        <v>0</v>
      </c>
      <c r="AS27" s="1219">
        <f>COUNTIFS(ШТАТ!$AL:$AL,$A27,ШТАТ!$AK:$AK,4,ШТАТ!$AJ:$AJ,"к/с",ШТАТ!$U:$U,"")</f>
        <v>0</v>
      </c>
      <c r="AT27" s="1222">
        <f t="shared" si="8"/>
        <v>0</v>
      </c>
      <c r="AU27" s="1221">
        <f t="shared" si="18"/>
        <v>1</v>
      </c>
      <c r="AV27" s="1219">
        <f>COUNTIFS(ШТАТ!$AL:$AL,$A27,ШТАТ!$U:$U,"госп")</f>
        <v>0</v>
      </c>
      <c r="AW27" s="1225">
        <f t="shared" si="9"/>
        <v>37</v>
      </c>
      <c r="AX27" s="1219">
        <f>COUNTIFS(ШТАТ!$AL:$AL,$A27,ШТАТ!$U:$U,"отпуск")</f>
        <v>0</v>
      </c>
      <c r="AY27" s="1219">
        <f>COUNTIFS(ШТАТ!$AL:$AL,$A27,ШТАТ!$U:$U,"соч")</f>
        <v>0</v>
      </c>
      <c r="AZ27" s="1225"/>
      <c r="BA27" s="1219">
        <f>COUNTIFS(ШТАТ!$AL:$AL,$A27,ШТАТ!$U:$U,"МП")</f>
        <v>0</v>
      </c>
      <c r="BB27" s="1226"/>
      <c r="BC27" s="1226"/>
      <c r="BD27" s="1219"/>
      <c r="BE27" s="1226"/>
      <c r="BF27" s="1226"/>
      <c r="BG27" s="1226"/>
      <c r="BH27" s="1226"/>
      <c r="BI27" s="1226"/>
      <c r="BJ27" s="1226"/>
      <c r="BK27" s="1226"/>
      <c r="BL27" s="1226"/>
      <c r="BM27" s="1226"/>
      <c r="BN27" s="1226"/>
      <c r="BO27" s="1226"/>
      <c r="BP27" s="1226"/>
      <c r="BQ27" s="1226"/>
      <c r="BR27" s="1226"/>
      <c r="BS27" s="1226"/>
      <c r="BT27" s="1226"/>
      <c r="BU27" s="1226"/>
      <c r="BV27" s="1226"/>
      <c r="BW27" s="1226"/>
      <c r="BX27" s="1226"/>
      <c r="BY27" s="1226"/>
      <c r="BZ27" s="1226"/>
      <c r="CA27" s="1226"/>
      <c r="CB27" s="1226"/>
      <c r="CC27" s="1226"/>
      <c r="CD27" s="1226"/>
      <c r="CE27" s="1226"/>
      <c r="CF27" s="1226"/>
      <c r="CG27" s="1226"/>
      <c r="CH27" s="1226"/>
      <c r="CI27" s="1226"/>
      <c r="CJ27" s="1226"/>
      <c r="CK27" s="1226"/>
      <c r="CL27" s="1226"/>
      <c r="CM27" s="1226"/>
      <c r="CN27" s="1226"/>
      <c r="CO27" s="1226"/>
      <c r="CP27" s="1226"/>
      <c r="CQ27" s="1226"/>
      <c r="CR27" s="1226"/>
      <c r="CS27" s="1226"/>
      <c r="CT27" s="1226"/>
      <c r="CU27" s="1226"/>
      <c r="CV27" s="1226"/>
      <c r="CW27" s="1226"/>
      <c r="CX27" s="1226"/>
      <c r="CY27" s="1226"/>
      <c r="CZ27" s="1226"/>
      <c r="DA27" s="1226"/>
      <c r="DB27" s="1226"/>
      <c r="DC27" s="1226"/>
      <c r="DD27" s="1226"/>
      <c r="DE27" s="1226"/>
      <c r="DF27" s="1226"/>
      <c r="DG27" s="1226"/>
      <c r="DH27" s="1226"/>
      <c r="DI27" s="1226"/>
      <c r="DJ27" s="1226"/>
      <c r="DK27" s="1226"/>
      <c r="DL27" s="1226"/>
      <c r="DM27" s="1226"/>
      <c r="DN27" s="1226"/>
      <c r="DO27" s="1226"/>
      <c r="DP27" s="1226"/>
      <c r="DQ27" s="1226"/>
      <c r="DR27" s="1226"/>
      <c r="DS27" s="1226"/>
      <c r="DT27" s="1226"/>
      <c r="DU27" s="1226"/>
      <c r="DV27" s="1226">
        <f>COUNTIFS(ШТАТ!$AN:$AN,"Урал-4320-31",ШТАТ!AL:AL,"Управление")</f>
        <v>0</v>
      </c>
      <c r="DW27" s="1226"/>
      <c r="DX27" s="1226"/>
      <c r="DY27" s="1226"/>
      <c r="DZ27" s="1226"/>
      <c r="EA27" s="1226"/>
      <c r="EB27" s="1226"/>
      <c r="EC27" s="1226"/>
      <c r="ED27" s="1226"/>
      <c r="EE27" s="1226"/>
      <c r="EF27" s="1226"/>
      <c r="EG27" s="1226"/>
      <c r="EH27" s="1226"/>
      <c r="EI27" s="1226"/>
      <c r="EJ27" s="1226"/>
      <c r="EK27" s="1226"/>
      <c r="EL27" s="1226"/>
      <c r="EM27" s="1226"/>
      <c r="EN27" s="1226"/>
      <c r="EO27" s="1226"/>
      <c r="EP27" s="1226"/>
      <c r="EQ27" s="1226"/>
      <c r="ER27" s="1226"/>
      <c r="ES27" s="1226"/>
      <c r="ET27" s="1226"/>
      <c r="EU27" s="1226"/>
      <c r="EV27" s="1226"/>
      <c r="EW27" s="1226"/>
      <c r="EX27" s="1226"/>
      <c r="EY27" s="1226"/>
      <c r="EZ27" s="1226"/>
      <c r="FA27" s="1226"/>
      <c r="FB27" s="1226"/>
      <c r="FC27" s="1226"/>
      <c r="FD27" s="1226"/>
      <c r="FE27" s="1226"/>
      <c r="FF27" s="1226"/>
      <c r="FG27" s="1226"/>
      <c r="FH27" s="1226">
        <v>6</v>
      </c>
      <c r="FI27" s="1226"/>
      <c r="FJ27" s="1226">
        <v>2</v>
      </c>
      <c r="FK27" s="1226"/>
      <c r="FL27" s="1226"/>
      <c r="FM27" s="1226"/>
      <c r="FN27" s="1226"/>
      <c r="FO27" s="1226"/>
      <c r="FP27" s="1226"/>
      <c r="FQ27" s="1226"/>
      <c r="FR27" s="1226"/>
    </row>
    <row r="28" spans="1:174" ht="33" x14ac:dyDescent="0.25">
      <c r="A28" s="1227" t="s">
        <v>481</v>
      </c>
      <c r="B28" s="1227"/>
      <c r="C28" s="1275">
        <f t="shared" si="21"/>
        <v>17</v>
      </c>
      <c r="D28" s="1276" t="s">
        <v>4803</v>
      </c>
      <c r="E28" s="1219">
        <f>COUNTIFS(ШТАТ!$AL:$AL,'БЧС Дерябин'!$A28,ШТАТ!$AK:$AK,1)</f>
        <v>1</v>
      </c>
      <c r="F28" s="1219">
        <f>COUNTIFS(ШТАТ!$AL:$AL,'БЧС Дерябин'!$A28,ШТАТ!$AK:$AK,2)</f>
        <v>0</v>
      </c>
      <c r="G28" s="1219">
        <f>COUNTIFS(ШТАТ!$AL:$AL,'БЧС Дерябин'!$A28,ШТАТ!$AK:$AK,3)</f>
        <v>3</v>
      </c>
      <c r="H28" s="1219">
        <f>COUNTIFS(ШТАТ!$AL:$AL,'БЧС Дерябин'!$A28,ШТАТ!$AK:$AK,4)</f>
        <v>18</v>
      </c>
      <c r="I28" s="1221">
        <f t="shared" si="3"/>
        <v>22</v>
      </c>
      <c r="J28" s="1219">
        <f>COUNTIFS(ШТАТ!AL:AL,A28,ШТАТ!AJ:AJ,"о")</f>
        <v>1</v>
      </c>
      <c r="K28" s="1219">
        <f>COUNTIFS(ШТАТ!AL:AL,A28,ШТАТ!AJ:AJ,"п")</f>
        <v>0</v>
      </c>
      <c r="L28" s="1219">
        <f>COUNTIFS(ШТАТ!$AL:$AL,$A28,ШТАТ!AK:AK,3,ШТАТ!AJ:AJ,"с/с")</f>
        <v>1</v>
      </c>
      <c r="M28" s="1219">
        <f>COUNTIFS(ШТАТ!$AL:$AL,$A28,ШТАТ!AK:AK,3,ШТАТ!AJ:AJ,"к/с")</f>
        <v>1</v>
      </c>
      <c r="N28" s="1222">
        <f t="shared" si="11"/>
        <v>2</v>
      </c>
      <c r="O28" s="1220">
        <f>COUNTIFS(ШТАТ!$AL:$AL,$A28,ШТАТ!AK:AK,4,ШТАТ!AJ:AJ,"с/с")</f>
        <v>16</v>
      </c>
      <c r="P28" s="1220">
        <f>COUNTIFS(ШТАТ!$AL:$AL,$A28,ШТАТ!AK:AK,4,ШТАТ!AJ:AJ,"к/с")</f>
        <v>2</v>
      </c>
      <c r="Q28" s="1222">
        <f t="shared" si="12"/>
        <v>18</v>
      </c>
      <c r="R28" s="1221">
        <f t="shared" si="13"/>
        <v>21</v>
      </c>
      <c r="S28" s="1223">
        <f t="shared" si="14"/>
        <v>0.95454545454545459</v>
      </c>
      <c r="T28" s="1219">
        <f>COUNTIFS(ШТАТ!$AL:$AL,$A28,ШТАТ!$AJ:$AJ,"о",ШТАТ!$X:$X,"выполнение специальных задач")</f>
        <v>0</v>
      </c>
      <c r="U28" s="1219">
        <f>COUNTIFS(ШТАТ!$AL:$AL,$A28,ШТАТ!$AJ:$AJ,"п",ШТАТ!$X:$X,"выполнение специальных задач")</f>
        <v>0</v>
      </c>
      <c r="V28" s="1219">
        <f>COUNTIFS(ШТАТ!$AL:$AL,$A28,ШТАТ!$AK:$AK,3,ШТАТ!$AJ:$AJ,"с/с",ШТАТ!$X:$X,"выполнение специальных задач")</f>
        <v>0</v>
      </c>
      <c r="W28" s="1219">
        <f>COUNTIFS(ШТАТ!$AL:$AL,$A28,ШТАТ!$AK:$AK,3,ШТАТ!$AJ:$AJ,"к/с",ШТАТ!$X:$X,"выполнение специальных задач")</f>
        <v>0</v>
      </c>
      <c r="X28" s="1222">
        <f t="shared" si="4"/>
        <v>0</v>
      </c>
      <c r="Y28" s="1219">
        <f>COUNTIFS(ШТАТ!$AL:$AL,$A28,ШТАТ!$AK:$AK,4,ШТАТ!$AJ:$AJ,"с/с",ШТАТ!$X:$X,"выполнение специальных задач")</f>
        <v>0</v>
      </c>
      <c r="Z28" s="1219">
        <f>COUNTIFS(ШТАТ!$AL:$AL,$A28,ШТАТ!$AK:$AK,4,ШТАТ!$AJ:$AJ,"к/с",ШТАТ!$X:$X,"выполнение специальных задач")</f>
        <v>0</v>
      </c>
      <c r="AA28" s="1222">
        <f t="shared" si="5"/>
        <v>0</v>
      </c>
      <c r="AB28" s="1221">
        <f t="shared" si="15"/>
        <v>0</v>
      </c>
      <c r="AC28" s="1224"/>
      <c r="AD28" s="1219">
        <f>COUNTIFS(ШТАТ!$AL:$AL,$A28,ШТАТ!$AK:$AK,1,ШТАТ!$AJ:$AJ,"о",ШТАТ!$W:$W,"г. Белгород")</f>
        <v>1</v>
      </c>
      <c r="AE28" s="1219">
        <f>COUNTIFS(ШТАТ!$AL:$AL,$A28,ШТАТ!$AK:$AK,2,ШТАТ!$AJ:$AJ,"п",ШТАТ!$W:$W,"г. Белгород")</f>
        <v>0</v>
      </c>
      <c r="AF28" s="1219">
        <f>COUNTIFS(ШТАТ!$AL:$AL,$A28,ШТАТ!$AK:$AK,3,ШТАТ!$AJ:$AJ,"с/с",ШТАТ!$W:$W,"г. Белгород")</f>
        <v>0</v>
      </c>
      <c r="AG28" s="1219">
        <f>COUNTIFS(ШТАТ!$AL:$AL,$A28,ШТАТ!$AK:$AK,3,ШТАТ!$AJ:$AJ,"к/с",ШТАТ!$W:$W,"г. Белгород")</f>
        <v>0</v>
      </c>
      <c r="AH28" s="1222">
        <f t="shared" si="6"/>
        <v>0</v>
      </c>
      <c r="AI28" s="1219">
        <f>COUNTIFS(ШТАТ!$AL:$AL,$A28,ШТАТ!$AK:$AK,4,ШТАТ!$AJ:$AJ,"с/с",ШТАТ!$W:$W,"г. Белгород")</f>
        <v>0</v>
      </c>
      <c r="AJ28" s="1219">
        <f>COUNTIFS(ШТАТ!$AL:$AL,$A28,ШТАТ!$AK:$AK,4,ШТАТ!$AJ:$AJ,"к/с",ШТАТ!$W:$W,"г. Белгород")</f>
        <v>0</v>
      </c>
      <c r="AK28" s="1222">
        <f t="shared" si="7"/>
        <v>0</v>
      </c>
      <c r="AL28" s="1221">
        <f t="shared" si="16"/>
        <v>1</v>
      </c>
      <c r="AM28" s="1219">
        <f>COUNTIFS(ШТАТ!$AL:$AL,$A28,ШТАТ!$AK:$AK,1,ШТАТ!$AJ:$AJ,"о",ШТАТ!$U:$U,"")</f>
        <v>0</v>
      </c>
      <c r="AN28" s="1219">
        <f>COUNTIFS(ШТАТ!$AL:$AL,$A28,ШТАТ!$AK:$AK,2,ШТАТ!$AJ:$AJ,"п",ШТАТ!$U:$U,"")</f>
        <v>0</v>
      </c>
      <c r="AO28" s="1219">
        <f>COUNTIFS(ШТАТ!$AL:$AL,$A28,ШТАТ!$AK:$AK,3,ШТАТ!$AJ:$AJ,"с/с",ШТАТ!$U:$U,"")</f>
        <v>0</v>
      </c>
      <c r="AP28" s="1219">
        <f>COUNTIFS(ШТАТ!$AL:$AL,$A28,ШТАТ!$AK:$AK,3,ШТАТ!$AJ:$AJ,"к/с",ШТАТ!$U:$U,"")</f>
        <v>1</v>
      </c>
      <c r="AQ28" s="1222">
        <f t="shared" si="17"/>
        <v>1</v>
      </c>
      <c r="AR28" s="1219">
        <f>COUNTIFS(ШТАТ!$AL:$AL,$A28,ШТАТ!$AK:$AK,4,ШТАТ!$AJ:$AJ,"с/с",ШТАТ!$U:$U,"")</f>
        <v>0</v>
      </c>
      <c r="AS28" s="1219">
        <f>COUNTIFS(ШТАТ!$AL:$AL,$A28,ШТАТ!$AK:$AK,4,ШТАТ!$AJ:$AJ,"к/с",ШТАТ!$U:$U,"")</f>
        <v>0</v>
      </c>
      <c r="AT28" s="1222">
        <f t="shared" si="8"/>
        <v>0</v>
      </c>
      <c r="AU28" s="1221">
        <f t="shared" si="18"/>
        <v>1</v>
      </c>
      <c r="AV28" s="1219">
        <f>COUNTIFS(ШТАТ!$AL:$AL,$A28,ШТАТ!$U:$U,"госп")</f>
        <v>0</v>
      </c>
      <c r="AW28" s="1225">
        <f t="shared" si="9"/>
        <v>17</v>
      </c>
      <c r="AX28" s="1219">
        <f>COUNTIFS(ШТАТ!$AL:$AL,$A28,ШТАТ!$U:$U,"отпуск")</f>
        <v>2</v>
      </c>
      <c r="AY28" s="1219">
        <f>COUNTIFS(ШТАТ!$AL:$AL,$A28,ШТАТ!$U:$U,"соч")</f>
        <v>0</v>
      </c>
      <c r="AZ28" s="1225"/>
      <c r="BA28" s="1219">
        <f>COUNTIFS(ШТАТ!$AL:$AL,$A28,ШТАТ!$U:$U,"МП")</f>
        <v>0</v>
      </c>
      <c r="BB28" s="1226"/>
      <c r="BC28" s="1226"/>
      <c r="BD28" s="1219"/>
      <c r="BE28" s="1226"/>
      <c r="BF28" s="1226"/>
      <c r="BG28" s="1226"/>
      <c r="BH28" s="1226"/>
      <c r="BI28" s="1226"/>
      <c r="BJ28" s="1226"/>
      <c r="BK28" s="1226"/>
      <c r="BL28" s="1226"/>
      <c r="BM28" s="1226"/>
      <c r="BN28" s="1226"/>
      <c r="BO28" s="1226"/>
      <c r="BP28" s="1226"/>
      <c r="BQ28" s="1226"/>
      <c r="BR28" s="1226"/>
      <c r="BS28" s="1226"/>
      <c r="BT28" s="1226"/>
      <c r="BU28" s="1226"/>
      <c r="BV28" s="1226"/>
      <c r="BW28" s="1226"/>
      <c r="BX28" s="1226"/>
      <c r="BY28" s="1226"/>
      <c r="BZ28" s="1226"/>
      <c r="CA28" s="1226"/>
      <c r="CB28" s="1226"/>
      <c r="CC28" s="1226"/>
      <c r="CD28" s="1226"/>
      <c r="CE28" s="1226"/>
      <c r="CF28" s="1226"/>
      <c r="CG28" s="1226"/>
      <c r="CH28" s="1226"/>
      <c r="CI28" s="1226"/>
      <c r="CJ28" s="1226"/>
      <c r="CK28" s="1226"/>
      <c r="CL28" s="1226"/>
      <c r="CM28" s="1226"/>
      <c r="CN28" s="1226"/>
      <c r="CO28" s="1226"/>
      <c r="CP28" s="1226"/>
      <c r="CQ28" s="1226"/>
      <c r="CR28" s="1226"/>
      <c r="CS28" s="1226"/>
      <c r="CT28" s="1226"/>
      <c r="CU28" s="1226"/>
      <c r="CV28" s="1226"/>
      <c r="CW28" s="1226"/>
      <c r="CX28" s="1226"/>
      <c r="CY28" s="1226"/>
      <c r="CZ28" s="1226"/>
      <c r="DA28" s="1226"/>
      <c r="DB28" s="1226"/>
      <c r="DC28" s="1226"/>
      <c r="DD28" s="1226">
        <v>4</v>
      </c>
      <c r="DE28" s="1226"/>
      <c r="DF28" s="1226"/>
      <c r="DG28" s="1226"/>
      <c r="DH28" s="1226"/>
      <c r="DI28" s="1226"/>
      <c r="DJ28" s="1226"/>
      <c r="DK28" s="1226"/>
      <c r="DL28" s="1226"/>
      <c r="DM28" s="1226"/>
      <c r="DN28" s="1226"/>
      <c r="DO28" s="1226"/>
      <c r="DP28" s="1226"/>
      <c r="DQ28" s="1226"/>
      <c r="DR28" s="1226"/>
      <c r="DS28" s="1226"/>
      <c r="DT28" s="1226"/>
      <c r="DU28" s="1226"/>
      <c r="DV28" s="1226">
        <f>COUNTIFS(ШТАТ!$AN:$AN,"Урал-4320-31",ШТАТ!AL:AL,"Управление")</f>
        <v>0</v>
      </c>
      <c r="DW28" s="1226"/>
      <c r="DX28" s="1226"/>
      <c r="DY28" s="1226"/>
      <c r="DZ28" s="1226"/>
      <c r="EA28" s="1226"/>
      <c r="EB28" s="1226"/>
      <c r="EC28" s="1226"/>
      <c r="ED28" s="1226"/>
      <c r="EE28" s="1226"/>
      <c r="EF28" s="1226"/>
      <c r="EG28" s="1226"/>
      <c r="EH28" s="1226"/>
      <c r="EI28" s="1226"/>
      <c r="EJ28" s="1226"/>
      <c r="EK28" s="1226"/>
      <c r="EL28" s="1226"/>
      <c r="EM28" s="1226"/>
      <c r="EN28" s="1226"/>
      <c r="EO28" s="1226"/>
      <c r="EP28" s="1226"/>
      <c r="EQ28" s="1226"/>
      <c r="ER28" s="1226"/>
      <c r="ES28" s="1226"/>
      <c r="ET28" s="1226"/>
      <c r="EU28" s="1226"/>
      <c r="EV28" s="1226"/>
      <c r="EW28" s="1226"/>
      <c r="EX28" s="1226"/>
      <c r="EY28" s="1226"/>
      <c r="EZ28" s="1226"/>
      <c r="FA28" s="1226"/>
      <c r="FB28" s="1226"/>
      <c r="FC28" s="1226"/>
      <c r="FD28" s="1226"/>
      <c r="FE28" s="1226"/>
      <c r="FF28" s="1226"/>
      <c r="FG28" s="1226"/>
      <c r="FH28" s="1226"/>
      <c r="FI28" s="1226"/>
      <c r="FJ28" s="1226"/>
      <c r="FK28" s="1226"/>
      <c r="FL28" s="1226"/>
      <c r="FM28" s="1226"/>
      <c r="FN28" s="1226"/>
      <c r="FO28" s="1226"/>
      <c r="FP28" s="1226"/>
      <c r="FQ28" s="1226"/>
      <c r="FR28" s="1226"/>
    </row>
    <row r="29" spans="1:174" ht="37.5" customHeight="1" x14ac:dyDescent="0.25">
      <c r="A29" s="1227" t="s">
        <v>924</v>
      </c>
      <c r="B29" s="1227"/>
      <c r="C29" s="1275">
        <f t="shared" si="21"/>
        <v>12</v>
      </c>
      <c r="D29" s="1276" t="s">
        <v>3509</v>
      </c>
      <c r="E29" s="1219">
        <f>COUNTIFS(ШТАТ!$AL:$AL,'БЧС Дерябин'!$A29,ШТАТ!$AK:$AK,1)</f>
        <v>1</v>
      </c>
      <c r="F29" s="1219">
        <f>COUNTIFS(ШТАТ!$AL:$AL,'БЧС Дерябин'!$A29,ШТАТ!$AK:$AK,2)</f>
        <v>0</v>
      </c>
      <c r="G29" s="1219">
        <f>COUNTIFS(ШТАТ!$AL:$AL,'БЧС Дерябин'!$A29,ШТАТ!$AK:$AK,3)</f>
        <v>3</v>
      </c>
      <c r="H29" s="1219">
        <f>COUNTIFS(ШТАТ!$AL:$AL,'БЧС Дерябин'!$A29,ШТАТ!$AK:$AK,4)</f>
        <v>9</v>
      </c>
      <c r="I29" s="1221">
        <f t="shared" si="3"/>
        <v>13</v>
      </c>
      <c r="J29" s="1219">
        <f>COUNTIFS(ШТАТ!AL:AL,A29,ШТАТ!AJ:AJ,"о")</f>
        <v>1</v>
      </c>
      <c r="K29" s="1219">
        <f>COUNTIFS(ШТАТ!AL:AL,A29,ШТАТ!AJ:AJ,"п")</f>
        <v>0</v>
      </c>
      <c r="L29" s="1219">
        <f>COUNTIFS(ШТАТ!$AL:$AL,$A29,ШТАТ!AK:AK,3,ШТАТ!AJ:AJ,"с/с")</f>
        <v>3</v>
      </c>
      <c r="M29" s="1219">
        <f>COUNTIFS(ШТАТ!$AL:$AL,$A29,ШТАТ!AK:AK,3,ШТАТ!AJ:AJ,"к/с")</f>
        <v>0</v>
      </c>
      <c r="N29" s="1222">
        <f t="shared" si="11"/>
        <v>3</v>
      </c>
      <c r="O29" s="1220">
        <f>COUNTIFS(ШТАТ!$AL:$AL,$A29,ШТАТ!AK:AK,4,ШТАТ!AJ:AJ,"с/с")</f>
        <v>9</v>
      </c>
      <c r="P29" s="1220">
        <f>COUNTIFS(ШТАТ!$AL:$AL,$A29,ШТАТ!AK:AK,4,ШТАТ!AJ:AJ,"к/с")</f>
        <v>0</v>
      </c>
      <c r="Q29" s="1222">
        <f t="shared" si="12"/>
        <v>9</v>
      </c>
      <c r="R29" s="1221">
        <f t="shared" si="13"/>
        <v>13</v>
      </c>
      <c r="S29" s="1223">
        <f t="shared" si="14"/>
        <v>1</v>
      </c>
      <c r="T29" s="1219">
        <f>COUNTIFS(ШТАТ!$AL:$AL,$A29,ШТАТ!$AJ:$AJ,"о",ШТАТ!$X:$X,"выполнение специальных задач")</f>
        <v>0</v>
      </c>
      <c r="U29" s="1219">
        <f>COUNTIFS(ШТАТ!$AL:$AL,$A29,ШТАТ!$AJ:$AJ,"п",ШТАТ!$X:$X,"выполнение специальных задач")</f>
        <v>0</v>
      </c>
      <c r="V29" s="1219">
        <f>COUNTIFS(ШТАТ!$AL:$AL,$A29,ШТАТ!$AK:$AK,3,ШТАТ!$AJ:$AJ,"с/с",ШТАТ!$X:$X,"выполнение специальных задач")</f>
        <v>0</v>
      </c>
      <c r="W29" s="1219">
        <f>COUNTIFS(ШТАТ!$AL:$AL,$A29,ШТАТ!$AK:$AK,3,ШТАТ!$AJ:$AJ,"к/с",ШТАТ!$X:$X,"выполнение специальных задач")</f>
        <v>0</v>
      </c>
      <c r="X29" s="1222">
        <f t="shared" si="4"/>
        <v>0</v>
      </c>
      <c r="Y29" s="1219">
        <f>COUNTIFS(ШТАТ!$AL:$AL,$A29,ШТАТ!$AK:$AK,4,ШТАТ!$AJ:$AJ,"с/с",ШТАТ!$X:$X,"выполнение специальных задач")</f>
        <v>0</v>
      </c>
      <c r="Z29" s="1219">
        <f>COUNTIFS(ШТАТ!$AL:$AL,$A29,ШТАТ!$AK:$AK,4,ШТАТ!$AJ:$AJ,"к/с",ШТАТ!$X:$X,"выполнение специальных задач")</f>
        <v>0</v>
      </c>
      <c r="AA29" s="1222">
        <f t="shared" si="5"/>
        <v>0</v>
      </c>
      <c r="AB29" s="1221">
        <f t="shared" si="15"/>
        <v>0</v>
      </c>
      <c r="AC29" s="1224"/>
      <c r="AD29" s="1219">
        <f>COUNTIFS(ШТАТ!$AL:$AL,$A29,ШТАТ!$AK:$AK,1,ШТАТ!$AJ:$AJ,"о",ШТАТ!$W:$W,"г. Белгород")</f>
        <v>0</v>
      </c>
      <c r="AE29" s="1219">
        <f>COUNTIFS(ШТАТ!$AL:$AL,$A29,ШТАТ!$AK:$AK,2,ШТАТ!$AJ:$AJ,"п",ШТАТ!$W:$W,"г. Белгород")</f>
        <v>0</v>
      </c>
      <c r="AF29" s="1219">
        <f>COUNTIFS(ШТАТ!$AL:$AL,$A29,ШТАТ!$AK:$AK,3,ШТАТ!$AJ:$AJ,"с/с",ШТАТ!$W:$W,"г. Белгород")</f>
        <v>0</v>
      </c>
      <c r="AG29" s="1219">
        <f>COUNTIFS(ШТАТ!$AL:$AL,$A29,ШТАТ!$AK:$AK,3,ШТАТ!$AJ:$AJ,"к/с",ШТАТ!$W:$W,"г. Белгород")</f>
        <v>0</v>
      </c>
      <c r="AH29" s="1222">
        <f t="shared" si="6"/>
        <v>0</v>
      </c>
      <c r="AI29" s="1219">
        <f>COUNTIFS(ШТАТ!$AL:$AL,$A29,ШТАТ!$AK:$AK,4,ШТАТ!$AJ:$AJ,"с/с",ШТАТ!$W:$W,"г. Белгород")</f>
        <v>0</v>
      </c>
      <c r="AJ29" s="1219">
        <f>COUNTIFS(ШТАТ!$AL:$AL,$A29,ШТАТ!$AK:$AK,4,ШТАТ!$AJ:$AJ,"к/с",ШТАТ!$W:$W,"г. Белгород")</f>
        <v>0</v>
      </c>
      <c r="AK29" s="1222">
        <f t="shared" si="7"/>
        <v>0</v>
      </c>
      <c r="AL29" s="1221">
        <f t="shared" si="16"/>
        <v>0</v>
      </c>
      <c r="AM29" s="1219">
        <f>COUNTIFS(ШТАТ!$AL:$AL,$A29,ШТАТ!$AK:$AK,1,ШТАТ!$AJ:$AJ,"о",ШТАТ!$U:$U,"")</f>
        <v>1</v>
      </c>
      <c r="AN29" s="1219">
        <f>COUNTIFS(ШТАТ!$AL:$AL,$A29,ШТАТ!$AK:$AK,2,ШТАТ!$AJ:$AJ,"п",ШТАТ!$U:$U,"")</f>
        <v>0</v>
      </c>
      <c r="AO29" s="1219">
        <f>COUNTIFS(ШТАТ!$AL:$AL,$A29,ШТАТ!$AK:$AK,3,ШТАТ!$AJ:$AJ,"с/с",ШТАТ!$U:$U,"")</f>
        <v>0</v>
      </c>
      <c r="AP29" s="1219">
        <f>COUNTIFS(ШТАТ!$AL:$AL,$A29,ШТАТ!$AK:$AK,3,ШТАТ!$AJ:$AJ,"к/с",ШТАТ!$U:$U,"")</f>
        <v>0</v>
      </c>
      <c r="AQ29" s="1222">
        <f t="shared" si="17"/>
        <v>0</v>
      </c>
      <c r="AR29" s="1219">
        <f>COUNTIFS(ШТАТ!$AL:$AL,$A29,ШТАТ!$AK:$AK,4,ШТАТ!$AJ:$AJ,"с/с",ШТАТ!$U:$U,"")</f>
        <v>0</v>
      </c>
      <c r="AS29" s="1219">
        <f>COUNTIFS(ШТАТ!$AL:$AL,$A29,ШТАТ!$AK:$AK,4,ШТАТ!$AJ:$AJ,"к/с",ШТАТ!$U:$U,"")</f>
        <v>0</v>
      </c>
      <c r="AT29" s="1222">
        <f t="shared" si="8"/>
        <v>0</v>
      </c>
      <c r="AU29" s="1221">
        <f t="shared" si="18"/>
        <v>1</v>
      </c>
      <c r="AV29" s="1219">
        <f>COUNTIFS(ШТАТ!$AL:$AL,$A29,ШТАТ!$U:$U,"госп")</f>
        <v>0</v>
      </c>
      <c r="AW29" s="1225">
        <f t="shared" si="9"/>
        <v>12</v>
      </c>
      <c r="AX29" s="1219">
        <f>COUNTIFS(ШТАТ!$AL:$AL,$A29,ШТАТ!$U:$U,"отпуск")</f>
        <v>0</v>
      </c>
      <c r="AY29" s="1219">
        <f>COUNTIFS(ШТАТ!$AL:$AL,$A29,ШТАТ!$U:$U,"соч")</f>
        <v>0</v>
      </c>
      <c r="AZ29" s="1225"/>
      <c r="BA29" s="1219">
        <f>COUNTIFS(ШТАТ!$AL:$AL,$A29,ШТАТ!$U:$U,"МП")</f>
        <v>0</v>
      </c>
      <c r="BB29" s="1226"/>
      <c r="BC29" s="1226"/>
      <c r="BD29" s="1219"/>
      <c r="BE29" s="1226"/>
      <c r="BF29" s="1226"/>
      <c r="BG29" s="1226"/>
      <c r="BH29" s="1226"/>
      <c r="BI29" s="1226"/>
      <c r="BJ29" s="1226"/>
      <c r="BK29" s="1226"/>
      <c r="BL29" s="1226"/>
      <c r="BM29" s="1226"/>
      <c r="BN29" s="1226"/>
      <c r="BO29" s="1226"/>
      <c r="BP29" s="1226"/>
      <c r="BQ29" s="1226"/>
      <c r="BR29" s="1226"/>
      <c r="BS29" s="1226"/>
      <c r="BT29" s="1226"/>
      <c r="BU29" s="1226"/>
      <c r="BV29" s="1226"/>
      <c r="BW29" s="1226"/>
      <c r="BX29" s="1226"/>
      <c r="BY29" s="1226"/>
      <c r="BZ29" s="1226"/>
      <c r="CA29" s="1226"/>
      <c r="CB29" s="1226"/>
      <c r="CC29" s="1226"/>
      <c r="CD29" s="1226"/>
      <c r="CE29" s="1226"/>
      <c r="CF29" s="1226"/>
      <c r="CG29" s="1226"/>
      <c r="CH29" s="1226"/>
      <c r="CI29" s="1226"/>
      <c r="CJ29" s="1226"/>
      <c r="CK29" s="1226"/>
      <c r="CL29" s="1226"/>
      <c r="CM29" s="1226"/>
      <c r="CN29" s="1226"/>
      <c r="CO29" s="1226"/>
      <c r="CP29" s="1226"/>
      <c r="CQ29" s="1226"/>
      <c r="CR29" s="1226"/>
      <c r="CS29" s="1226"/>
      <c r="CT29" s="1226"/>
      <c r="CU29" s="1226"/>
      <c r="CV29" s="1226"/>
      <c r="CW29" s="1226"/>
      <c r="CX29" s="1226"/>
      <c r="CY29" s="1226"/>
      <c r="CZ29" s="1226"/>
      <c r="DA29" s="1226"/>
      <c r="DB29" s="1226"/>
      <c r="DC29" s="1226"/>
      <c r="DD29" s="1226"/>
      <c r="DE29" s="1226"/>
      <c r="DF29" s="1226"/>
      <c r="DG29" s="1226"/>
      <c r="DH29" s="1226"/>
      <c r="DI29" s="1226"/>
      <c r="DJ29" s="1226"/>
      <c r="DK29" s="1226"/>
      <c r="DL29" s="1226"/>
      <c r="DM29" s="1226">
        <v>6</v>
      </c>
      <c r="DN29" s="1226"/>
      <c r="DO29" s="1226"/>
      <c r="DP29" s="1226"/>
      <c r="DQ29" s="1226"/>
      <c r="DR29" s="1226"/>
      <c r="DS29" s="1226"/>
      <c r="DT29" s="1226"/>
      <c r="DU29" s="1226"/>
      <c r="DV29" s="1226">
        <f>COUNTIFS(ШТАТ!$AN:$AN,"Урал-4320-31",ШТАТ!AL:AL,"Управление")</f>
        <v>0</v>
      </c>
      <c r="DW29" s="1226"/>
      <c r="DX29" s="1226"/>
      <c r="DY29" s="1226"/>
      <c r="DZ29" s="1226"/>
      <c r="EA29" s="1226"/>
      <c r="EB29" s="1226"/>
      <c r="EC29" s="1226"/>
      <c r="ED29" s="1226"/>
      <c r="EE29" s="1226"/>
      <c r="EF29" s="1226"/>
      <c r="EG29" s="1226"/>
      <c r="EH29" s="1226"/>
      <c r="EI29" s="1226"/>
      <c r="EJ29" s="1226"/>
      <c r="EK29" s="1226"/>
      <c r="EL29" s="1226"/>
      <c r="EM29" s="1226"/>
      <c r="EN29" s="1226"/>
      <c r="EO29" s="1226"/>
      <c r="EP29" s="1226"/>
      <c r="EQ29" s="1226"/>
      <c r="ER29" s="1226"/>
      <c r="ES29" s="1226"/>
      <c r="ET29" s="1226"/>
      <c r="EU29" s="1226"/>
      <c r="EV29" s="1226"/>
      <c r="EW29" s="1226"/>
      <c r="EX29" s="1226"/>
      <c r="EY29" s="1226"/>
      <c r="EZ29" s="1226"/>
      <c r="FA29" s="1226"/>
      <c r="FB29" s="1226"/>
      <c r="FC29" s="1226"/>
      <c r="FD29" s="1226"/>
      <c r="FE29" s="1226"/>
      <c r="FF29" s="1226"/>
      <c r="FG29" s="1226"/>
      <c r="FH29" s="1226"/>
      <c r="FI29" s="1226"/>
      <c r="FJ29" s="1226"/>
      <c r="FK29" s="1226"/>
      <c r="FL29" s="1226"/>
      <c r="FM29" s="1226"/>
      <c r="FN29" s="1226"/>
      <c r="FO29" s="1226"/>
      <c r="FP29" s="1226"/>
      <c r="FQ29" s="1226"/>
      <c r="FR29" s="1226"/>
    </row>
    <row r="30" spans="1:174" ht="33" x14ac:dyDescent="0.25">
      <c r="A30" s="1227" t="s">
        <v>485</v>
      </c>
      <c r="B30" s="1227"/>
      <c r="C30" s="1275">
        <f t="shared" si="21"/>
        <v>10</v>
      </c>
      <c r="D30" s="1276" t="s">
        <v>4803</v>
      </c>
      <c r="E30" s="1219">
        <f>COUNTIFS(ШТАТ!$AL:$AL,'БЧС Дерябин'!$A30,ШТАТ!$AK:$AK,1)</f>
        <v>1</v>
      </c>
      <c r="F30" s="1219">
        <f>COUNTIFS(ШТАТ!$AL:$AL,'БЧС Дерябин'!$A30,ШТАТ!$AK:$AK,2)</f>
        <v>0</v>
      </c>
      <c r="G30" s="1219">
        <f>COUNTIFS(ШТАТ!$AL:$AL,'БЧС Дерябин'!$A30,ШТАТ!$AK:$AK,3)</f>
        <v>1</v>
      </c>
      <c r="H30" s="1219">
        <f>COUNTIFS(ШТАТ!$AL:$AL,'БЧС Дерябин'!$A30,ШТАТ!$AK:$AK,4)</f>
        <v>11</v>
      </c>
      <c r="I30" s="1221">
        <f t="shared" si="3"/>
        <v>13</v>
      </c>
      <c r="J30" s="1219">
        <f>COUNTIFS(ШТАТ!AL:AL,A30,ШТАТ!AJ:AJ,"о")</f>
        <v>1</v>
      </c>
      <c r="K30" s="1219">
        <f>COUNTIFS(ШТАТ!AL:AL,A30,ШТАТ!AJ:AJ,"п")</f>
        <v>0</v>
      </c>
      <c r="L30" s="1219">
        <f>COUNTIFS(ШТАТ!$AL:$AL,$A30,ШТАТ!AK:AK,3,ШТАТ!AJ:AJ,"с/с")</f>
        <v>0</v>
      </c>
      <c r="M30" s="1219">
        <f>COUNTIFS(ШТАТ!$AL:$AL,$A30,ШТАТ!AK:AK,3,ШТАТ!AJ:AJ,"к/с")</f>
        <v>0</v>
      </c>
      <c r="N30" s="1222">
        <f t="shared" si="11"/>
        <v>0</v>
      </c>
      <c r="O30" s="1220">
        <f>COUNTIFS(ШТАТ!$AL:$AL,$A30,ШТАТ!AK:AK,4,ШТАТ!AJ:AJ,"с/с")</f>
        <v>10</v>
      </c>
      <c r="P30" s="1220">
        <f>COUNTIFS(ШТАТ!$AL:$AL,$A30,ШТАТ!AK:AK,4,ШТАТ!AJ:AJ,"к/с")</f>
        <v>1</v>
      </c>
      <c r="Q30" s="1222">
        <f t="shared" si="12"/>
        <v>11</v>
      </c>
      <c r="R30" s="1221">
        <f t="shared" si="13"/>
        <v>12</v>
      </c>
      <c r="S30" s="1223">
        <f t="shared" si="14"/>
        <v>0.92307692307692313</v>
      </c>
      <c r="T30" s="1219">
        <f>COUNTIFS(ШТАТ!$AL:$AL,$A30,ШТАТ!$AJ:$AJ,"о",ШТАТ!$X:$X,"выполнение специальных задач")</f>
        <v>0</v>
      </c>
      <c r="U30" s="1219">
        <f>COUNTIFS(ШТАТ!$AL:$AL,$A30,ШТАТ!$AJ:$AJ,"п",ШТАТ!$X:$X,"выполнение специальных задач")</f>
        <v>0</v>
      </c>
      <c r="V30" s="1219">
        <f>COUNTIFS(ШТАТ!$AL:$AL,$A30,ШТАТ!$AK:$AK,3,ШТАТ!$AJ:$AJ,"с/с",ШТАТ!$X:$X,"выполнение специальных задач")</f>
        <v>0</v>
      </c>
      <c r="W30" s="1219">
        <f>COUNTIFS(ШТАТ!$AL:$AL,$A30,ШТАТ!$AK:$AK,3,ШТАТ!$AJ:$AJ,"к/с",ШТАТ!$X:$X,"выполнение специальных задач")</f>
        <v>0</v>
      </c>
      <c r="X30" s="1222">
        <f t="shared" si="4"/>
        <v>0</v>
      </c>
      <c r="Y30" s="1219">
        <f>COUNTIFS(ШТАТ!$AL:$AL,$A30,ШТАТ!$AK:$AK,4,ШТАТ!$AJ:$AJ,"с/с",ШТАТ!$X:$X,"выполнение специальных задач")</f>
        <v>0</v>
      </c>
      <c r="Z30" s="1219">
        <f>COUNTIFS(ШТАТ!$AL:$AL,$A30,ШТАТ!$AK:$AK,4,ШТАТ!$AJ:$AJ,"к/с",ШТАТ!$X:$X,"выполнение специальных задач")</f>
        <v>0</v>
      </c>
      <c r="AA30" s="1222">
        <f t="shared" si="5"/>
        <v>0</v>
      </c>
      <c r="AB30" s="1221">
        <f t="shared" si="15"/>
        <v>0</v>
      </c>
      <c r="AC30" s="1224"/>
      <c r="AD30" s="1219">
        <f>COUNTIFS(ШТАТ!$AL:$AL,$A30,ШТАТ!$AK:$AK,1,ШТАТ!$AJ:$AJ,"о",ШТАТ!$W:$W,"г. Белгород")</f>
        <v>0</v>
      </c>
      <c r="AE30" s="1219">
        <f>COUNTIFS(ШТАТ!$AL:$AL,$A30,ШТАТ!$AK:$AK,2,ШТАТ!$AJ:$AJ,"п",ШТАТ!$W:$W,"г. Белгород")</f>
        <v>0</v>
      </c>
      <c r="AF30" s="1219">
        <f>COUNTIFS(ШТАТ!$AL:$AL,$A30,ШТАТ!$AK:$AK,3,ШТАТ!$AJ:$AJ,"с/с",ШТАТ!$W:$W,"г. Белгород")</f>
        <v>0</v>
      </c>
      <c r="AG30" s="1219">
        <f>COUNTIFS(ШТАТ!$AL:$AL,$A30,ШТАТ!$AK:$AK,3,ШТАТ!$AJ:$AJ,"к/с",ШТАТ!$W:$W,"г. Белгород")</f>
        <v>0</v>
      </c>
      <c r="AH30" s="1222">
        <f t="shared" si="6"/>
        <v>0</v>
      </c>
      <c r="AI30" s="1219">
        <f>COUNTIFS(ШТАТ!$AL:$AL,$A30,ШТАТ!$AK:$AK,4,ШТАТ!$AJ:$AJ,"с/с",ШТАТ!$W:$W,"г. Белгород")</f>
        <v>0</v>
      </c>
      <c r="AJ30" s="1219">
        <f>COUNTIFS(ШТАТ!$AL:$AL,$A30,ШТАТ!$AK:$AK,4,ШТАТ!$AJ:$AJ,"к/с",ШТАТ!$W:$W,"г. Белгород")</f>
        <v>0</v>
      </c>
      <c r="AK30" s="1222">
        <f t="shared" si="7"/>
        <v>0</v>
      </c>
      <c r="AL30" s="1221">
        <f t="shared" si="16"/>
        <v>0</v>
      </c>
      <c r="AM30" s="1219">
        <f>COUNTIFS(ШТАТ!$AL:$AL,$A30,ШТАТ!$AK:$AK,1,ШТАТ!$AJ:$AJ,"о",ШТАТ!$U:$U,"")</f>
        <v>1</v>
      </c>
      <c r="AN30" s="1219">
        <f>COUNTIFS(ШТАТ!$AL:$AL,$A30,ШТАТ!$AK:$AK,2,ШТАТ!$AJ:$AJ,"п",ШТАТ!$U:$U,"")</f>
        <v>0</v>
      </c>
      <c r="AO30" s="1219">
        <f>COUNTIFS(ШТАТ!$AL:$AL,$A30,ШТАТ!$AK:$AK,3,ШТАТ!$AJ:$AJ,"с/с",ШТАТ!$U:$U,"")</f>
        <v>0</v>
      </c>
      <c r="AP30" s="1219">
        <f>COUNTIFS(ШТАТ!$AL:$AL,$A30,ШТАТ!$AK:$AK,3,ШТАТ!$AJ:$AJ,"к/с",ШТАТ!$U:$U,"")</f>
        <v>0</v>
      </c>
      <c r="AQ30" s="1222">
        <f t="shared" si="17"/>
        <v>0</v>
      </c>
      <c r="AR30" s="1219">
        <f>COUNTIFS(ШТАТ!$AL:$AL,$A30,ШТАТ!$AK:$AK,4,ШТАТ!$AJ:$AJ,"с/с",ШТАТ!$U:$U,"")</f>
        <v>0</v>
      </c>
      <c r="AS30" s="1219">
        <f>COUNTIFS(ШТАТ!$AL:$AL,$A30,ШТАТ!$AK:$AK,4,ШТАТ!$AJ:$AJ,"к/с",ШТАТ!$U:$U,"")</f>
        <v>1</v>
      </c>
      <c r="AT30" s="1222">
        <f t="shared" si="8"/>
        <v>1</v>
      </c>
      <c r="AU30" s="1221">
        <f t="shared" si="18"/>
        <v>2</v>
      </c>
      <c r="AV30" s="1219">
        <f>COUNTIFS(ШТАТ!$AL:$AL,$A30,ШТАТ!$U:$U,"госп")</f>
        <v>0</v>
      </c>
      <c r="AW30" s="1225">
        <f t="shared" si="9"/>
        <v>10</v>
      </c>
      <c r="AX30" s="1219">
        <f>COUNTIFS(ШТАТ!$AL:$AL,$A30,ШТАТ!$U:$U,"отпуск")</f>
        <v>0</v>
      </c>
      <c r="AY30" s="1219">
        <f>COUNTIFS(ШТАТ!$AL:$AL,$A30,ШТАТ!$U:$U,"соч")</f>
        <v>0</v>
      </c>
      <c r="AZ30" s="1225"/>
      <c r="BA30" s="1219">
        <f>COUNTIFS(ШТАТ!$AL:$AL,$A30,ШТАТ!$U:$U,"МП")</f>
        <v>0</v>
      </c>
      <c r="BB30" s="1226"/>
      <c r="BC30" s="1226"/>
      <c r="BD30" s="1219"/>
      <c r="BE30" s="1226"/>
      <c r="BF30" s="1226"/>
      <c r="BG30" s="1226"/>
      <c r="BH30" s="1226"/>
      <c r="BI30" s="1226"/>
      <c r="BJ30" s="1226"/>
      <c r="BK30" s="1226"/>
      <c r="BL30" s="1226"/>
      <c r="BM30" s="1226"/>
      <c r="BN30" s="1226"/>
      <c r="BO30" s="1226"/>
      <c r="BP30" s="1226"/>
      <c r="BQ30" s="1226"/>
      <c r="BR30" s="1226"/>
      <c r="BS30" s="1226"/>
      <c r="BT30" s="1226"/>
      <c r="BU30" s="1226"/>
      <c r="BV30" s="1226"/>
      <c r="BW30" s="1226"/>
      <c r="BX30" s="1226"/>
      <c r="BY30" s="1226"/>
      <c r="BZ30" s="1226"/>
      <c r="CA30" s="1226"/>
      <c r="CB30" s="1226"/>
      <c r="CC30" s="1226"/>
      <c r="CD30" s="1226"/>
      <c r="CE30" s="1226"/>
      <c r="CF30" s="1226"/>
      <c r="CG30" s="1226"/>
      <c r="CH30" s="1226"/>
      <c r="CI30" s="1226"/>
      <c r="CJ30" s="1226"/>
      <c r="CK30" s="1226"/>
      <c r="CL30" s="1226"/>
      <c r="CM30" s="1226"/>
      <c r="CN30" s="1226"/>
      <c r="CO30" s="1226"/>
      <c r="CP30" s="1226"/>
      <c r="CQ30" s="1226"/>
      <c r="CR30" s="1226"/>
      <c r="CS30" s="1226"/>
      <c r="CT30" s="1226"/>
      <c r="CU30" s="1226"/>
      <c r="CV30" s="1226"/>
      <c r="CW30" s="1226"/>
      <c r="CX30" s="1226"/>
      <c r="CY30" s="1226"/>
      <c r="CZ30" s="1226"/>
      <c r="DA30" s="1226"/>
      <c r="DB30" s="1226"/>
      <c r="DC30" s="1226"/>
      <c r="DD30" s="1226">
        <v>1</v>
      </c>
      <c r="DE30" s="1226"/>
      <c r="DF30" s="1226"/>
      <c r="DG30" s="1226"/>
      <c r="DH30" s="1226"/>
      <c r="DI30" s="1226"/>
      <c r="DJ30" s="1226"/>
      <c r="DK30" s="1226">
        <v>2</v>
      </c>
      <c r="DL30" s="1226"/>
      <c r="DM30" s="1226"/>
      <c r="DN30" s="1226"/>
      <c r="DO30" s="1226"/>
      <c r="DP30" s="1226"/>
      <c r="DQ30" s="1226"/>
      <c r="DR30" s="1226"/>
      <c r="DS30" s="1226"/>
      <c r="DT30" s="1226"/>
      <c r="DU30" s="1226"/>
      <c r="DV30" s="1226">
        <f>COUNTIFS(ШТАТ!$AN:$AN,"Урал-4320-31",ШТАТ!AL:AL,"Управление")</f>
        <v>0</v>
      </c>
      <c r="DW30" s="1226"/>
      <c r="DX30" s="1226"/>
      <c r="DY30" s="1226"/>
      <c r="DZ30" s="1226"/>
      <c r="EA30" s="1226"/>
      <c r="EB30" s="1226"/>
      <c r="EC30" s="1226"/>
      <c r="ED30" s="1226"/>
      <c r="EE30" s="1226"/>
      <c r="EF30" s="1226"/>
      <c r="EG30" s="1226"/>
      <c r="EH30" s="1226"/>
      <c r="EI30" s="1226"/>
      <c r="EJ30" s="1226"/>
      <c r="EK30" s="1226"/>
      <c r="EL30" s="1226"/>
      <c r="EM30" s="1226"/>
      <c r="EN30" s="1226"/>
      <c r="EO30" s="1226"/>
      <c r="EP30" s="1226"/>
      <c r="EQ30" s="1226"/>
      <c r="ER30" s="1226"/>
      <c r="ES30" s="1226"/>
      <c r="ET30" s="1226"/>
      <c r="EU30" s="1226"/>
      <c r="EV30" s="1226"/>
      <c r="EW30" s="1226"/>
      <c r="EX30" s="1226"/>
      <c r="EY30" s="1226"/>
      <c r="EZ30" s="1226"/>
      <c r="FA30" s="1226"/>
      <c r="FB30" s="1226"/>
      <c r="FC30" s="1226"/>
      <c r="FD30" s="1226"/>
      <c r="FE30" s="1226"/>
      <c r="FF30" s="1226"/>
      <c r="FG30" s="1226"/>
      <c r="FH30" s="1226"/>
      <c r="FI30" s="1226"/>
      <c r="FJ30" s="1226"/>
      <c r="FK30" s="1226"/>
      <c r="FL30" s="1226"/>
      <c r="FM30" s="1226"/>
      <c r="FN30" s="1226"/>
      <c r="FO30" s="1226"/>
      <c r="FP30" s="1226"/>
      <c r="FQ30" s="1226"/>
      <c r="FR30" s="1226"/>
    </row>
    <row r="31" spans="1:174" ht="33" x14ac:dyDescent="0.25">
      <c r="A31" s="1227" t="s">
        <v>487</v>
      </c>
      <c r="B31" s="1227"/>
      <c r="C31" s="1275">
        <f t="shared" si="21"/>
        <v>11</v>
      </c>
      <c r="D31" s="1276" t="s">
        <v>4803</v>
      </c>
      <c r="E31" s="1219">
        <f>COUNTIFS(ШТАТ!$AL:$AL,'БЧС Дерябин'!$A31,ШТАТ!$AK:$AK,1)</f>
        <v>1</v>
      </c>
      <c r="F31" s="1219">
        <f>COUNTIFS(ШТАТ!$AL:$AL,'БЧС Дерябин'!$A31,ШТАТ!$AK:$AK,2)</f>
        <v>1</v>
      </c>
      <c r="G31" s="1219">
        <f>COUNTIFS(ШТАТ!$AL:$AL,'БЧС Дерябин'!$A31,ШТАТ!$AK:$AK,3)</f>
        <v>4</v>
      </c>
      <c r="H31" s="1219">
        <f>COUNTIFS(ШТАТ!$AL:$AL,'БЧС Дерябин'!$A31,ШТАТ!$AK:$AK,4)</f>
        <v>9</v>
      </c>
      <c r="I31" s="1221">
        <f t="shared" si="3"/>
        <v>15</v>
      </c>
      <c r="J31" s="1219">
        <f>COUNTIFS(ШТАТ!AL:AL,A31,ШТАТ!AJ:AJ,"о")</f>
        <v>0</v>
      </c>
      <c r="K31" s="1219">
        <f>COUNTIFS(ШТАТ!AL:AL,A31,ШТАТ!AJ:AJ,"п")</f>
        <v>0</v>
      </c>
      <c r="L31" s="1219">
        <f>COUNTIFS(ШТАТ!$AL:$AL,$A31,ШТАТ!AK:AK,3,ШТАТ!AJ:AJ,"с/с")</f>
        <v>2</v>
      </c>
      <c r="M31" s="1219">
        <f>COUNTIFS(ШТАТ!$AL:$AL,$A31,ШТАТ!AK:AK,3,ШТАТ!AJ:AJ,"к/с")</f>
        <v>0</v>
      </c>
      <c r="N31" s="1222">
        <f t="shared" si="11"/>
        <v>2</v>
      </c>
      <c r="O31" s="1220">
        <f>COUNTIFS(ШТАТ!$AL:$AL,$A31,ШТАТ!AK:AK,4,ШТАТ!AJ:AJ,"с/с")</f>
        <v>9</v>
      </c>
      <c r="P31" s="1220">
        <f>COUNTIFS(ШТАТ!$AL:$AL,$A31,ШТАТ!AK:AK,4,ШТАТ!AJ:AJ,"к/с")</f>
        <v>0</v>
      </c>
      <c r="Q31" s="1222">
        <f t="shared" si="12"/>
        <v>9</v>
      </c>
      <c r="R31" s="1221">
        <f t="shared" si="13"/>
        <v>11</v>
      </c>
      <c r="S31" s="1223">
        <f t="shared" si="14"/>
        <v>0.73333333333333328</v>
      </c>
      <c r="T31" s="1219">
        <f>COUNTIFS(ШТАТ!$AL:$AL,$A31,ШТАТ!$AJ:$AJ,"о",ШТАТ!$X:$X,"выполнение специальных задач")</f>
        <v>0</v>
      </c>
      <c r="U31" s="1219">
        <f>COUNTIFS(ШТАТ!$AL:$AL,$A31,ШТАТ!$AJ:$AJ,"п",ШТАТ!$X:$X,"выполнение специальных задач")</f>
        <v>0</v>
      </c>
      <c r="V31" s="1219">
        <f>COUNTIFS(ШТАТ!$AL:$AL,$A31,ШТАТ!$AK:$AK,3,ШТАТ!$AJ:$AJ,"с/с",ШТАТ!$X:$X,"выполнение специальных задач")</f>
        <v>0</v>
      </c>
      <c r="W31" s="1219">
        <f>COUNTIFS(ШТАТ!$AL:$AL,$A31,ШТАТ!$AK:$AK,3,ШТАТ!$AJ:$AJ,"к/с",ШТАТ!$X:$X,"выполнение специальных задач")</f>
        <v>0</v>
      </c>
      <c r="X31" s="1222">
        <f t="shared" si="4"/>
        <v>0</v>
      </c>
      <c r="Y31" s="1219">
        <f>COUNTIFS(ШТАТ!$AL:$AL,$A31,ШТАТ!$AK:$AK,4,ШТАТ!$AJ:$AJ,"с/с",ШТАТ!$X:$X,"выполнение специальных задач")</f>
        <v>0</v>
      </c>
      <c r="Z31" s="1219">
        <f>COUNTIFS(ШТАТ!$AL:$AL,$A31,ШТАТ!$AK:$AK,4,ШТАТ!$AJ:$AJ,"к/с",ШТАТ!$X:$X,"выполнение специальных задач")</f>
        <v>0</v>
      </c>
      <c r="AA31" s="1222">
        <f t="shared" si="5"/>
        <v>0</v>
      </c>
      <c r="AB31" s="1221">
        <f t="shared" si="15"/>
        <v>0</v>
      </c>
      <c r="AC31" s="1224"/>
      <c r="AD31" s="1219">
        <f>COUNTIFS(ШТАТ!$AL:$AL,$A31,ШТАТ!$AK:$AK,1,ШТАТ!$AJ:$AJ,"о",ШТАТ!$W:$W,"г. Белгород")</f>
        <v>0</v>
      </c>
      <c r="AE31" s="1219">
        <f>COUNTIFS(ШТАТ!$AL:$AL,$A31,ШТАТ!$AK:$AK,2,ШТАТ!$AJ:$AJ,"п",ШТАТ!$W:$W,"г. Белгород")</f>
        <v>0</v>
      </c>
      <c r="AF31" s="1219">
        <f>COUNTIFS(ШТАТ!$AL:$AL,$A31,ШТАТ!$AK:$AK,3,ШТАТ!$AJ:$AJ,"с/с",ШТАТ!$W:$W,"г. Белгород")</f>
        <v>0</v>
      </c>
      <c r="AG31" s="1219">
        <f>COUNTIFS(ШТАТ!$AL:$AL,$A31,ШТАТ!$AK:$AK,3,ШТАТ!$AJ:$AJ,"к/с",ШТАТ!$W:$W,"г. Белгород")</f>
        <v>0</v>
      </c>
      <c r="AH31" s="1222">
        <f t="shared" si="6"/>
        <v>0</v>
      </c>
      <c r="AI31" s="1219">
        <f>COUNTIFS(ШТАТ!$AL:$AL,$A31,ШТАТ!$AK:$AK,4,ШТАТ!$AJ:$AJ,"с/с",ШТАТ!$W:$W,"г. Белгород")</f>
        <v>0</v>
      </c>
      <c r="AJ31" s="1219">
        <f>COUNTIFS(ШТАТ!$AL:$AL,$A31,ШТАТ!$AK:$AK,4,ШТАТ!$AJ:$AJ,"к/с",ШТАТ!$W:$W,"г. Белгород")</f>
        <v>0</v>
      </c>
      <c r="AK31" s="1222">
        <f t="shared" si="7"/>
        <v>0</v>
      </c>
      <c r="AL31" s="1221">
        <f t="shared" si="16"/>
        <v>0</v>
      </c>
      <c r="AM31" s="1219">
        <f>COUNTIFS(ШТАТ!$AL:$AL,$A31,ШТАТ!$AK:$AK,1,ШТАТ!$AJ:$AJ,"о",ШТАТ!$U:$U,"")</f>
        <v>0</v>
      </c>
      <c r="AN31" s="1219">
        <f>COUNTIFS(ШТАТ!$AL:$AL,$A31,ШТАТ!$AK:$AK,2,ШТАТ!$AJ:$AJ,"п",ШТАТ!$U:$U,"")</f>
        <v>0</v>
      </c>
      <c r="AO31" s="1219">
        <f>COUNTIFS(ШТАТ!$AL:$AL,$A31,ШТАТ!$AK:$AK,3,ШТАТ!$AJ:$AJ,"с/с",ШТАТ!$U:$U,"")</f>
        <v>0</v>
      </c>
      <c r="AP31" s="1219">
        <f>COUNTIFS(ШТАТ!$AL:$AL,$A31,ШТАТ!$AK:$AK,3,ШТАТ!$AJ:$AJ,"к/с",ШТАТ!$U:$U,"")</f>
        <v>0</v>
      </c>
      <c r="AQ31" s="1222">
        <f t="shared" si="17"/>
        <v>0</v>
      </c>
      <c r="AR31" s="1219">
        <f>COUNTIFS(ШТАТ!$AL:$AL,$A31,ШТАТ!$AK:$AK,4,ШТАТ!$AJ:$AJ,"с/с",ШТАТ!$U:$U,"")</f>
        <v>0</v>
      </c>
      <c r="AS31" s="1219">
        <f>COUNTIFS(ШТАТ!$AL:$AL,$A31,ШТАТ!$AK:$AK,4,ШТАТ!$AJ:$AJ,"к/с",ШТАТ!$U:$U,"")</f>
        <v>0</v>
      </c>
      <c r="AT31" s="1222">
        <f t="shared" si="8"/>
        <v>0</v>
      </c>
      <c r="AU31" s="1221">
        <f t="shared" si="18"/>
        <v>0</v>
      </c>
      <c r="AV31" s="1219">
        <f>COUNTIFS(ШТАТ!$AL:$AL,$A31,ШТАТ!$U:$U,"госп")</f>
        <v>0</v>
      </c>
      <c r="AW31" s="1225">
        <f t="shared" si="9"/>
        <v>11</v>
      </c>
      <c r="AX31" s="1219">
        <f>COUNTIFS(ШТАТ!$AL:$AL,$A31,ШТАТ!$U:$U,"отпуск")</f>
        <v>0</v>
      </c>
      <c r="AY31" s="1219">
        <f>COUNTIFS(ШТАТ!$AL:$AL,$A31,ШТАТ!$U:$U,"соч")</f>
        <v>0</v>
      </c>
      <c r="AZ31" s="1225"/>
      <c r="BA31" s="1219">
        <f>COUNTIFS(ШТАТ!$AL:$AL,$A31,ШТАТ!$U:$U,"МП")</f>
        <v>0</v>
      </c>
      <c r="BB31" s="1226"/>
      <c r="BC31" s="1226"/>
      <c r="BD31" s="1219"/>
      <c r="BE31" s="1226"/>
      <c r="BF31" s="1226"/>
      <c r="BG31" s="1226"/>
      <c r="BH31" s="1226"/>
      <c r="BI31" s="1226"/>
      <c r="BJ31" s="1226"/>
      <c r="BK31" s="1226"/>
      <c r="BL31" s="1226"/>
      <c r="BM31" s="1226"/>
      <c r="BN31" s="1226"/>
      <c r="BO31" s="1226"/>
      <c r="BP31" s="1226"/>
      <c r="BQ31" s="1226"/>
      <c r="BR31" s="1226"/>
      <c r="BS31" s="1226"/>
      <c r="BT31" s="1226"/>
      <c r="BU31" s="1226"/>
      <c r="BV31" s="1226"/>
      <c r="BW31" s="1226"/>
      <c r="BX31" s="1226"/>
      <c r="BY31" s="1226"/>
      <c r="BZ31" s="1226"/>
      <c r="CA31" s="1226"/>
      <c r="CB31" s="1226"/>
      <c r="CC31" s="1226"/>
      <c r="CD31" s="1226"/>
      <c r="CE31" s="1226"/>
      <c r="CF31" s="1226"/>
      <c r="CG31" s="1226"/>
      <c r="CH31" s="1226"/>
      <c r="CI31" s="1226"/>
      <c r="CJ31" s="1226"/>
      <c r="CK31" s="1226"/>
      <c r="CL31" s="1226"/>
      <c r="CM31" s="1226"/>
      <c r="CN31" s="1226"/>
      <c r="CO31" s="1226"/>
      <c r="CP31" s="1226"/>
      <c r="CQ31" s="1226"/>
      <c r="CR31" s="1226"/>
      <c r="CS31" s="1226"/>
      <c r="CT31" s="1226"/>
      <c r="CU31" s="1226"/>
      <c r="CV31" s="1226"/>
      <c r="CW31" s="1226"/>
      <c r="CX31" s="1226"/>
      <c r="CY31" s="1226"/>
      <c r="CZ31" s="1226"/>
      <c r="DA31" s="1226"/>
      <c r="DB31" s="1226"/>
      <c r="DC31" s="1226"/>
      <c r="DD31" s="1226"/>
      <c r="DE31" s="1226"/>
      <c r="DF31" s="1226"/>
      <c r="DG31" s="1226"/>
      <c r="DH31" s="1226"/>
      <c r="DI31" s="1226"/>
      <c r="DJ31" s="1226"/>
      <c r="DK31" s="1226"/>
      <c r="DL31" s="1226"/>
      <c r="DM31" s="1226"/>
      <c r="DN31" s="1226"/>
      <c r="DO31" s="1226"/>
      <c r="DP31" s="1226"/>
      <c r="DQ31" s="1226"/>
      <c r="DR31" s="1226"/>
      <c r="DS31" s="1226"/>
      <c r="DT31" s="1226"/>
      <c r="DU31" s="1226"/>
      <c r="DV31" s="1226">
        <f>COUNTIFS(ШТАТ!$AN:$AN,"Урал-4320-31",ШТАТ!AL:AL,"Управление")</f>
        <v>0</v>
      </c>
      <c r="DW31" s="1226"/>
      <c r="DX31" s="1226"/>
      <c r="DY31" s="1226"/>
      <c r="DZ31" s="1226"/>
      <c r="EA31" s="1226"/>
      <c r="EB31" s="1226"/>
      <c r="EC31" s="1226"/>
      <c r="ED31" s="1226"/>
      <c r="EE31" s="1226"/>
      <c r="EF31" s="1226"/>
      <c r="EG31" s="1226"/>
      <c r="EH31" s="1226"/>
      <c r="EI31" s="1226"/>
      <c r="EJ31" s="1226"/>
      <c r="EK31" s="1226"/>
      <c r="EL31" s="1226"/>
      <c r="EM31" s="1226"/>
      <c r="EN31" s="1226"/>
      <c r="EO31" s="1226"/>
      <c r="EP31" s="1226"/>
      <c r="EQ31" s="1226"/>
      <c r="ER31" s="1226"/>
      <c r="ES31" s="1226"/>
      <c r="ET31" s="1226"/>
      <c r="EU31" s="1226"/>
      <c r="EV31" s="1226"/>
      <c r="EW31" s="1226"/>
      <c r="EX31" s="1226"/>
      <c r="EY31" s="1226"/>
      <c r="EZ31" s="1226"/>
      <c r="FA31" s="1226"/>
      <c r="FB31" s="1226"/>
      <c r="FC31" s="1226"/>
      <c r="FD31" s="1226"/>
      <c r="FE31" s="1226"/>
      <c r="FF31" s="1226"/>
      <c r="FG31" s="1226"/>
      <c r="FH31" s="1226"/>
      <c r="FI31" s="1226"/>
      <c r="FJ31" s="1226"/>
      <c r="FK31" s="1226"/>
      <c r="FL31" s="1226"/>
      <c r="FM31" s="1226"/>
      <c r="FN31" s="1226"/>
      <c r="FO31" s="1226"/>
      <c r="FP31" s="1226"/>
      <c r="FQ31" s="1226"/>
      <c r="FR31" s="1226"/>
    </row>
    <row r="32" spans="1:174" ht="37.5" customHeight="1" x14ac:dyDescent="0.25">
      <c r="A32" s="1227" t="s">
        <v>489</v>
      </c>
      <c r="B32" s="1227"/>
      <c r="C32" s="1275">
        <f t="shared" si="21"/>
        <v>22</v>
      </c>
      <c r="D32" s="1276" t="s">
        <v>3509</v>
      </c>
      <c r="E32" s="1219">
        <f>COUNTIFS(ШТАТ!$AL:$AL,'БЧС Дерябин'!$A32,ШТАТ!$AK:$AK,1)</f>
        <v>0</v>
      </c>
      <c r="F32" s="1219">
        <f>COUNTIFS(ШТАТ!$AL:$AL,'БЧС Дерябин'!$A32,ШТАТ!$AK:$AK,2)</f>
        <v>1</v>
      </c>
      <c r="G32" s="1219">
        <f>COUNTIFS(ШТАТ!$AL:$AL,'БЧС Дерябин'!$A32,ШТАТ!$AK:$AK,3)</f>
        <v>5</v>
      </c>
      <c r="H32" s="1219">
        <f>COUNTIFS(ШТАТ!$AL:$AL,'БЧС Дерябин'!$A32,ШТАТ!$AK:$AK,4)</f>
        <v>21</v>
      </c>
      <c r="I32" s="1221">
        <f t="shared" si="3"/>
        <v>27</v>
      </c>
      <c r="J32" s="1219">
        <f>COUNTIFS(ШТАТ!AL:AL,A32,ШТАТ!AJ:AJ,"о")</f>
        <v>0</v>
      </c>
      <c r="K32" s="1219">
        <f>COUNTIFS(ШТАТ!AL:AL,A32,ШТАТ!AJ:AJ,"п")</f>
        <v>1</v>
      </c>
      <c r="L32" s="1219">
        <f>COUNTIFS(ШТАТ!$AL:$AL,$A32,ШТАТ!AK:AK,3,ШТАТ!AJ:AJ,"с/с")</f>
        <v>3</v>
      </c>
      <c r="M32" s="1219">
        <f>COUNTIFS(ШТАТ!$AL:$AL,$A32,ШТАТ!AK:AK,3,ШТАТ!AJ:AJ,"к/с")</f>
        <v>1</v>
      </c>
      <c r="N32" s="1222">
        <f t="shared" si="11"/>
        <v>4</v>
      </c>
      <c r="O32" s="1220">
        <f>COUNTIFS(ШТАТ!$AL:$AL,$A32,ШТАТ!AK:AK,4,ШТАТ!AJ:AJ,"с/с")</f>
        <v>19</v>
      </c>
      <c r="P32" s="1220">
        <f>COUNTIFS(ШТАТ!$AL:$AL,$A32,ШТАТ!AK:AK,4,ШТАТ!AJ:AJ,"к/с")</f>
        <v>2</v>
      </c>
      <c r="Q32" s="1222">
        <f t="shared" si="12"/>
        <v>21</v>
      </c>
      <c r="R32" s="1221">
        <f t="shared" si="13"/>
        <v>26</v>
      </c>
      <c r="S32" s="1223">
        <f t="shared" si="14"/>
        <v>0.96296296296296291</v>
      </c>
      <c r="T32" s="1219">
        <f>COUNTIFS(ШТАТ!$AL:$AL,$A32,ШТАТ!$AJ:$AJ,"о",ШТАТ!$X:$X,"выполнение специальных задач")</f>
        <v>0</v>
      </c>
      <c r="U32" s="1219">
        <f>COUNTIFS(ШТАТ!$AL:$AL,$A32,ШТАТ!$AJ:$AJ,"п",ШТАТ!$X:$X,"выполнение специальных задач")</f>
        <v>0</v>
      </c>
      <c r="V32" s="1219">
        <f>COUNTIFS(ШТАТ!$AL:$AL,$A32,ШТАТ!$AK:$AK,3,ШТАТ!$AJ:$AJ,"с/с",ШТАТ!$X:$X,"выполнение специальных задач")</f>
        <v>0</v>
      </c>
      <c r="W32" s="1219">
        <f>COUNTIFS(ШТАТ!$AL:$AL,$A32,ШТАТ!$AK:$AK,3,ШТАТ!$AJ:$AJ,"к/с",ШТАТ!$X:$X,"выполнение специальных задач")</f>
        <v>0</v>
      </c>
      <c r="X32" s="1222">
        <f t="shared" si="4"/>
        <v>0</v>
      </c>
      <c r="Y32" s="1219">
        <f>COUNTIFS(ШТАТ!$AL:$AL,$A32,ШТАТ!$AK:$AK,4,ШТАТ!$AJ:$AJ,"с/с",ШТАТ!$X:$X,"выполнение специальных задач")</f>
        <v>0</v>
      </c>
      <c r="Z32" s="1219">
        <f>COUNTIFS(ШТАТ!$AL:$AL,$A32,ШТАТ!$AK:$AK,4,ШТАТ!$AJ:$AJ,"к/с",ШТАТ!$X:$X,"выполнение специальных задач")</f>
        <v>0</v>
      </c>
      <c r="AA32" s="1222">
        <f t="shared" si="5"/>
        <v>0</v>
      </c>
      <c r="AB32" s="1221">
        <f t="shared" si="15"/>
        <v>0</v>
      </c>
      <c r="AC32" s="1224"/>
      <c r="AD32" s="1219">
        <f>COUNTIFS(ШТАТ!$AL:$AL,$A32,ШТАТ!$AK:$AK,1,ШТАТ!$AJ:$AJ,"о",ШТАТ!$W:$W,"г. Белгород")</f>
        <v>0</v>
      </c>
      <c r="AE32" s="1219">
        <f>COUNTIFS(ШТАТ!$AL:$AL,$A32,ШТАТ!$AK:$AK,2,ШТАТ!$AJ:$AJ,"п",ШТАТ!$W:$W,"г. Белгород")</f>
        <v>0</v>
      </c>
      <c r="AF32" s="1219">
        <f>COUNTIFS(ШТАТ!$AL:$AL,$A32,ШТАТ!$AK:$AK,3,ШТАТ!$AJ:$AJ,"с/с",ШТАТ!$W:$W,"г. Белгород")</f>
        <v>0</v>
      </c>
      <c r="AG32" s="1219">
        <f>COUNTIFS(ШТАТ!$AL:$AL,$A32,ШТАТ!$AK:$AK,3,ШТАТ!$AJ:$AJ,"к/с",ШТАТ!$W:$W,"г. Белгород")</f>
        <v>1</v>
      </c>
      <c r="AH32" s="1222">
        <f t="shared" si="6"/>
        <v>1</v>
      </c>
      <c r="AI32" s="1219">
        <f>COUNTIFS(ШТАТ!$AL:$AL,$A32,ШТАТ!$AK:$AK,4,ШТАТ!$AJ:$AJ,"с/с",ШТАТ!$W:$W,"г. Белгород")</f>
        <v>0</v>
      </c>
      <c r="AJ32" s="1219">
        <f>COUNTIFS(ШТАТ!$AL:$AL,$A32,ШТАТ!$AK:$AK,4,ШТАТ!$AJ:$AJ,"к/с",ШТАТ!$W:$W,"г. Белгород")</f>
        <v>0</v>
      </c>
      <c r="AK32" s="1222">
        <f t="shared" si="7"/>
        <v>0</v>
      </c>
      <c r="AL32" s="1221">
        <f t="shared" si="16"/>
        <v>1</v>
      </c>
      <c r="AM32" s="1219">
        <f>COUNTIFS(ШТАТ!$AL:$AL,$A32,ШТАТ!$AK:$AK,1,ШТАТ!$AJ:$AJ,"о",ШТАТ!$U:$U,"")</f>
        <v>0</v>
      </c>
      <c r="AN32" s="1219">
        <f>COUNTIFS(ШТАТ!$AL:$AL,$A32,ШТАТ!$AK:$AK,2,ШТАТ!$AJ:$AJ,"п",ШТАТ!$U:$U,"")</f>
        <v>1</v>
      </c>
      <c r="AO32" s="1219">
        <f>COUNTIFS(ШТАТ!$AL:$AL,$A32,ШТАТ!$AK:$AK,3,ШТАТ!$AJ:$AJ,"с/с",ШТАТ!$U:$U,"")</f>
        <v>0</v>
      </c>
      <c r="AP32" s="1219">
        <f>COUNTIFS(ШТАТ!$AL:$AL,$A32,ШТАТ!$AK:$AK,3,ШТАТ!$AJ:$AJ,"к/с",ШТАТ!$U:$U,"")</f>
        <v>0</v>
      </c>
      <c r="AQ32" s="1222">
        <f t="shared" si="17"/>
        <v>0</v>
      </c>
      <c r="AR32" s="1219">
        <f>COUNTIFS(ШТАТ!$AL:$AL,$A32,ШТАТ!$AK:$AK,4,ШТАТ!$AJ:$AJ,"с/с",ШТАТ!$U:$U,"")</f>
        <v>0</v>
      </c>
      <c r="AS32" s="1219">
        <f>COUNTIFS(ШТАТ!$AL:$AL,$A32,ШТАТ!$AK:$AK,4,ШТАТ!$AJ:$AJ,"к/с",ШТАТ!$U:$U,"")</f>
        <v>1</v>
      </c>
      <c r="AT32" s="1222">
        <f t="shared" si="8"/>
        <v>1</v>
      </c>
      <c r="AU32" s="1221">
        <f t="shared" si="18"/>
        <v>2</v>
      </c>
      <c r="AV32" s="1219">
        <f>COUNTIFS(ШТАТ!$AL:$AL,$A32,ШТАТ!$U:$U,"госп")</f>
        <v>0</v>
      </c>
      <c r="AW32" s="1225">
        <f t="shared" si="9"/>
        <v>22</v>
      </c>
      <c r="AX32" s="1219">
        <f>COUNTIFS(ШТАТ!$AL:$AL,$A32,ШТАТ!$U:$U,"отпуск")</f>
        <v>0</v>
      </c>
      <c r="AY32" s="1219">
        <f>COUNTIFS(ШТАТ!$AL:$AL,$A32,ШТАТ!$U:$U,"соч")</f>
        <v>1</v>
      </c>
      <c r="AZ32" s="1225"/>
      <c r="BA32" s="1219">
        <f>COUNTIFS(ШТАТ!$AL:$AL,$A32,ШТАТ!$U:$U,"МП")</f>
        <v>0</v>
      </c>
      <c r="BB32" s="1226"/>
      <c r="BC32" s="1226"/>
      <c r="BD32" s="1219"/>
      <c r="BE32" s="1226"/>
      <c r="BF32" s="1226"/>
      <c r="BG32" s="1226"/>
      <c r="BH32" s="1226"/>
      <c r="BI32" s="1226"/>
      <c r="BJ32" s="1226"/>
      <c r="BK32" s="1226"/>
      <c r="BL32" s="1226"/>
      <c r="BM32" s="1226"/>
      <c r="BN32" s="1226"/>
      <c r="BO32" s="1226"/>
      <c r="BP32" s="1226"/>
      <c r="BQ32" s="1226"/>
      <c r="BR32" s="1226"/>
      <c r="BS32" s="1226"/>
      <c r="BT32" s="1226"/>
      <c r="BU32" s="1226"/>
      <c r="BV32" s="1226"/>
      <c r="BW32" s="1226"/>
      <c r="BX32" s="1226"/>
      <c r="BY32" s="1226"/>
      <c r="BZ32" s="1226"/>
      <c r="CA32" s="1226"/>
      <c r="CB32" s="1226"/>
      <c r="CC32" s="1226"/>
      <c r="CD32" s="1226"/>
      <c r="CE32" s="1226"/>
      <c r="CF32" s="1226"/>
      <c r="CG32" s="1226"/>
      <c r="CH32" s="1226"/>
      <c r="CI32" s="1226"/>
      <c r="CJ32" s="1226"/>
      <c r="CK32" s="1226"/>
      <c r="CL32" s="1226"/>
      <c r="CM32" s="1226"/>
      <c r="CN32" s="1226"/>
      <c r="CO32" s="1226"/>
      <c r="CP32" s="1226"/>
      <c r="CQ32" s="1226"/>
      <c r="CR32" s="1226"/>
      <c r="CS32" s="1226"/>
      <c r="CT32" s="1226"/>
      <c r="CU32" s="1226"/>
      <c r="CV32" s="1226"/>
      <c r="CW32" s="1226"/>
      <c r="CX32" s="1226"/>
      <c r="CY32" s="1226"/>
      <c r="CZ32" s="1226"/>
      <c r="DA32" s="1226"/>
      <c r="DB32" s="1226"/>
      <c r="DC32" s="1226"/>
      <c r="DD32" s="1226"/>
      <c r="DE32" s="1226"/>
      <c r="DF32" s="1226"/>
      <c r="DG32" s="1226"/>
      <c r="DH32" s="1226"/>
      <c r="DI32" s="1226"/>
      <c r="DJ32" s="1226"/>
      <c r="DK32" s="1226"/>
      <c r="DL32" s="1226"/>
      <c r="DM32" s="1226"/>
      <c r="DN32" s="1226">
        <v>2</v>
      </c>
      <c r="DO32" s="1226"/>
      <c r="DP32" s="1226"/>
      <c r="DQ32" s="1226"/>
      <c r="DR32" s="1226"/>
      <c r="DS32" s="1226"/>
      <c r="DT32" s="1226"/>
      <c r="DU32" s="1226"/>
      <c r="DV32" s="1226">
        <f>COUNTIFS(ШТАТ!$AN:$AN,"Урал-4320-31",ШТАТ!AL:AL,"Управление")</f>
        <v>0</v>
      </c>
      <c r="DW32" s="1226"/>
      <c r="DX32" s="1226"/>
      <c r="DY32" s="1226"/>
      <c r="DZ32" s="1226"/>
      <c r="EA32" s="1226"/>
      <c r="EB32" s="1226"/>
      <c r="EC32" s="1226"/>
      <c r="ED32" s="1226"/>
      <c r="EE32" s="1226"/>
      <c r="EF32" s="1226"/>
      <c r="EG32" s="1226"/>
      <c r="EH32" s="1226">
        <v>2</v>
      </c>
      <c r="EI32" s="1226"/>
      <c r="EJ32" s="1226"/>
      <c r="EK32" s="1226"/>
      <c r="EL32" s="1226"/>
      <c r="EM32" s="1226"/>
      <c r="EN32" s="1226"/>
      <c r="EO32" s="1226"/>
      <c r="EP32" s="1226"/>
      <c r="EQ32" s="1226"/>
      <c r="ER32" s="1226"/>
      <c r="ES32" s="1226"/>
      <c r="ET32" s="1226"/>
      <c r="EU32" s="1226"/>
      <c r="EV32" s="1226"/>
      <c r="EW32" s="1226"/>
      <c r="EX32" s="1226"/>
      <c r="EY32" s="1226"/>
      <c r="EZ32" s="1226"/>
      <c r="FA32" s="1226"/>
      <c r="FB32" s="1226"/>
      <c r="FC32" s="1226"/>
      <c r="FD32" s="1226"/>
      <c r="FE32" s="1226"/>
      <c r="FF32" s="1226"/>
      <c r="FG32" s="1226"/>
      <c r="FH32" s="1226">
        <v>10</v>
      </c>
      <c r="FI32" s="1226"/>
      <c r="FJ32" s="1226"/>
      <c r="FK32" s="1226"/>
      <c r="FL32" s="1226"/>
      <c r="FM32" s="1226">
        <v>1</v>
      </c>
      <c r="FN32" s="1226"/>
      <c r="FO32" s="1226"/>
      <c r="FP32" s="1226"/>
      <c r="FQ32" s="1226"/>
      <c r="FR32" s="1226"/>
    </row>
    <row r="33" spans="1:174" ht="33" x14ac:dyDescent="0.25">
      <c r="A33" s="1218" t="s">
        <v>460</v>
      </c>
      <c r="B33" s="1265" t="s">
        <v>4735</v>
      </c>
      <c r="C33" s="1265">
        <f>R33</f>
        <v>402</v>
      </c>
      <c r="D33" s="1265" t="s">
        <v>4804</v>
      </c>
      <c r="E33" s="1219">
        <f>SUM(E23:E32)</f>
        <v>27</v>
      </c>
      <c r="F33" s="1219">
        <f>SUM(F23:F32)</f>
        <v>12</v>
      </c>
      <c r="G33" s="1219">
        <f>SUM(G23:G32)</f>
        <v>55</v>
      </c>
      <c r="H33" s="1219">
        <f>SUM(H23:H32)</f>
        <v>328</v>
      </c>
      <c r="I33" s="1221">
        <f t="shared" si="3"/>
        <v>422</v>
      </c>
      <c r="J33" s="1219">
        <f>SUM(J23:J32)</f>
        <v>24</v>
      </c>
      <c r="K33" s="1219">
        <f>SUM(K23:K32)</f>
        <v>8</v>
      </c>
      <c r="L33" s="1219">
        <f>SUM(L23:L32)</f>
        <v>43</v>
      </c>
      <c r="M33" s="1219">
        <f>SUM(M23:M32)</f>
        <v>3</v>
      </c>
      <c r="N33" s="1222">
        <f t="shared" si="11"/>
        <v>46</v>
      </c>
      <c r="O33" s="1219">
        <f>SUM(O23:O32)</f>
        <v>313</v>
      </c>
      <c r="P33" s="1219">
        <f>SUM(P23:P32)</f>
        <v>11</v>
      </c>
      <c r="Q33" s="1222">
        <f t="shared" si="12"/>
        <v>324</v>
      </c>
      <c r="R33" s="1221">
        <f t="shared" si="13"/>
        <v>402</v>
      </c>
      <c r="S33" s="1223">
        <f t="shared" si="14"/>
        <v>0.95260663507109</v>
      </c>
      <c r="T33" s="1219">
        <f>SUM(T23:T32)</f>
        <v>1</v>
      </c>
      <c r="U33" s="1219">
        <f>SUM(U23:U32)</f>
        <v>2</v>
      </c>
      <c r="V33" s="1219">
        <f>SUM(V23:V32)</f>
        <v>0</v>
      </c>
      <c r="W33" s="1219">
        <f>SUM(W23:W32)</f>
        <v>0</v>
      </c>
      <c r="X33" s="1222">
        <f t="shared" si="4"/>
        <v>0</v>
      </c>
      <c r="Y33" s="1219">
        <f>SUM(Y23:Y32)</f>
        <v>0</v>
      </c>
      <c r="Z33" s="1219">
        <f>SUM(Z23:Z32)</f>
        <v>0</v>
      </c>
      <c r="AA33" s="1222">
        <f t="shared" si="5"/>
        <v>0</v>
      </c>
      <c r="AB33" s="1221">
        <f t="shared" si="15"/>
        <v>3</v>
      </c>
      <c r="AC33" s="1224">
        <f>AB33/R33</f>
        <v>7.462686567164179E-3</v>
      </c>
      <c r="AD33" s="1219">
        <f>SUM(AD23:AD32)</f>
        <v>4</v>
      </c>
      <c r="AE33" s="1219">
        <f>SUM(AE23:AE32)</f>
        <v>0</v>
      </c>
      <c r="AF33" s="1219">
        <f>SUM(AF23:AF32)</f>
        <v>0</v>
      </c>
      <c r="AG33" s="1219">
        <f>SUM(AG23:AG32)</f>
        <v>1</v>
      </c>
      <c r="AH33" s="1222">
        <f t="shared" si="6"/>
        <v>1</v>
      </c>
      <c r="AI33" s="1219">
        <f>SUM(AI23:AI32)</f>
        <v>0</v>
      </c>
      <c r="AJ33" s="1219">
        <f>SUM(AJ23:AJ32)</f>
        <v>2</v>
      </c>
      <c r="AK33" s="1222">
        <f t="shared" si="7"/>
        <v>2</v>
      </c>
      <c r="AL33" s="1221">
        <f t="shared" si="16"/>
        <v>7</v>
      </c>
      <c r="AM33" s="1219">
        <f>SUM(AM23:AM32)</f>
        <v>15</v>
      </c>
      <c r="AN33" s="1219">
        <f>SUM(AN23:AN32)</f>
        <v>6</v>
      </c>
      <c r="AO33" s="1219">
        <f>SUM(AO23:AO32)</f>
        <v>4</v>
      </c>
      <c r="AP33" s="1219">
        <f>SUM(AP23:AP32)</f>
        <v>2</v>
      </c>
      <c r="AQ33" s="1222">
        <f t="shared" si="17"/>
        <v>6</v>
      </c>
      <c r="AR33" s="1219">
        <f>SUM(AR23:AR32)</f>
        <v>4</v>
      </c>
      <c r="AS33" s="1219">
        <f>SUM(AS23:AS32)</f>
        <v>4</v>
      </c>
      <c r="AT33" s="1222">
        <f t="shared" si="8"/>
        <v>8</v>
      </c>
      <c r="AU33" s="1221">
        <f t="shared" si="18"/>
        <v>35</v>
      </c>
      <c r="AV33" s="1219">
        <f>SUM(AV23:AV32)</f>
        <v>3</v>
      </c>
      <c r="AW33" s="1225">
        <f t="shared" si="9"/>
        <v>350</v>
      </c>
      <c r="AX33" s="1219">
        <f>SUM(AX23:AX32)</f>
        <v>3</v>
      </c>
      <c r="AY33" s="1219">
        <f>SUM(AY23:AY32)</f>
        <v>1</v>
      </c>
      <c r="AZ33" s="1219">
        <f>SUM(AZ23:AZ32)</f>
        <v>0</v>
      </c>
      <c r="BA33" s="1219">
        <f>SUM(BA23:BA32)</f>
        <v>0</v>
      </c>
      <c r="BB33" s="1226">
        <v>3</v>
      </c>
      <c r="BC33" s="1226"/>
      <c r="BD33" s="1219">
        <v>2</v>
      </c>
      <c r="BE33" s="1226"/>
      <c r="BF33" s="1226"/>
      <c r="BG33" s="1226"/>
      <c r="BH33" s="1226"/>
      <c r="BI33" s="1226"/>
      <c r="BJ33" s="1226"/>
      <c r="BK33" s="1226"/>
      <c r="BL33" s="1226"/>
      <c r="BM33" s="1226"/>
      <c r="BN33" s="1226"/>
      <c r="BO33" s="1226"/>
      <c r="BP33" s="1226"/>
      <c r="BQ33" s="1226"/>
      <c r="BR33" s="1226"/>
      <c r="BS33" s="1226"/>
      <c r="BT33" s="1226"/>
      <c r="BU33" s="1226"/>
      <c r="BV33" s="1226"/>
      <c r="BW33" s="1226"/>
      <c r="BX33" s="1226"/>
      <c r="BY33" s="1226"/>
      <c r="BZ33" s="1226"/>
      <c r="CA33" s="1226"/>
      <c r="CB33" s="1226"/>
      <c r="CC33" s="1226"/>
      <c r="CD33" s="1226"/>
      <c r="CE33" s="1226"/>
      <c r="CF33" s="1226"/>
      <c r="CG33" s="1226"/>
      <c r="CH33" s="1226"/>
      <c r="CI33" s="1226"/>
      <c r="CJ33" s="1226"/>
      <c r="CK33" s="1226"/>
      <c r="CL33" s="1226"/>
      <c r="CM33" s="1226"/>
      <c r="CN33" s="1226"/>
      <c r="CO33" s="1226"/>
      <c r="CP33" s="1226"/>
      <c r="CQ33" s="1226"/>
      <c r="CR33" s="1226"/>
      <c r="CS33" s="1226"/>
      <c r="CT33" s="1226"/>
      <c r="CU33" s="1226"/>
      <c r="CV33" s="1226"/>
      <c r="CW33" s="1226"/>
      <c r="CX33" s="1226"/>
      <c r="CY33" s="1226"/>
      <c r="CZ33" s="1226"/>
      <c r="DA33" s="1226"/>
      <c r="DB33" s="1226"/>
      <c r="DC33" s="1219">
        <f>SUM(DC23:DC32)</f>
        <v>0</v>
      </c>
      <c r="DD33" s="1219">
        <f t="shared" ref="DD33:FO33" si="22">SUM(DD23:DD32)</f>
        <v>35</v>
      </c>
      <c r="DE33" s="1219">
        <f t="shared" si="22"/>
        <v>0</v>
      </c>
      <c r="DF33" s="1219">
        <f t="shared" si="22"/>
        <v>0</v>
      </c>
      <c r="DG33" s="1219">
        <f t="shared" si="22"/>
        <v>0</v>
      </c>
      <c r="DH33" s="1219">
        <f t="shared" si="22"/>
        <v>0</v>
      </c>
      <c r="DI33" s="1219">
        <f t="shared" si="22"/>
        <v>0</v>
      </c>
      <c r="DJ33" s="1219">
        <f t="shared" si="22"/>
        <v>0</v>
      </c>
      <c r="DK33" s="1219">
        <f t="shared" si="22"/>
        <v>2</v>
      </c>
      <c r="DL33" s="1219">
        <f t="shared" si="22"/>
        <v>0</v>
      </c>
      <c r="DM33" s="1219">
        <f t="shared" si="22"/>
        <v>6</v>
      </c>
      <c r="DN33" s="1219">
        <f t="shared" si="22"/>
        <v>2</v>
      </c>
      <c r="DO33" s="1219">
        <f t="shared" si="22"/>
        <v>0</v>
      </c>
      <c r="DP33" s="1219">
        <f t="shared" si="22"/>
        <v>0</v>
      </c>
      <c r="DQ33" s="1219">
        <f t="shared" si="22"/>
        <v>0</v>
      </c>
      <c r="DR33" s="1219">
        <f t="shared" si="22"/>
        <v>0</v>
      </c>
      <c r="DS33" s="1219">
        <f t="shared" si="22"/>
        <v>0</v>
      </c>
      <c r="DT33" s="1219">
        <f t="shared" si="22"/>
        <v>0</v>
      </c>
      <c r="DU33" s="1219">
        <f t="shared" si="22"/>
        <v>0</v>
      </c>
      <c r="DV33" s="1219">
        <f t="shared" si="22"/>
        <v>0</v>
      </c>
      <c r="DW33" s="1219">
        <f t="shared" si="22"/>
        <v>0</v>
      </c>
      <c r="DX33" s="1219">
        <f t="shared" si="22"/>
        <v>0</v>
      </c>
      <c r="DY33" s="1219">
        <f t="shared" si="22"/>
        <v>0</v>
      </c>
      <c r="DZ33" s="1219">
        <f t="shared" si="22"/>
        <v>0</v>
      </c>
      <c r="EA33" s="1219">
        <f t="shared" si="22"/>
        <v>0</v>
      </c>
      <c r="EB33" s="1219">
        <f t="shared" si="22"/>
        <v>0</v>
      </c>
      <c r="EC33" s="1219">
        <f t="shared" si="22"/>
        <v>0</v>
      </c>
      <c r="ED33" s="1219">
        <f t="shared" si="22"/>
        <v>0</v>
      </c>
      <c r="EE33" s="1219">
        <f t="shared" si="22"/>
        <v>0</v>
      </c>
      <c r="EF33" s="1219">
        <f t="shared" si="22"/>
        <v>0</v>
      </c>
      <c r="EG33" s="1219">
        <f t="shared" si="22"/>
        <v>0</v>
      </c>
      <c r="EH33" s="1219">
        <f t="shared" si="22"/>
        <v>2</v>
      </c>
      <c r="EI33" s="1219">
        <f t="shared" si="22"/>
        <v>0</v>
      </c>
      <c r="EJ33" s="1219">
        <f t="shared" si="22"/>
        <v>0</v>
      </c>
      <c r="EK33" s="1219">
        <f t="shared" si="22"/>
        <v>0</v>
      </c>
      <c r="EL33" s="1219">
        <f t="shared" si="22"/>
        <v>0</v>
      </c>
      <c r="EM33" s="1219">
        <f t="shared" si="22"/>
        <v>0</v>
      </c>
      <c r="EN33" s="1219">
        <f t="shared" si="22"/>
        <v>0</v>
      </c>
      <c r="EO33" s="1219">
        <f t="shared" si="22"/>
        <v>0</v>
      </c>
      <c r="EP33" s="1219">
        <f t="shared" si="22"/>
        <v>0</v>
      </c>
      <c r="EQ33" s="1219">
        <f t="shared" si="22"/>
        <v>0</v>
      </c>
      <c r="ER33" s="1219">
        <f t="shared" si="22"/>
        <v>0</v>
      </c>
      <c r="ES33" s="1219">
        <f t="shared" si="22"/>
        <v>0</v>
      </c>
      <c r="ET33" s="1219">
        <f t="shared" si="22"/>
        <v>0</v>
      </c>
      <c r="EU33" s="1219">
        <f t="shared" si="22"/>
        <v>0</v>
      </c>
      <c r="EV33" s="1219">
        <f t="shared" si="22"/>
        <v>0</v>
      </c>
      <c r="EW33" s="1219">
        <f t="shared" si="22"/>
        <v>0</v>
      </c>
      <c r="EX33" s="1219">
        <f t="shared" si="22"/>
        <v>0</v>
      </c>
      <c r="EY33" s="1219">
        <f t="shared" si="22"/>
        <v>0</v>
      </c>
      <c r="EZ33" s="1219">
        <f t="shared" si="22"/>
        <v>0</v>
      </c>
      <c r="FA33" s="1219">
        <f t="shared" si="22"/>
        <v>0</v>
      </c>
      <c r="FB33" s="1219">
        <f t="shared" si="22"/>
        <v>0</v>
      </c>
      <c r="FC33" s="1219">
        <f t="shared" si="22"/>
        <v>0</v>
      </c>
      <c r="FD33" s="1219">
        <f t="shared" si="22"/>
        <v>0</v>
      </c>
      <c r="FE33" s="1219">
        <f t="shared" si="22"/>
        <v>0</v>
      </c>
      <c r="FF33" s="1219">
        <f t="shared" si="22"/>
        <v>0</v>
      </c>
      <c r="FG33" s="1219">
        <f t="shared" si="22"/>
        <v>0</v>
      </c>
      <c r="FH33" s="1219">
        <f t="shared" si="22"/>
        <v>16</v>
      </c>
      <c r="FI33" s="1219">
        <f t="shared" si="22"/>
        <v>0</v>
      </c>
      <c r="FJ33" s="1219">
        <f t="shared" si="22"/>
        <v>2</v>
      </c>
      <c r="FK33" s="1219">
        <f t="shared" si="22"/>
        <v>0</v>
      </c>
      <c r="FL33" s="1219">
        <f t="shared" si="22"/>
        <v>0</v>
      </c>
      <c r="FM33" s="1219">
        <f t="shared" si="22"/>
        <v>1</v>
      </c>
      <c r="FN33" s="1219">
        <f t="shared" si="22"/>
        <v>0</v>
      </c>
      <c r="FO33" s="1219">
        <f t="shared" si="22"/>
        <v>0</v>
      </c>
      <c r="FP33" s="1219">
        <f t="shared" ref="FP33:FR33" si="23">SUM(FP23:FP32)</f>
        <v>0</v>
      </c>
      <c r="FQ33" s="1219">
        <f t="shared" si="23"/>
        <v>0</v>
      </c>
      <c r="FR33" s="1219">
        <f t="shared" si="23"/>
        <v>0</v>
      </c>
    </row>
    <row r="34" spans="1:174" ht="41.25" customHeight="1" x14ac:dyDescent="0.25">
      <c r="A34" s="1227" t="s">
        <v>491</v>
      </c>
      <c r="B34" s="1227"/>
      <c r="C34" s="1275">
        <f>AU34</f>
        <v>4</v>
      </c>
      <c r="D34" s="1276" t="s">
        <v>4805</v>
      </c>
      <c r="E34" s="1219">
        <f>COUNTIFS(ШТАТ!$AL:$AL,'БЧС Дерябин'!$A34,ШТАТ!$AK:$AK,1)</f>
        <v>4</v>
      </c>
      <c r="F34" s="1219">
        <f>COUNTIFS(ШТАТ!$AL:$AL,'БЧС Дерябин'!$A34,ШТАТ!$AK:$AK,2)</f>
        <v>0</v>
      </c>
      <c r="G34" s="1219">
        <f>COUNTIFS(ШТАТ!$AL:$AL,'БЧС Дерябин'!$A34,ШТАТ!$AK:$AK,3)</f>
        <v>1</v>
      </c>
      <c r="H34" s="1219">
        <f>COUNTIFS(ШТАТ!$AL:$AL,'БЧС Дерябин'!$A34,ШТАТ!$AK:$AK,4)</f>
        <v>0</v>
      </c>
      <c r="I34" s="1221">
        <f t="shared" si="3"/>
        <v>5</v>
      </c>
      <c r="J34" s="1219">
        <f>COUNTIFS(ШТАТ!AL:AL,A34,ШТАТ!AJ:AJ,"о")</f>
        <v>4</v>
      </c>
      <c r="K34" s="1219">
        <f>COUNTIFS(ШТАТ!AL:AL,A34,ШТАТ!AJ:AJ,"п")</f>
        <v>0</v>
      </c>
      <c r="L34" s="1219">
        <f>COUNTIFS(ШТАТ!$AL:$AL,$A34,ШТАТ!AK:AK,3,ШТАТ!AJ:AJ,"с/с")</f>
        <v>0</v>
      </c>
      <c r="M34" s="1219">
        <f>COUNTIFS(ШТАТ!$AL:$AL,$A34,ШТАТ!AK:AK,3,ШТАТ!AJ:AJ,"к/с")</f>
        <v>0</v>
      </c>
      <c r="N34" s="1222">
        <f t="shared" si="11"/>
        <v>0</v>
      </c>
      <c r="O34" s="1220">
        <f>COUNTIFS(ШТАТ!$AL:$AL,$A34,ШТАТ!AK:AK,4,ШТАТ!AJ:AJ,"с/с")</f>
        <v>0</v>
      </c>
      <c r="P34" s="1220">
        <f>COUNTIFS(ШТАТ!$AL:$AL,$A34,ШТАТ!AK:AK,4,ШТАТ!AJ:AJ,"к/с")</f>
        <v>0</v>
      </c>
      <c r="Q34" s="1222">
        <f t="shared" si="12"/>
        <v>0</v>
      </c>
      <c r="R34" s="1221">
        <f t="shared" si="13"/>
        <v>4</v>
      </c>
      <c r="S34" s="1223">
        <f t="shared" si="14"/>
        <v>0.8</v>
      </c>
      <c r="T34" s="1219">
        <f>COUNTIFS(ШТАТ!$AL:$AL,$A34,ШТАТ!$AJ:$AJ,"о",ШТАТ!$X:$X,"выполнение специальных задач")</f>
        <v>0</v>
      </c>
      <c r="U34" s="1219">
        <f>COUNTIFS(ШТАТ!$AL:$AL,$A34,ШТАТ!$AJ:$AJ,"п",ШТАТ!$X:$X,"выполнение специальных задач")</f>
        <v>0</v>
      </c>
      <c r="V34" s="1219">
        <f>COUNTIFS(ШТАТ!$AL:$AL,$A34,ШТАТ!$AK:$AK,3,ШТАТ!$AJ:$AJ,"с/с",ШТАТ!$X:$X,"выполнение специальных задач")</f>
        <v>0</v>
      </c>
      <c r="W34" s="1219">
        <f>COUNTIFS(ШТАТ!$AL:$AL,$A34,ШТАТ!$AK:$AK,3,ШТАТ!$AJ:$AJ,"к/с",ШТАТ!$X:$X,"выполнение специальных задач")</f>
        <v>0</v>
      </c>
      <c r="X34" s="1222">
        <f t="shared" si="4"/>
        <v>0</v>
      </c>
      <c r="Y34" s="1219">
        <f>COUNTIFS(ШТАТ!$AL:$AL,$A34,ШТАТ!$AK:$AK,4,ШТАТ!$AJ:$AJ,"с/с",ШТАТ!$X:$X,"выполнение специальных задач")</f>
        <v>0</v>
      </c>
      <c r="Z34" s="1219">
        <f>COUNTIFS(ШТАТ!$AL:$AL,$A34,ШТАТ!$AK:$AK,4,ШТАТ!$AJ:$AJ,"к/с",ШТАТ!$X:$X,"выполнение специальных задач")</f>
        <v>0</v>
      </c>
      <c r="AA34" s="1222">
        <f t="shared" si="5"/>
        <v>0</v>
      </c>
      <c r="AB34" s="1221">
        <f t="shared" si="15"/>
        <v>0</v>
      </c>
      <c r="AC34" s="1224"/>
      <c r="AD34" s="1219">
        <f>COUNTIFS(ШТАТ!$AL:$AL,$A34,ШТАТ!$AK:$AK,1,ШТАТ!$AJ:$AJ,"о",ШТАТ!$W:$W,"г. Белгород")</f>
        <v>0</v>
      </c>
      <c r="AE34" s="1219">
        <f>COUNTIFS(ШТАТ!$AL:$AL,$A34,ШТАТ!$AK:$AK,2,ШТАТ!$AJ:$AJ,"п",ШТАТ!$W:$W,"г. Белгород")</f>
        <v>0</v>
      </c>
      <c r="AF34" s="1219">
        <f>COUNTIFS(ШТАТ!$AL:$AL,$A34,ШТАТ!$AK:$AK,3,ШТАТ!$AJ:$AJ,"с/с",ШТАТ!$W:$W,"г. Белгород")</f>
        <v>0</v>
      </c>
      <c r="AG34" s="1219">
        <f>COUNTIFS(ШТАТ!$AL:$AL,$A34,ШТАТ!$AK:$AK,3,ШТАТ!$AJ:$AJ,"к/с",ШТАТ!$W:$W,"г. Белгород")</f>
        <v>0</v>
      </c>
      <c r="AH34" s="1222">
        <f t="shared" si="6"/>
        <v>0</v>
      </c>
      <c r="AI34" s="1219">
        <f>COUNTIFS(ШТАТ!$AL:$AL,$A34,ШТАТ!$AK:$AK,4,ШТАТ!$AJ:$AJ,"с/с",ШТАТ!$W:$W,"г. Белгород")</f>
        <v>0</v>
      </c>
      <c r="AJ34" s="1219">
        <f>COUNTIFS(ШТАТ!$AL:$AL,$A34,ШТАТ!$AK:$AK,4,ШТАТ!$AJ:$AJ,"к/с",ШТАТ!$W:$W,"г. Белгород")</f>
        <v>0</v>
      </c>
      <c r="AK34" s="1222">
        <f t="shared" si="7"/>
        <v>0</v>
      </c>
      <c r="AL34" s="1221">
        <f t="shared" si="16"/>
        <v>0</v>
      </c>
      <c r="AM34" s="1219">
        <f>COUNTIFS(ШТАТ!$AL:$AL,$A34,ШТАТ!$AK:$AK,1,ШТАТ!$AJ:$AJ,"о",ШТАТ!$U:$U,"")</f>
        <v>4</v>
      </c>
      <c r="AN34" s="1219">
        <f>COUNTIFS(ШТАТ!$AL:$AL,$A34,ШТАТ!$AK:$AK,2,ШТАТ!$AJ:$AJ,"п",ШТАТ!$U:$U,"")</f>
        <v>0</v>
      </c>
      <c r="AO34" s="1219">
        <f>COUNTIFS(ШТАТ!$AL:$AL,$A34,ШТАТ!$AK:$AK,3,ШТАТ!$AJ:$AJ,"с/с",ШТАТ!$U:$U,"")</f>
        <v>0</v>
      </c>
      <c r="AP34" s="1219">
        <f>COUNTIFS(ШТАТ!$AL:$AL,$A34,ШТАТ!$AK:$AK,3,ШТАТ!$AJ:$AJ,"к/с",ШТАТ!$U:$U,"")</f>
        <v>0</v>
      </c>
      <c r="AQ34" s="1222">
        <f t="shared" si="17"/>
        <v>0</v>
      </c>
      <c r="AR34" s="1219">
        <f>COUNTIFS(ШТАТ!$AL:$AL,$A34,ШТАТ!$AK:$AK,4,ШТАТ!$AJ:$AJ,"с/с",ШТАТ!$U:$U,"")</f>
        <v>0</v>
      </c>
      <c r="AS34" s="1219">
        <f>COUNTIFS(ШТАТ!$AL:$AL,$A34,ШТАТ!$AK:$AK,4,ШТАТ!$AJ:$AJ,"к/с",ШТАТ!$U:$U,"")</f>
        <v>0</v>
      </c>
      <c r="AT34" s="1222">
        <f t="shared" si="8"/>
        <v>0</v>
      </c>
      <c r="AU34" s="1221">
        <f t="shared" si="18"/>
        <v>4</v>
      </c>
      <c r="AV34" s="1219">
        <f>COUNTIFS(ШТАТ!$AL:$AL,$A34,ШТАТ!$U:$U,"госп")</f>
        <v>0</v>
      </c>
      <c r="AW34" s="1225">
        <f t="shared" si="9"/>
        <v>0</v>
      </c>
      <c r="AX34" s="1219">
        <f>COUNTIFS(ШТАТ!$AL:$AL,$A34,ШТАТ!$U:$U,"отпуск")</f>
        <v>0</v>
      </c>
      <c r="AY34" s="1219">
        <f>COUNTIFS(ШТАТ!$AL:$AL,$A34,ШТАТ!$U:$U,"соч")</f>
        <v>0</v>
      </c>
      <c r="AZ34" s="1225"/>
      <c r="BA34" s="1219">
        <f>COUNTIFS(ШТАТ!$AL:$AL,$A34,ШТАТ!$U:$U,"МП")</f>
        <v>0</v>
      </c>
      <c r="BB34" s="1226"/>
      <c r="BC34" s="1226"/>
      <c r="BD34" s="1219"/>
      <c r="BE34" s="1226"/>
      <c r="BF34" s="1226"/>
      <c r="BG34" s="1226"/>
      <c r="BH34" s="1226"/>
      <c r="BI34" s="1226"/>
      <c r="BJ34" s="1226"/>
      <c r="BK34" s="1226"/>
      <c r="BL34" s="1226"/>
      <c r="BM34" s="1226"/>
      <c r="BN34" s="1226"/>
      <c r="BO34" s="1226"/>
      <c r="BP34" s="1226"/>
      <c r="BQ34" s="1226"/>
      <c r="BR34" s="1226"/>
      <c r="BS34" s="1226"/>
      <c r="BT34" s="1226"/>
      <c r="BU34" s="1226"/>
      <c r="BV34" s="1226"/>
      <c r="BW34" s="1226"/>
      <c r="BX34" s="1226"/>
      <c r="BY34" s="1226"/>
      <c r="BZ34" s="1226"/>
      <c r="CA34" s="1226"/>
      <c r="CB34" s="1226"/>
      <c r="CC34" s="1226"/>
      <c r="CD34" s="1226"/>
      <c r="CE34" s="1226"/>
      <c r="CF34" s="1226"/>
      <c r="CG34" s="1226"/>
      <c r="CH34" s="1226"/>
      <c r="CI34" s="1226"/>
      <c r="CJ34" s="1226"/>
      <c r="CK34" s="1226"/>
      <c r="CL34" s="1226"/>
      <c r="CM34" s="1226"/>
      <c r="CN34" s="1226"/>
      <c r="CO34" s="1226"/>
      <c r="CP34" s="1226"/>
      <c r="CQ34" s="1226"/>
      <c r="CR34" s="1226"/>
      <c r="CS34" s="1226"/>
      <c r="CT34" s="1226"/>
      <c r="CU34" s="1226"/>
      <c r="CV34" s="1226"/>
      <c r="CW34" s="1226"/>
      <c r="CX34" s="1226"/>
      <c r="CY34" s="1226"/>
      <c r="CZ34" s="1226"/>
      <c r="DA34" s="1226"/>
      <c r="DB34" s="1226"/>
      <c r="DC34" s="1226"/>
      <c r="DD34" s="1226"/>
      <c r="DE34" s="1226"/>
      <c r="DF34" s="1226"/>
      <c r="DG34" s="1226"/>
      <c r="DH34" s="1226"/>
      <c r="DI34" s="1226"/>
      <c r="DJ34" s="1226"/>
      <c r="DK34" s="1226"/>
      <c r="DL34" s="1226"/>
      <c r="DM34" s="1226"/>
      <c r="DN34" s="1226"/>
      <c r="DO34" s="1226"/>
      <c r="DP34" s="1226"/>
      <c r="DQ34" s="1226"/>
      <c r="DR34" s="1226"/>
      <c r="DS34" s="1226"/>
      <c r="DT34" s="1226"/>
      <c r="DU34" s="1226"/>
      <c r="DV34" s="1226">
        <f>COUNTIFS(ШТАТ!$AN:$AN,"Урал-4320-31",ШТАТ!AL:AL,"Управление")</f>
        <v>0</v>
      </c>
      <c r="DW34" s="1226"/>
      <c r="DX34" s="1226"/>
      <c r="DY34" s="1226"/>
      <c r="DZ34" s="1226"/>
      <c r="EA34" s="1226"/>
      <c r="EB34" s="1226"/>
      <c r="EC34" s="1226"/>
      <c r="ED34" s="1226"/>
      <c r="EE34" s="1226"/>
      <c r="EF34" s="1226"/>
      <c r="EG34" s="1226"/>
      <c r="EH34" s="1226"/>
      <c r="EI34" s="1226"/>
      <c r="EJ34" s="1226"/>
      <c r="EK34" s="1226"/>
      <c r="EL34" s="1226"/>
      <c r="EM34" s="1226"/>
      <c r="EN34" s="1226"/>
      <c r="EO34" s="1226"/>
      <c r="EP34" s="1226"/>
      <c r="EQ34" s="1226"/>
      <c r="ER34" s="1226"/>
      <c r="ES34" s="1226"/>
      <c r="ET34" s="1226"/>
      <c r="EU34" s="1226"/>
      <c r="EV34" s="1226"/>
      <c r="EW34" s="1226"/>
      <c r="EX34" s="1226"/>
      <c r="EY34" s="1226"/>
      <c r="EZ34" s="1226"/>
      <c r="FA34" s="1226"/>
      <c r="FB34" s="1226"/>
      <c r="FC34" s="1226"/>
      <c r="FD34" s="1226"/>
      <c r="FE34" s="1226"/>
      <c r="FF34" s="1226"/>
      <c r="FG34" s="1226"/>
      <c r="FH34" s="1226"/>
      <c r="FI34" s="1226"/>
      <c r="FJ34" s="1226"/>
      <c r="FK34" s="1226"/>
      <c r="FL34" s="1226"/>
      <c r="FM34" s="1226"/>
      <c r="FN34" s="1226"/>
      <c r="FO34" s="1226"/>
      <c r="FP34" s="1226"/>
      <c r="FQ34" s="1226"/>
      <c r="FR34" s="1226"/>
    </row>
    <row r="35" spans="1:174" ht="33" x14ac:dyDescent="0.25">
      <c r="A35" s="1227" t="s">
        <v>494</v>
      </c>
      <c r="B35" s="1227"/>
      <c r="C35" s="1275">
        <f>AW35</f>
        <v>51</v>
      </c>
      <c r="D35" s="1277" t="s">
        <v>4806</v>
      </c>
      <c r="E35" s="1219">
        <f>COUNTIFS(ШТАТ!$AL:$AL,'БЧС Дерябин'!$A35,ШТАТ!$AK:$AK,1)</f>
        <v>5</v>
      </c>
      <c r="F35" s="1219">
        <f>COUNTIFS(ШТАТ!$AL:$AL,'БЧС Дерябин'!$A35,ШТАТ!$AK:$AK,2)</f>
        <v>3</v>
      </c>
      <c r="G35" s="1219">
        <f>COUNTIFS(ШТАТ!$AL:$AL,'БЧС Дерябин'!$A35,ШТАТ!$AK:$AK,3)</f>
        <v>10</v>
      </c>
      <c r="H35" s="1219">
        <f>COUNTIFS(ШТАТ!$AL:$AL,'БЧС Дерябин'!$A35,ШТАТ!$AK:$AK,4)</f>
        <v>76</v>
      </c>
      <c r="I35" s="1221">
        <f t="shared" si="3"/>
        <v>94</v>
      </c>
      <c r="J35" s="1219">
        <f>COUNTIFS(ШТАТ!AL:AL,A35,ШТАТ!AJ:AJ,"о")</f>
        <v>5</v>
      </c>
      <c r="K35" s="1219">
        <f>COUNTIFS(ШТАТ!AL:AL,A35,ШТАТ!AJ:AJ,"п")</f>
        <v>2</v>
      </c>
      <c r="L35" s="1219">
        <f>COUNTIFS(ШТАТ!$AL:$AL,$A35,ШТАТ!AK:AK,3,ШТАТ!AJ:AJ,"с/с")</f>
        <v>0</v>
      </c>
      <c r="M35" s="1219">
        <f>COUNTIFS(ШТАТ!$AL:$AL,$A35,ШТАТ!AK:AK,3,ШТАТ!AJ:AJ,"к/с")</f>
        <v>7</v>
      </c>
      <c r="N35" s="1222">
        <f t="shared" si="11"/>
        <v>7</v>
      </c>
      <c r="O35" s="1220">
        <f>COUNTIFS(ШТАТ!$AL:$AL,$A35,ШТАТ!AK:AK,4,ШТАТ!AJ:AJ,"с/с")</f>
        <v>47</v>
      </c>
      <c r="P35" s="1220">
        <f>COUNTIFS(ШТАТ!$AL:$AL,$A35,ШТАТ!AK:AK,4,ШТАТ!AJ:AJ,"к/с")</f>
        <v>26</v>
      </c>
      <c r="Q35" s="1222">
        <f t="shared" si="12"/>
        <v>73</v>
      </c>
      <c r="R35" s="1221">
        <f t="shared" si="13"/>
        <v>87</v>
      </c>
      <c r="S35" s="1223">
        <f t="shared" si="14"/>
        <v>0.92553191489361697</v>
      </c>
      <c r="T35" s="1219">
        <f>COUNTIFS(ШТАТ!$AL:$AL,$A35,ШТАТ!$AJ:$AJ,"о",ШТАТ!$X:$X,"выполнение специальных задач")</f>
        <v>2</v>
      </c>
      <c r="U35" s="1219">
        <f>COUNTIFS(ШТАТ!$AL:$AL,$A35,ШТАТ!$AJ:$AJ,"п",ШТАТ!$X:$X,"выполнение специальных задач")</f>
        <v>0</v>
      </c>
      <c r="V35" s="1219">
        <f>COUNTIFS(ШТАТ!$AL:$AL,$A35,ШТАТ!$AK:$AK,3,ШТАТ!$AJ:$AJ,"с/с",ШТАТ!$X:$X,"выполнение специальных задач")</f>
        <v>0</v>
      </c>
      <c r="W35" s="1219">
        <f>COUNTIFS(ШТАТ!$AL:$AL,$A35,ШТАТ!$AK:$AK,3,ШТАТ!$AJ:$AJ,"к/с",ШТАТ!$X:$X,"выполнение специальных задач")</f>
        <v>3</v>
      </c>
      <c r="X35" s="1222">
        <f t="shared" si="4"/>
        <v>3</v>
      </c>
      <c r="Y35" s="1219">
        <f>COUNTIFS(ШТАТ!$AL:$AL,$A35,ШТАТ!$AK:$AK,4,ШТАТ!$AJ:$AJ,"с/с",ШТАТ!$X:$X,"выполнение специальных задач")</f>
        <v>0</v>
      </c>
      <c r="Z35" s="1219">
        <f>COUNTIFS(ШТАТ!$AL:$AL,$A35,ШТАТ!$AK:$AK,4,ШТАТ!$AJ:$AJ,"к/с",ШТАТ!$X:$X,"выполнение специальных задач")</f>
        <v>2</v>
      </c>
      <c r="AA35" s="1222">
        <f t="shared" si="5"/>
        <v>2</v>
      </c>
      <c r="AB35" s="1221">
        <f t="shared" si="15"/>
        <v>7</v>
      </c>
      <c r="AC35" s="1224"/>
      <c r="AD35" s="1219">
        <f>COUNTIFS(ШТАТ!$AL:$AL,$A35,ШТАТ!$AK:$AK,1,ШТАТ!$AJ:$AJ,"о",ШТАТ!$W:$W,"г. Белгород")</f>
        <v>0</v>
      </c>
      <c r="AE35" s="1219">
        <f>COUNTIFS(ШТАТ!$AL:$AL,$A35,ШТАТ!$AK:$AK,2,ШТАТ!$AJ:$AJ,"п",ШТАТ!$W:$W,"г. Белгород")</f>
        <v>0</v>
      </c>
      <c r="AF35" s="1219">
        <f>COUNTIFS(ШТАТ!$AL:$AL,$A35,ШТАТ!$AK:$AK,3,ШТАТ!$AJ:$AJ,"с/с",ШТАТ!$W:$W,"г. Белгород")</f>
        <v>0</v>
      </c>
      <c r="AG35" s="1219">
        <f>COUNTIFS(ШТАТ!$AL:$AL,$A35,ШТАТ!$AK:$AK,3,ШТАТ!$AJ:$AJ,"к/с",ШТАТ!$W:$W,"г. Белгород")</f>
        <v>1</v>
      </c>
      <c r="AH35" s="1222">
        <f t="shared" si="6"/>
        <v>1</v>
      </c>
      <c r="AI35" s="1219">
        <f>COUNTIFS(ШТАТ!$AL:$AL,$A35,ШТАТ!$AK:$AK,4,ШТАТ!$AJ:$AJ,"с/с",ШТАТ!$W:$W,"г. Белгород")</f>
        <v>0</v>
      </c>
      <c r="AJ35" s="1219">
        <f>COUNTIFS(ШТАТ!$AL:$AL,$A35,ШТАТ!$AK:$AK,4,ШТАТ!$AJ:$AJ,"к/с",ШТАТ!$W:$W,"г. Белгород")</f>
        <v>10</v>
      </c>
      <c r="AK35" s="1222">
        <f t="shared" si="7"/>
        <v>10</v>
      </c>
      <c r="AL35" s="1221">
        <f t="shared" si="16"/>
        <v>11</v>
      </c>
      <c r="AM35" s="1219">
        <f>COUNTIFS(ШТАТ!$AL:$AL,$A35,ШТАТ!$AK:$AK,1,ШТАТ!$AJ:$AJ,"о",ШТАТ!$U:$U,"")</f>
        <v>2</v>
      </c>
      <c r="AN35" s="1219">
        <f>COUNTIFS(ШТАТ!$AL:$AL,$A35,ШТАТ!$AK:$AK,2,ШТАТ!$AJ:$AJ,"п",ШТАТ!$U:$U,"")</f>
        <v>0</v>
      </c>
      <c r="AO35" s="1219">
        <f>COUNTIFS(ШТАТ!$AL:$AL,$A35,ШТАТ!$AK:$AK,3,ШТАТ!$AJ:$AJ,"с/с",ШТАТ!$U:$U,"")</f>
        <v>0</v>
      </c>
      <c r="AP35" s="1219">
        <f>COUNTIFS(ШТАТ!$AL:$AL,$A35,ШТАТ!$AK:$AK,3,ШТАТ!$AJ:$AJ,"к/с",ШТАТ!$U:$U,"")</f>
        <v>1</v>
      </c>
      <c r="AQ35" s="1222">
        <f t="shared" si="17"/>
        <v>1</v>
      </c>
      <c r="AR35" s="1219">
        <f>COUNTIFS(ШТАТ!$AL:$AL,$A35,ШТАТ!$AK:$AK,4,ШТАТ!$AJ:$AJ,"с/с",ШТАТ!$U:$U,"")</f>
        <v>0</v>
      </c>
      <c r="AS35" s="1219">
        <f>COUNTIFS(ШТАТ!$AL:$AL,$A35,ШТАТ!$AK:$AK,4,ШТАТ!$AJ:$AJ,"к/с",ШТАТ!$U:$U,"")</f>
        <v>7</v>
      </c>
      <c r="AT35" s="1222">
        <f t="shared" si="8"/>
        <v>7</v>
      </c>
      <c r="AU35" s="1221">
        <f t="shared" si="18"/>
        <v>10</v>
      </c>
      <c r="AV35" s="1219">
        <f>COUNTIFS(ШТАТ!$AL:$AL,$A35,ШТАТ!$U:$U,"госп")</f>
        <v>1</v>
      </c>
      <c r="AW35" s="1225">
        <f t="shared" si="9"/>
        <v>51</v>
      </c>
      <c r="AX35" s="1219">
        <f>COUNTIFS(ШТАТ!$AL:$AL,$A35,ШТАТ!$U:$U,"отпуск")</f>
        <v>1</v>
      </c>
      <c r="AY35" s="1219">
        <f>COUNTIFS(ШТАТ!$AL:$AL,$A35,ШТАТ!$U:$U,"соч")</f>
        <v>6</v>
      </c>
      <c r="AZ35" s="1225"/>
      <c r="BA35" s="1219">
        <f>COUNTIFS(ШТАТ!$AL:$AL,$A35,ШТАТ!$U:$U,"МП")</f>
        <v>0</v>
      </c>
      <c r="BB35" s="1226"/>
      <c r="BC35" s="1226"/>
      <c r="BD35" s="1219"/>
      <c r="BE35" s="1226"/>
      <c r="BF35" s="1226"/>
      <c r="BG35" s="1226"/>
      <c r="BH35" s="1226"/>
      <c r="BI35" s="1226"/>
      <c r="BJ35" s="1226"/>
      <c r="BK35" s="1226"/>
      <c r="BL35" s="1226"/>
      <c r="BM35" s="1226"/>
      <c r="BN35" s="1226"/>
      <c r="BO35" s="1226"/>
      <c r="BP35" s="1226"/>
      <c r="BQ35" s="1226"/>
      <c r="BR35" s="1226"/>
      <c r="BS35" s="1226"/>
      <c r="BT35" s="1226"/>
      <c r="BU35" s="1226"/>
      <c r="BV35" s="1226"/>
      <c r="BW35" s="1226"/>
      <c r="BX35" s="1226"/>
      <c r="BY35" s="1226"/>
      <c r="BZ35" s="1226"/>
      <c r="CA35" s="1226"/>
      <c r="CB35" s="1226"/>
      <c r="CC35" s="1226"/>
      <c r="CD35" s="1226"/>
      <c r="CE35" s="1226"/>
      <c r="CF35" s="1226"/>
      <c r="CG35" s="1226"/>
      <c r="CH35" s="1226"/>
      <c r="CI35" s="1226"/>
      <c r="CJ35" s="1226"/>
      <c r="CK35" s="1226"/>
      <c r="CL35" s="1226"/>
      <c r="CM35" s="1226"/>
      <c r="CN35" s="1226"/>
      <c r="CO35" s="1226"/>
      <c r="CP35" s="1226"/>
      <c r="CQ35" s="1226"/>
      <c r="CR35" s="1226"/>
      <c r="CS35" s="1226"/>
      <c r="CT35" s="1226"/>
      <c r="CU35" s="1226"/>
      <c r="CV35" s="1226"/>
      <c r="CW35" s="1226"/>
      <c r="CX35" s="1226"/>
      <c r="CY35" s="1226"/>
      <c r="CZ35" s="1226"/>
      <c r="DA35" s="1226"/>
      <c r="DB35" s="1226"/>
      <c r="DC35" s="1226"/>
      <c r="DD35" s="1226">
        <v>10</v>
      </c>
      <c r="DE35" s="1226"/>
      <c r="DF35" s="1226"/>
      <c r="DG35" s="1226"/>
      <c r="DH35" s="1226"/>
      <c r="DI35" s="1226"/>
      <c r="DJ35" s="1226"/>
      <c r="DK35" s="1226"/>
      <c r="DL35" s="1226"/>
      <c r="DM35" s="1226"/>
      <c r="DN35" s="1226"/>
      <c r="DO35" s="1226"/>
      <c r="DP35" s="1226"/>
      <c r="DQ35" s="1226"/>
      <c r="DR35" s="1226"/>
      <c r="DS35" s="1226"/>
      <c r="DT35" s="1226"/>
      <c r="DU35" s="1226"/>
      <c r="DV35" s="1226">
        <f>COUNTIFS(ШТАТ!$AN:$AN,"Урал-4320-31",ШТАТ!AL:AL,"Управление")</f>
        <v>0</v>
      </c>
      <c r="DW35" s="1226"/>
      <c r="DX35" s="1226"/>
      <c r="DY35" s="1226"/>
      <c r="DZ35" s="1226"/>
      <c r="EA35" s="1226"/>
      <c r="EB35" s="1226"/>
      <c r="EC35" s="1226"/>
      <c r="ED35" s="1226"/>
      <c r="EE35" s="1226"/>
      <c r="EF35" s="1226"/>
      <c r="EG35" s="1226"/>
      <c r="EH35" s="1226"/>
      <c r="EI35" s="1226"/>
      <c r="EJ35" s="1226"/>
      <c r="EK35" s="1226"/>
      <c r="EL35" s="1226"/>
      <c r="EM35" s="1226"/>
      <c r="EN35" s="1226"/>
      <c r="EO35" s="1226"/>
      <c r="EP35" s="1226"/>
      <c r="EQ35" s="1226"/>
      <c r="ER35" s="1226"/>
      <c r="ES35" s="1226"/>
      <c r="ET35" s="1226"/>
      <c r="EU35" s="1226"/>
      <c r="EV35" s="1226"/>
      <c r="EW35" s="1226"/>
      <c r="EX35" s="1226"/>
      <c r="EY35" s="1226"/>
      <c r="EZ35" s="1226"/>
      <c r="FA35" s="1226"/>
      <c r="FB35" s="1226"/>
      <c r="FC35" s="1226"/>
      <c r="FD35" s="1226"/>
      <c r="FE35" s="1226"/>
      <c r="FF35" s="1226"/>
      <c r="FG35" s="1226"/>
      <c r="FH35" s="1226"/>
      <c r="FI35" s="1226"/>
      <c r="FJ35" s="1226"/>
      <c r="FK35" s="1226"/>
      <c r="FL35" s="1226"/>
      <c r="FM35" s="1226"/>
      <c r="FN35" s="1226"/>
      <c r="FO35" s="1226"/>
      <c r="FP35" s="1226"/>
      <c r="FQ35" s="1226"/>
      <c r="FR35" s="1226"/>
    </row>
    <row r="36" spans="1:174" ht="33" x14ac:dyDescent="0.25">
      <c r="A36" s="1227" t="s">
        <v>496</v>
      </c>
      <c r="B36" s="1227"/>
      <c r="C36" s="1275">
        <f t="shared" ref="C36:C43" si="24">AU36</f>
        <v>35</v>
      </c>
      <c r="D36" s="1276" t="s">
        <v>4805</v>
      </c>
      <c r="E36" s="1219">
        <f>COUNTIFS(ШТАТ!$AL:$AL,'БЧС Дерябин'!$A36,ШТАТ!$AK:$AK,1)</f>
        <v>5</v>
      </c>
      <c r="F36" s="1219">
        <f>COUNTIFS(ШТАТ!$AL:$AL,'БЧС Дерябин'!$A36,ШТАТ!$AK:$AK,2)</f>
        <v>3</v>
      </c>
      <c r="G36" s="1219">
        <f>COUNTIFS(ШТАТ!$AL:$AL,'БЧС Дерябин'!$A36,ШТАТ!$AK:$AK,3)</f>
        <v>10</v>
      </c>
      <c r="H36" s="1219">
        <f>COUNTIFS(ШТАТ!$AL:$AL,'БЧС Дерябин'!$A36,ШТАТ!$AK:$AK,4)</f>
        <v>76</v>
      </c>
      <c r="I36" s="1221">
        <f t="shared" si="3"/>
        <v>94</v>
      </c>
      <c r="J36" s="1219">
        <f>COUNTIFS(ШТАТ!AL:AL,A36,ШТАТ!AJ:AJ,"о")</f>
        <v>4</v>
      </c>
      <c r="K36" s="1219">
        <f>COUNTIFS(ШТАТ!AL:AL,A36,ШТАТ!AJ:AJ,"п")</f>
        <v>2</v>
      </c>
      <c r="L36" s="1219">
        <f>COUNTIFS(ШТАТ!$AL:$AL,$A36,ШТАТ!AK:AK,3,ШТАТ!AJ:AJ,"с/с")</f>
        <v>0</v>
      </c>
      <c r="M36" s="1219">
        <f>COUNTIFS(ШТАТ!$AL:$AL,$A36,ШТАТ!AK:AK,3,ШТАТ!AJ:AJ,"к/с")</f>
        <v>8</v>
      </c>
      <c r="N36" s="1222">
        <f t="shared" si="11"/>
        <v>8</v>
      </c>
      <c r="O36" s="1220">
        <f>COUNTIFS(ШТАТ!$AL:$AL,$A36,ШТАТ!AK:AK,4,ШТАТ!AJ:AJ,"с/с")</f>
        <v>22</v>
      </c>
      <c r="P36" s="1220">
        <f>COUNTIFS(ШТАТ!$AL:$AL,$A36,ШТАТ!AK:AK,4,ШТАТ!AJ:AJ,"к/с")</f>
        <v>54</v>
      </c>
      <c r="Q36" s="1222">
        <f t="shared" si="12"/>
        <v>76</v>
      </c>
      <c r="R36" s="1221">
        <f t="shared" si="13"/>
        <v>90</v>
      </c>
      <c r="S36" s="1223">
        <f t="shared" si="14"/>
        <v>0.95744680851063835</v>
      </c>
      <c r="T36" s="1219">
        <f>COUNTIFS(ШТАТ!$AL:$AL,$A36,ШТАТ!$AJ:$AJ,"о",ШТАТ!$X:$X,"выполнение специальных задач")</f>
        <v>1</v>
      </c>
      <c r="U36" s="1219">
        <f>COUNTIFS(ШТАТ!$AL:$AL,$A36,ШТАТ!$AJ:$AJ,"п",ШТАТ!$X:$X,"выполнение специальных задач")</f>
        <v>0</v>
      </c>
      <c r="V36" s="1219">
        <f>COUNTIFS(ШТАТ!$AL:$AL,$A36,ШТАТ!$AK:$AK,3,ШТАТ!$AJ:$AJ,"с/с",ШТАТ!$X:$X,"выполнение специальных задач")</f>
        <v>0</v>
      </c>
      <c r="W36" s="1219">
        <f>COUNTIFS(ШТАТ!$AL:$AL,$A36,ШТАТ!$AK:$AK,3,ШТАТ!$AJ:$AJ,"к/с",ШТАТ!$X:$X,"выполнение специальных задач")</f>
        <v>2</v>
      </c>
      <c r="X36" s="1222">
        <f t="shared" si="4"/>
        <v>2</v>
      </c>
      <c r="Y36" s="1219">
        <f>COUNTIFS(ШТАТ!$AL:$AL,$A36,ШТАТ!$AK:$AK,4,ШТАТ!$AJ:$AJ,"с/с",ШТАТ!$X:$X,"выполнение специальных задач")</f>
        <v>0</v>
      </c>
      <c r="Z36" s="1219">
        <f>COUNTIFS(ШТАТ!$AL:$AL,$A36,ШТАТ!$AK:$AK,4,ШТАТ!$AJ:$AJ,"к/с",ШТАТ!$X:$X,"выполнение специальных задач")</f>
        <v>11</v>
      </c>
      <c r="AA36" s="1222">
        <f t="shared" si="5"/>
        <v>11</v>
      </c>
      <c r="AB36" s="1221">
        <f t="shared" si="15"/>
        <v>14</v>
      </c>
      <c r="AC36" s="1224"/>
      <c r="AD36" s="1219">
        <f>COUNTIFS(ШТАТ!$AL:$AL,$A36,ШТАТ!$AK:$AK,1,ШТАТ!$AJ:$AJ,"о",ШТАТ!$W:$W,"г. Белгород")</f>
        <v>0</v>
      </c>
      <c r="AE36" s="1219">
        <f>COUNTIFS(ШТАТ!$AL:$AL,$A36,ШТАТ!$AK:$AK,2,ШТАТ!$AJ:$AJ,"п",ШТАТ!$W:$W,"г. Белгород")</f>
        <v>0</v>
      </c>
      <c r="AF36" s="1219">
        <f>COUNTIFS(ШТАТ!$AL:$AL,$A36,ШТАТ!$AK:$AK,3,ШТАТ!$AJ:$AJ,"с/с",ШТАТ!$W:$W,"г. Белгород")</f>
        <v>0</v>
      </c>
      <c r="AG36" s="1219">
        <f>COUNTIFS(ШТАТ!$AL:$AL,$A36,ШТАТ!$AK:$AK,3,ШТАТ!$AJ:$AJ,"к/с",ШТАТ!$W:$W,"г. Белгород")</f>
        <v>2</v>
      </c>
      <c r="AH36" s="1222">
        <f t="shared" si="6"/>
        <v>2</v>
      </c>
      <c r="AI36" s="1219">
        <f>COUNTIFS(ШТАТ!$AL:$AL,$A36,ШТАТ!$AK:$AK,4,ШТАТ!$AJ:$AJ,"с/с",ШТАТ!$W:$W,"г. Белгород")</f>
        <v>0</v>
      </c>
      <c r="AJ36" s="1219">
        <f>COUNTIFS(ШТАТ!$AL:$AL,$A36,ШТАТ!$AK:$AK,4,ШТАТ!$AJ:$AJ,"к/с",ШТАТ!$W:$W,"г. Белгород")</f>
        <v>11</v>
      </c>
      <c r="AK36" s="1222">
        <f t="shared" si="7"/>
        <v>11</v>
      </c>
      <c r="AL36" s="1221">
        <f t="shared" si="16"/>
        <v>13</v>
      </c>
      <c r="AM36" s="1219">
        <f>COUNTIFS(ШТАТ!$AL:$AL,$A36,ШТАТ!$AK:$AK,1,ШТАТ!$AJ:$AJ,"о",ШТАТ!$U:$U,"")</f>
        <v>3</v>
      </c>
      <c r="AN36" s="1219">
        <f>COUNTIFS(ШТАТ!$AL:$AL,$A36,ШТАТ!$AK:$AK,2,ШТАТ!$AJ:$AJ,"п",ШТАТ!$U:$U,"")</f>
        <v>1</v>
      </c>
      <c r="AO36" s="1219">
        <f>COUNTIFS(ШТАТ!$AL:$AL,$A36,ШТАТ!$AK:$AK,3,ШТАТ!$AJ:$AJ,"с/с",ШТАТ!$U:$U,"")</f>
        <v>0</v>
      </c>
      <c r="AP36" s="1219">
        <f>COUNTIFS(ШТАТ!$AL:$AL,$A36,ШТАТ!$AK:$AK,3,ШТАТ!$AJ:$AJ,"к/с",ШТАТ!$U:$U,"")</f>
        <v>3</v>
      </c>
      <c r="AQ36" s="1222">
        <f t="shared" si="17"/>
        <v>3</v>
      </c>
      <c r="AR36" s="1219">
        <f>COUNTIFS(ШТАТ!$AL:$AL,$A36,ШТАТ!$AK:$AK,4,ШТАТ!$AJ:$AJ,"с/с",ШТАТ!$U:$U,"")</f>
        <v>15</v>
      </c>
      <c r="AS36" s="1219">
        <f>COUNTIFS(ШТАТ!$AL:$AL,$A36,ШТАТ!$AK:$AK,4,ШТАТ!$AJ:$AJ,"к/с",ШТАТ!$U:$U,"")</f>
        <v>13</v>
      </c>
      <c r="AT36" s="1222">
        <f t="shared" si="8"/>
        <v>28</v>
      </c>
      <c r="AU36" s="1221">
        <f t="shared" si="18"/>
        <v>35</v>
      </c>
      <c r="AV36" s="1219">
        <f>COUNTIFS(ШТАТ!$AL:$AL,$A36,ШТАТ!$U:$U,"госп")</f>
        <v>1</v>
      </c>
      <c r="AW36" s="1225">
        <f t="shared" si="9"/>
        <v>18</v>
      </c>
      <c r="AX36" s="1219">
        <f>COUNTIFS(ШТАТ!$AL:$AL,$A36,ШТАТ!$U:$U,"отпуск")</f>
        <v>0</v>
      </c>
      <c r="AY36" s="1219">
        <f>COUNTIFS(ШТАТ!$AL:$AL,$A36,ШТАТ!$U:$U,"соч")</f>
        <v>9</v>
      </c>
      <c r="AZ36" s="1225"/>
      <c r="BA36" s="1219">
        <f>COUNTIFS(ШТАТ!$AL:$AL,$A36,ШТАТ!$U:$U,"МП")</f>
        <v>0</v>
      </c>
      <c r="BB36" s="1226"/>
      <c r="BC36" s="1226"/>
      <c r="BD36" s="1219"/>
      <c r="BE36" s="1226"/>
      <c r="BF36" s="1226"/>
      <c r="BG36" s="1226"/>
      <c r="BH36" s="1226"/>
      <c r="BI36" s="1226"/>
      <c r="BJ36" s="1226"/>
      <c r="BK36" s="1226"/>
      <c r="BL36" s="1226"/>
      <c r="BM36" s="1226"/>
      <c r="BN36" s="1226"/>
      <c r="BO36" s="1226"/>
      <c r="BP36" s="1226"/>
      <c r="BQ36" s="1226"/>
      <c r="BR36" s="1226"/>
      <c r="BS36" s="1226"/>
      <c r="BT36" s="1226"/>
      <c r="BU36" s="1226"/>
      <c r="BV36" s="1226"/>
      <c r="BW36" s="1226"/>
      <c r="BX36" s="1226"/>
      <c r="BY36" s="1226"/>
      <c r="BZ36" s="1226"/>
      <c r="CA36" s="1226"/>
      <c r="CB36" s="1226"/>
      <c r="CC36" s="1226"/>
      <c r="CD36" s="1226"/>
      <c r="CE36" s="1226"/>
      <c r="CF36" s="1226"/>
      <c r="CG36" s="1226"/>
      <c r="CH36" s="1226"/>
      <c r="CI36" s="1226"/>
      <c r="CJ36" s="1226"/>
      <c r="CK36" s="1226"/>
      <c r="CL36" s="1226"/>
      <c r="CM36" s="1226"/>
      <c r="CN36" s="1226"/>
      <c r="CO36" s="1226"/>
      <c r="CP36" s="1226"/>
      <c r="CQ36" s="1226"/>
      <c r="CR36" s="1226"/>
      <c r="CS36" s="1226"/>
      <c r="CT36" s="1226"/>
      <c r="CU36" s="1226"/>
      <c r="CV36" s="1226"/>
      <c r="CW36" s="1226"/>
      <c r="CX36" s="1226"/>
      <c r="CY36" s="1226"/>
      <c r="CZ36" s="1226"/>
      <c r="DA36" s="1226"/>
      <c r="DB36" s="1226"/>
      <c r="DC36" s="1226"/>
      <c r="DD36" s="1226">
        <v>10</v>
      </c>
      <c r="DE36" s="1226"/>
      <c r="DF36" s="1226"/>
      <c r="DG36" s="1226"/>
      <c r="DH36" s="1226"/>
      <c r="DI36" s="1226"/>
      <c r="DJ36" s="1226"/>
      <c r="DK36" s="1226"/>
      <c r="DL36" s="1226"/>
      <c r="DM36" s="1226"/>
      <c r="DN36" s="1226"/>
      <c r="DO36" s="1226"/>
      <c r="DP36" s="1226"/>
      <c r="DQ36" s="1226"/>
      <c r="DR36" s="1226"/>
      <c r="DS36" s="1226"/>
      <c r="DT36" s="1226"/>
      <c r="DU36" s="1226"/>
      <c r="DV36" s="1226">
        <f>COUNTIFS(ШТАТ!$AN:$AN,"Урал-4320-31",ШТАТ!AL:AL,"Управление")</f>
        <v>0</v>
      </c>
      <c r="DW36" s="1226"/>
      <c r="DX36" s="1226"/>
      <c r="DY36" s="1226"/>
      <c r="DZ36" s="1226"/>
      <c r="EA36" s="1226"/>
      <c r="EB36" s="1226"/>
      <c r="EC36" s="1226"/>
      <c r="ED36" s="1226"/>
      <c r="EE36" s="1226"/>
      <c r="EF36" s="1226"/>
      <c r="EG36" s="1226"/>
      <c r="EH36" s="1226"/>
      <c r="EI36" s="1226"/>
      <c r="EJ36" s="1226"/>
      <c r="EK36" s="1226"/>
      <c r="EL36" s="1226"/>
      <c r="EM36" s="1226"/>
      <c r="EN36" s="1226"/>
      <c r="EO36" s="1226"/>
      <c r="EP36" s="1226"/>
      <c r="EQ36" s="1226"/>
      <c r="ER36" s="1226"/>
      <c r="ES36" s="1226"/>
      <c r="ET36" s="1226"/>
      <c r="EU36" s="1226"/>
      <c r="EV36" s="1226"/>
      <c r="EW36" s="1226"/>
      <c r="EX36" s="1226"/>
      <c r="EY36" s="1226"/>
      <c r="EZ36" s="1226"/>
      <c r="FA36" s="1226"/>
      <c r="FB36" s="1226"/>
      <c r="FC36" s="1226"/>
      <c r="FD36" s="1226"/>
      <c r="FE36" s="1226"/>
      <c r="FF36" s="1226"/>
      <c r="FG36" s="1226"/>
      <c r="FH36" s="1226"/>
      <c r="FI36" s="1226"/>
      <c r="FJ36" s="1226"/>
      <c r="FK36" s="1226"/>
      <c r="FL36" s="1226"/>
      <c r="FM36" s="1226"/>
      <c r="FN36" s="1226"/>
      <c r="FO36" s="1226"/>
      <c r="FP36" s="1226"/>
      <c r="FQ36" s="1226"/>
      <c r="FR36" s="1226"/>
    </row>
    <row r="37" spans="1:174" ht="33" x14ac:dyDescent="0.25">
      <c r="A37" s="1227" t="s">
        <v>497</v>
      </c>
      <c r="B37" s="1227"/>
      <c r="C37" s="1275">
        <f t="shared" si="24"/>
        <v>32</v>
      </c>
      <c r="D37" s="1276" t="s">
        <v>4805</v>
      </c>
      <c r="E37" s="1219">
        <f>COUNTIFS(ШТАТ!$AL:$AL,'БЧС Дерябин'!$A37,ШТАТ!$AK:$AK,1)</f>
        <v>5</v>
      </c>
      <c r="F37" s="1219">
        <f>COUNTIFS(ШТАТ!$AL:$AL,'БЧС Дерябин'!$A37,ШТАТ!$AK:$AK,2)</f>
        <v>3</v>
      </c>
      <c r="G37" s="1219">
        <f>COUNTIFS(ШТАТ!$AL:$AL,'БЧС Дерябин'!$A37,ШТАТ!$AK:$AK,3)</f>
        <v>10</v>
      </c>
      <c r="H37" s="1219">
        <f>COUNTIFS(ШТАТ!$AL:$AL,'БЧС Дерябин'!$A37,ШТАТ!$AK:$AK,4)</f>
        <v>76</v>
      </c>
      <c r="I37" s="1221">
        <f t="shared" si="3"/>
        <v>94</v>
      </c>
      <c r="J37" s="1219">
        <f>COUNTIFS(ШТАТ!AL:AL,A37,ШТАТ!AJ:AJ,"о")</f>
        <v>5</v>
      </c>
      <c r="K37" s="1219">
        <f>COUNTIFS(ШТАТ!AL:AL,A37,ШТАТ!AJ:AJ,"п")</f>
        <v>2</v>
      </c>
      <c r="L37" s="1219">
        <f>COUNTIFS(ШТАТ!$AL:$AL,$A37,ШТАТ!AK:AK,3,ШТАТ!AJ:AJ,"с/с")</f>
        <v>0</v>
      </c>
      <c r="M37" s="1219">
        <f>COUNTIFS(ШТАТ!$AL:$AL,$A37,ШТАТ!AK:AK,3,ШТАТ!AJ:AJ,"к/с")</f>
        <v>9</v>
      </c>
      <c r="N37" s="1222">
        <f t="shared" si="11"/>
        <v>9</v>
      </c>
      <c r="O37" s="1220">
        <f>COUNTIFS(ШТАТ!$AL:$AL,$A37,ШТАТ!AK:AK,4,ШТАТ!AJ:AJ,"с/с")</f>
        <v>25</v>
      </c>
      <c r="P37" s="1220">
        <f>COUNTIFS(ШТАТ!$AL:$AL,$A37,ШТАТ!AK:AK,4,ШТАТ!AJ:AJ,"к/с")</f>
        <v>51</v>
      </c>
      <c r="Q37" s="1222">
        <f t="shared" si="12"/>
        <v>76</v>
      </c>
      <c r="R37" s="1221">
        <f t="shared" si="13"/>
        <v>92</v>
      </c>
      <c r="S37" s="1223">
        <f t="shared" si="14"/>
        <v>0.97872340425531912</v>
      </c>
      <c r="T37" s="1219">
        <f>COUNTIFS(ШТАТ!$AL:$AL,$A37,ШТАТ!$AJ:$AJ,"о",ШТАТ!$X:$X,"выполнение специальных задач")</f>
        <v>0</v>
      </c>
      <c r="U37" s="1219">
        <f>COUNTIFS(ШТАТ!$AL:$AL,$A37,ШТАТ!$AJ:$AJ,"п",ШТАТ!$X:$X,"выполнение специальных задач")</f>
        <v>0</v>
      </c>
      <c r="V37" s="1219">
        <f>COUNTIFS(ШТАТ!$AL:$AL,$A37,ШТАТ!$AK:$AK,3,ШТАТ!$AJ:$AJ,"с/с",ШТАТ!$X:$X,"выполнение специальных задач")</f>
        <v>0</v>
      </c>
      <c r="W37" s="1219">
        <f>COUNTIFS(ШТАТ!$AL:$AL,$A37,ШТАТ!$AK:$AK,3,ШТАТ!$AJ:$AJ,"к/с",ШТАТ!$X:$X,"выполнение специальных задач")</f>
        <v>0</v>
      </c>
      <c r="X37" s="1222">
        <f t="shared" si="4"/>
        <v>0</v>
      </c>
      <c r="Y37" s="1219">
        <f>COUNTIFS(ШТАТ!$AL:$AL,$A37,ШТАТ!$AK:$AK,4,ШТАТ!$AJ:$AJ,"с/с",ШТАТ!$X:$X,"выполнение специальных задач")</f>
        <v>0</v>
      </c>
      <c r="Z37" s="1219">
        <f>COUNTIFS(ШТАТ!$AL:$AL,$A37,ШТАТ!$AK:$AK,4,ШТАТ!$AJ:$AJ,"к/с",ШТАТ!$X:$X,"выполнение специальных задач")</f>
        <v>7</v>
      </c>
      <c r="AA37" s="1222">
        <f t="shared" si="5"/>
        <v>7</v>
      </c>
      <c r="AB37" s="1221">
        <f t="shared" si="15"/>
        <v>7</v>
      </c>
      <c r="AC37" s="1224"/>
      <c r="AD37" s="1219">
        <f>COUNTIFS(ШТАТ!$AL:$AL,$A37,ШТАТ!$AK:$AK,1,ШТАТ!$AJ:$AJ,"о",ШТАТ!$W:$W,"г. Белгород")</f>
        <v>2</v>
      </c>
      <c r="AE37" s="1219">
        <f>COUNTIFS(ШТАТ!$AL:$AL,$A37,ШТАТ!$AK:$AK,2,ШТАТ!$AJ:$AJ,"п",ШТАТ!$W:$W,"г. Белгород")</f>
        <v>0</v>
      </c>
      <c r="AF37" s="1219">
        <f>COUNTIFS(ШТАТ!$AL:$AL,$A37,ШТАТ!$AK:$AK,3,ШТАТ!$AJ:$AJ,"с/с",ШТАТ!$W:$W,"г. Белгород")</f>
        <v>0</v>
      </c>
      <c r="AG37" s="1219">
        <f>COUNTIFS(ШТАТ!$AL:$AL,$A37,ШТАТ!$AK:$AK,3,ШТАТ!$AJ:$AJ,"к/с",ШТАТ!$W:$W,"г. Белгород")</f>
        <v>4</v>
      </c>
      <c r="AH37" s="1222">
        <f t="shared" si="6"/>
        <v>4</v>
      </c>
      <c r="AI37" s="1219">
        <f>COUNTIFS(ШТАТ!$AL:$AL,$A37,ШТАТ!$AK:$AK,4,ШТАТ!$AJ:$AJ,"с/с",ШТАТ!$W:$W,"г. Белгород")</f>
        <v>0</v>
      </c>
      <c r="AJ37" s="1219">
        <f>COUNTIFS(ШТАТ!$AL:$AL,$A37,ШТАТ!$AK:$AK,4,ШТАТ!$AJ:$AJ,"к/с",ШТАТ!$W:$W,"г. Белгород")</f>
        <v>13</v>
      </c>
      <c r="AK37" s="1222">
        <f t="shared" si="7"/>
        <v>13</v>
      </c>
      <c r="AL37" s="1221">
        <f t="shared" si="16"/>
        <v>19</v>
      </c>
      <c r="AM37" s="1219">
        <f>COUNTIFS(ШТАТ!$AL:$AL,$A37,ШТАТ!$AK:$AK,1,ШТАТ!$AJ:$AJ,"о",ШТАТ!$U:$U,"")</f>
        <v>1</v>
      </c>
      <c r="AN37" s="1219">
        <f>COUNTIFS(ШТАТ!$AL:$AL,$A37,ШТАТ!$AK:$AK,2,ШТАТ!$AJ:$AJ,"п",ШТАТ!$U:$U,"")</f>
        <v>0</v>
      </c>
      <c r="AO37" s="1219">
        <f>COUNTIFS(ШТАТ!$AL:$AL,$A37,ШТАТ!$AK:$AK,3,ШТАТ!$AJ:$AJ,"с/с",ШТАТ!$U:$U,"")</f>
        <v>0</v>
      </c>
      <c r="AP37" s="1219">
        <f>COUNTIFS(ШТАТ!$AL:$AL,$A37,ШТАТ!$AK:$AK,3,ШТАТ!$AJ:$AJ,"к/с",ШТАТ!$U:$U,"")</f>
        <v>2</v>
      </c>
      <c r="AQ37" s="1222">
        <f t="shared" si="17"/>
        <v>2</v>
      </c>
      <c r="AR37" s="1219">
        <f>COUNTIFS(ШТАТ!$AL:$AL,$A37,ШТАТ!$AK:$AK,4,ШТАТ!$AJ:$AJ,"с/с",ШТАТ!$U:$U,"")</f>
        <v>19</v>
      </c>
      <c r="AS37" s="1219">
        <f>COUNTIFS(ШТАТ!$AL:$AL,$A37,ШТАТ!$AK:$AK,4,ШТАТ!$AJ:$AJ,"к/с",ШТАТ!$U:$U,"")</f>
        <v>10</v>
      </c>
      <c r="AT37" s="1222">
        <f t="shared" si="8"/>
        <v>29</v>
      </c>
      <c r="AU37" s="1221">
        <f t="shared" si="18"/>
        <v>32</v>
      </c>
      <c r="AV37" s="1219">
        <f>COUNTIFS(ШТАТ!$AL:$AL,$A37,ШТАТ!$U:$U,"госп")</f>
        <v>7</v>
      </c>
      <c r="AW37" s="1225">
        <f t="shared" si="9"/>
        <v>14</v>
      </c>
      <c r="AX37" s="1219">
        <f>COUNTIFS(ШТАТ!$AL:$AL,$A37,ШТАТ!$U:$U,"отпуск")</f>
        <v>1</v>
      </c>
      <c r="AY37" s="1219">
        <f>COUNTIFS(ШТАТ!$AL:$AL,$A37,ШТАТ!$U:$U,"соч")</f>
        <v>12</v>
      </c>
      <c r="AZ37" s="1225"/>
      <c r="BA37" s="1219">
        <f>COUNTIFS(ШТАТ!$AL:$AL,$A37,ШТАТ!$U:$U,"МП")</f>
        <v>0</v>
      </c>
      <c r="BB37" s="1226"/>
      <c r="BC37" s="1226"/>
      <c r="BD37" s="1219"/>
      <c r="BE37" s="1226"/>
      <c r="BF37" s="1226"/>
      <c r="BG37" s="1226"/>
      <c r="BH37" s="1226"/>
      <c r="BI37" s="1226"/>
      <c r="BJ37" s="1226"/>
      <c r="BK37" s="1226"/>
      <c r="BL37" s="1226"/>
      <c r="BM37" s="1226"/>
      <c r="BN37" s="1226"/>
      <c r="BO37" s="1226"/>
      <c r="BP37" s="1226"/>
      <c r="BQ37" s="1226"/>
      <c r="BR37" s="1226"/>
      <c r="BS37" s="1226"/>
      <c r="BT37" s="1226"/>
      <c r="BU37" s="1226"/>
      <c r="BV37" s="1226"/>
      <c r="BW37" s="1226"/>
      <c r="BX37" s="1226"/>
      <c r="BY37" s="1226"/>
      <c r="BZ37" s="1226"/>
      <c r="CA37" s="1226"/>
      <c r="CB37" s="1226"/>
      <c r="CC37" s="1226"/>
      <c r="CD37" s="1226"/>
      <c r="CE37" s="1226"/>
      <c r="CF37" s="1226"/>
      <c r="CG37" s="1226"/>
      <c r="CH37" s="1226"/>
      <c r="CI37" s="1226"/>
      <c r="CJ37" s="1226"/>
      <c r="CK37" s="1226"/>
      <c r="CL37" s="1226"/>
      <c r="CM37" s="1226"/>
      <c r="CN37" s="1226"/>
      <c r="CO37" s="1226"/>
      <c r="CP37" s="1226"/>
      <c r="CQ37" s="1226"/>
      <c r="CR37" s="1226"/>
      <c r="CS37" s="1226"/>
      <c r="CT37" s="1226"/>
      <c r="CU37" s="1226"/>
      <c r="CV37" s="1226"/>
      <c r="CW37" s="1226"/>
      <c r="CX37" s="1226"/>
      <c r="CY37" s="1226"/>
      <c r="CZ37" s="1226"/>
      <c r="DA37" s="1226"/>
      <c r="DB37" s="1226"/>
      <c r="DC37" s="1226"/>
      <c r="DD37" s="1226">
        <v>10</v>
      </c>
      <c r="DE37" s="1226"/>
      <c r="DF37" s="1226"/>
      <c r="DG37" s="1226"/>
      <c r="DH37" s="1226"/>
      <c r="DI37" s="1226"/>
      <c r="DJ37" s="1226"/>
      <c r="DK37" s="1226"/>
      <c r="DL37" s="1226"/>
      <c r="DM37" s="1226"/>
      <c r="DN37" s="1226"/>
      <c r="DO37" s="1226"/>
      <c r="DP37" s="1226"/>
      <c r="DQ37" s="1226"/>
      <c r="DR37" s="1226"/>
      <c r="DS37" s="1226"/>
      <c r="DT37" s="1226"/>
      <c r="DU37" s="1226"/>
      <c r="DV37" s="1226">
        <f>COUNTIFS(ШТАТ!$AN:$AN,"Урал-4320-31",ШТАТ!AL:AL,"Управление")</f>
        <v>0</v>
      </c>
      <c r="DW37" s="1226"/>
      <c r="DX37" s="1226"/>
      <c r="DY37" s="1226"/>
      <c r="DZ37" s="1226"/>
      <c r="EA37" s="1226"/>
      <c r="EB37" s="1226"/>
      <c r="EC37" s="1226"/>
      <c r="ED37" s="1226"/>
      <c r="EE37" s="1226"/>
      <c r="EF37" s="1226"/>
      <c r="EG37" s="1226"/>
      <c r="EH37" s="1226"/>
      <c r="EI37" s="1226"/>
      <c r="EJ37" s="1226"/>
      <c r="EK37" s="1226"/>
      <c r="EL37" s="1226"/>
      <c r="EM37" s="1226"/>
      <c r="EN37" s="1226"/>
      <c r="EO37" s="1226"/>
      <c r="EP37" s="1226"/>
      <c r="EQ37" s="1226"/>
      <c r="ER37" s="1226"/>
      <c r="ES37" s="1226"/>
      <c r="ET37" s="1226"/>
      <c r="EU37" s="1226"/>
      <c r="EV37" s="1226"/>
      <c r="EW37" s="1226"/>
      <c r="EX37" s="1226"/>
      <c r="EY37" s="1226"/>
      <c r="EZ37" s="1226"/>
      <c r="FA37" s="1226"/>
      <c r="FB37" s="1226"/>
      <c r="FC37" s="1226"/>
      <c r="FD37" s="1226"/>
      <c r="FE37" s="1226"/>
      <c r="FF37" s="1226"/>
      <c r="FG37" s="1226"/>
      <c r="FH37" s="1226"/>
      <c r="FI37" s="1226"/>
      <c r="FJ37" s="1226"/>
      <c r="FK37" s="1226"/>
      <c r="FL37" s="1226"/>
      <c r="FM37" s="1226"/>
      <c r="FN37" s="1226"/>
      <c r="FO37" s="1226"/>
      <c r="FP37" s="1226"/>
      <c r="FQ37" s="1226"/>
      <c r="FR37" s="1226"/>
    </row>
    <row r="38" spans="1:174" ht="33" x14ac:dyDescent="0.25">
      <c r="A38" s="1227" t="s">
        <v>499</v>
      </c>
      <c r="B38" s="1227"/>
      <c r="C38" s="1275">
        <f t="shared" si="24"/>
        <v>16</v>
      </c>
      <c r="D38" s="1276" t="s">
        <v>4805</v>
      </c>
      <c r="E38" s="1219">
        <f>COUNTIFS(ШТАТ!$AL:$AL,'БЧС Дерябин'!$A38,ШТАТ!$AK:$AK,1)</f>
        <v>4</v>
      </c>
      <c r="F38" s="1219">
        <f>COUNTIFS(ШТАТ!$AL:$AL,'БЧС Дерябин'!$A38,ШТАТ!$AK:$AK,2)</f>
        <v>1</v>
      </c>
      <c r="G38" s="1219">
        <f>COUNTIFS(ШТАТ!$AL:$AL,'БЧС Дерябин'!$A38,ШТАТ!$AK:$AK,3)</f>
        <v>8</v>
      </c>
      <c r="H38" s="1219">
        <f>COUNTIFS(ШТАТ!$AL:$AL,'БЧС Дерябин'!$A38,ШТАТ!$AK:$AK,4)</f>
        <v>32</v>
      </c>
      <c r="I38" s="1221">
        <f t="shared" si="3"/>
        <v>45</v>
      </c>
      <c r="J38" s="1219">
        <f>COUNTIFS(ШТАТ!AL:AL,A38,ШТАТ!AJ:AJ,"о")</f>
        <v>4</v>
      </c>
      <c r="K38" s="1219">
        <f>COUNTIFS(ШТАТ!AL:AL,A38,ШТАТ!AJ:AJ,"п")</f>
        <v>1</v>
      </c>
      <c r="L38" s="1219">
        <f>COUNTIFS(ШТАТ!$AL:$AL,$A38,ШТАТ!AK:AK,3,ШТАТ!AJ:AJ,"с/с")</f>
        <v>0</v>
      </c>
      <c r="M38" s="1219">
        <f>COUNTIFS(ШТАТ!$AL:$AL,$A38,ШТАТ!AK:AK,3,ШТАТ!AJ:AJ,"к/с")</f>
        <v>6</v>
      </c>
      <c r="N38" s="1222">
        <f t="shared" si="11"/>
        <v>6</v>
      </c>
      <c r="O38" s="1220">
        <f>COUNTIFS(ШТАТ!$AL:$AL,$A38,ШТАТ!AK:AK,4,ШТАТ!AJ:AJ,"с/с")</f>
        <v>14</v>
      </c>
      <c r="P38" s="1220">
        <f>COUNTIFS(ШТАТ!$AL:$AL,$A38,ШТАТ!AK:AK,4,ШТАТ!AJ:AJ,"к/с")</f>
        <v>13</v>
      </c>
      <c r="Q38" s="1222">
        <f t="shared" si="12"/>
        <v>27</v>
      </c>
      <c r="R38" s="1221">
        <f t="shared" si="13"/>
        <v>38</v>
      </c>
      <c r="S38" s="1223">
        <f t="shared" si="14"/>
        <v>0.84444444444444444</v>
      </c>
      <c r="T38" s="1219">
        <f>COUNTIFS(ШТАТ!$AL:$AL,$A38,ШТАТ!$AJ:$AJ,"о",ШТАТ!$X:$X,"выполнение специальных задач")</f>
        <v>1</v>
      </c>
      <c r="U38" s="1219">
        <f>COUNTIFS(ШТАТ!$AL:$AL,$A38,ШТАТ!$AJ:$AJ,"п",ШТАТ!$X:$X,"выполнение специальных задач")</f>
        <v>0</v>
      </c>
      <c r="V38" s="1219">
        <f>COUNTIFS(ШТАТ!$AL:$AL,$A38,ШТАТ!$AK:$AK,3,ШТАТ!$AJ:$AJ,"с/с",ШТАТ!$X:$X,"выполнение специальных задач")</f>
        <v>0</v>
      </c>
      <c r="W38" s="1219">
        <f>COUNTIFS(ШТАТ!$AL:$AL,$A38,ШТАТ!$AK:$AK,3,ШТАТ!$AJ:$AJ,"к/с",ШТАТ!$X:$X,"выполнение специальных задач")</f>
        <v>1</v>
      </c>
      <c r="X38" s="1222">
        <f t="shared" si="4"/>
        <v>1</v>
      </c>
      <c r="Y38" s="1219">
        <f>COUNTIFS(ШТАТ!$AL:$AL,$A38,ШТАТ!$AK:$AK,4,ШТАТ!$AJ:$AJ,"с/с",ШТАТ!$X:$X,"выполнение специальных задач")</f>
        <v>0</v>
      </c>
      <c r="Z38" s="1219">
        <f>COUNTIFS(ШТАТ!$AL:$AL,$A38,ШТАТ!$AK:$AK,4,ШТАТ!$AJ:$AJ,"к/с",ШТАТ!$X:$X,"выполнение специальных задач")</f>
        <v>2</v>
      </c>
      <c r="AA38" s="1222">
        <f t="shared" si="5"/>
        <v>2</v>
      </c>
      <c r="AB38" s="1221">
        <f t="shared" si="15"/>
        <v>4</v>
      </c>
      <c r="AC38" s="1224"/>
      <c r="AD38" s="1219">
        <f>COUNTIFS(ШТАТ!$AL:$AL,$A38,ШТАТ!$AK:$AK,1,ШТАТ!$AJ:$AJ,"о",ШТАТ!$W:$W,"г. Белгород")</f>
        <v>0</v>
      </c>
      <c r="AE38" s="1219">
        <f>COUNTIFS(ШТАТ!$AL:$AL,$A38,ШТАТ!$AK:$AK,2,ШТАТ!$AJ:$AJ,"п",ШТАТ!$W:$W,"г. Белгород")</f>
        <v>0</v>
      </c>
      <c r="AF38" s="1219">
        <f>COUNTIFS(ШТАТ!$AL:$AL,$A38,ШТАТ!$AK:$AK,3,ШТАТ!$AJ:$AJ,"с/с",ШТАТ!$W:$W,"г. Белгород")</f>
        <v>0</v>
      </c>
      <c r="AG38" s="1219">
        <f>COUNTIFS(ШТАТ!$AL:$AL,$A38,ШТАТ!$AK:$AK,3,ШТАТ!$AJ:$AJ,"к/с",ШТАТ!$W:$W,"г. Белгород")</f>
        <v>2</v>
      </c>
      <c r="AH38" s="1222">
        <f t="shared" si="6"/>
        <v>2</v>
      </c>
      <c r="AI38" s="1219">
        <f>COUNTIFS(ШТАТ!$AL:$AL,$A38,ШТАТ!$AK:$AK,4,ШТАТ!$AJ:$AJ,"с/с",ШТАТ!$W:$W,"г. Белгород")</f>
        <v>0</v>
      </c>
      <c r="AJ38" s="1219">
        <f>COUNTIFS(ШТАТ!$AL:$AL,$A38,ШТАТ!$AK:$AK,4,ШТАТ!$AJ:$AJ,"к/с",ШТАТ!$W:$W,"г. Белгород")</f>
        <v>6</v>
      </c>
      <c r="AK38" s="1222">
        <f t="shared" si="7"/>
        <v>6</v>
      </c>
      <c r="AL38" s="1221">
        <f t="shared" si="16"/>
        <v>8</v>
      </c>
      <c r="AM38" s="1219">
        <f>COUNTIFS(ШТАТ!$AL:$AL,$A38,ШТАТ!$AK:$AK,1,ШТАТ!$AJ:$AJ,"о",ШТАТ!$U:$U,"")</f>
        <v>1</v>
      </c>
      <c r="AN38" s="1219">
        <f>COUNTIFS(ШТАТ!$AL:$AL,$A38,ШТАТ!$AK:$AK,2,ШТАТ!$AJ:$AJ,"п",ШТАТ!$U:$U,"")</f>
        <v>1</v>
      </c>
      <c r="AO38" s="1219">
        <f>COUNTIFS(ШТАТ!$AL:$AL,$A38,ШТАТ!$AK:$AK,3,ШТАТ!$AJ:$AJ,"с/с",ШТАТ!$U:$U,"")</f>
        <v>0</v>
      </c>
      <c r="AP38" s="1219">
        <f>COUNTIFS(ШТАТ!$AL:$AL,$A38,ШТАТ!$AK:$AK,3,ШТАТ!$AJ:$AJ,"к/с",ШТАТ!$U:$U,"")</f>
        <v>2</v>
      </c>
      <c r="AQ38" s="1222">
        <f t="shared" si="17"/>
        <v>2</v>
      </c>
      <c r="AR38" s="1219">
        <f>COUNTIFS(ШТАТ!$AL:$AL,$A38,ШТАТ!$AK:$AK,4,ШТАТ!$AJ:$AJ,"с/с",ШТАТ!$U:$U,"")</f>
        <v>11</v>
      </c>
      <c r="AS38" s="1219">
        <f>COUNTIFS(ШТАТ!$AL:$AL,$A38,ШТАТ!$AK:$AK,4,ШТАТ!$AJ:$AJ,"к/с",ШТАТ!$U:$U,"")</f>
        <v>1</v>
      </c>
      <c r="AT38" s="1222">
        <f t="shared" si="8"/>
        <v>12</v>
      </c>
      <c r="AU38" s="1221">
        <f t="shared" si="18"/>
        <v>16</v>
      </c>
      <c r="AV38" s="1219">
        <f>COUNTIFS(ШТАТ!$AL:$AL,$A38,ШТАТ!$U:$U,"госп")</f>
        <v>0</v>
      </c>
      <c r="AW38" s="1225">
        <f t="shared" si="9"/>
        <v>6</v>
      </c>
      <c r="AX38" s="1219">
        <f>COUNTIFS(ШТАТ!$AL:$AL,$A38,ШТАТ!$U:$U,"отпуск")</f>
        <v>1</v>
      </c>
      <c r="AY38" s="1219">
        <f>COUNTIFS(ШТАТ!$AL:$AL,$A38,ШТАТ!$U:$U,"соч")</f>
        <v>3</v>
      </c>
      <c r="AZ38" s="1225"/>
      <c r="BA38" s="1219">
        <f>COUNTIFS(ШТАТ!$AL:$AL,$A38,ШТАТ!$U:$U,"МП")</f>
        <v>0</v>
      </c>
      <c r="BB38" s="1226"/>
      <c r="BC38" s="1226"/>
      <c r="BD38" s="1219"/>
      <c r="BE38" s="1226"/>
      <c r="BF38" s="1226"/>
      <c r="BG38" s="1226"/>
      <c r="BH38" s="1226"/>
      <c r="BI38" s="1226"/>
      <c r="BJ38" s="1226"/>
      <c r="BK38" s="1226"/>
      <c r="BL38" s="1226"/>
      <c r="BM38" s="1226"/>
      <c r="BN38" s="1226"/>
      <c r="BO38" s="1226"/>
      <c r="BP38" s="1226"/>
      <c r="BQ38" s="1226"/>
      <c r="BR38" s="1226"/>
      <c r="BS38" s="1226"/>
      <c r="BT38" s="1226"/>
      <c r="BU38" s="1226"/>
      <c r="BV38" s="1226"/>
      <c r="BW38" s="1226"/>
      <c r="BX38" s="1226"/>
      <c r="BY38" s="1226"/>
      <c r="BZ38" s="1226"/>
      <c r="CA38" s="1226"/>
      <c r="CB38" s="1226"/>
      <c r="CC38" s="1226"/>
      <c r="CD38" s="1226"/>
      <c r="CE38" s="1226"/>
      <c r="CF38" s="1226"/>
      <c r="CG38" s="1226"/>
      <c r="CH38" s="1226"/>
      <c r="CI38" s="1226"/>
      <c r="CJ38" s="1226"/>
      <c r="CK38" s="1226"/>
      <c r="CL38" s="1226"/>
      <c r="CM38" s="1226"/>
      <c r="CN38" s="1226"/>
      <c r="CO38" s="1226"/>
      <c r="CP38" s="1226"/>
      <c r="CQ38" s="1226"/>
      <c r="CR38" s="1226"/>
      <c r="CS38" s="1226"/>
      <c r="CT38" s="1226"/>
      <c r="CU38" s="1226"/>
      <c r="CV38" s="1226"/>
      <c r="CW38" s="1226"/>
      <c r="CX38" s="1226"/>
      <c r="CY38" s="1226"/>
      <c r="CZ38" s="1226"/>
      <c r="DA38" s="1226"/>
      <c r="DB38" s="1226"/>
      <c r="DC38" s="1226"/>
      <c r="DD38" s="1226"/>
      <c r="DE38" s="1226"/>
      <c r="DF38" s="1226"/>
      <c r="DG38" s="1226"/>
      <c r="DH38" s="1226"/>
      <c r="DI38" s="1226"/>
      <c r="DJ38" s="1226"/>
      <c r="DK38" s="1226"/>
      <c r="DL38" s="1226"/>
      <c r="DM38" s="1226"/>
      <c r="DN38" s="1226"/>
      <c r="DO38" s="1226"/>
      <c r="DP38" s="1226"/>
      <c r="DQ38" s="1226"/>
      <c r="DR38" s="1226"/>
      <c r="DS38" s="1226"/>
      <c r="DT38" s="1226"/>
      <c r="DU38" s="1226"/>
      <c r="DV38" s="1226">
        <f>COUNTIFS(ШТАТ!$AN:$AN,"Урал-4320-31",ШТАТ!AL:AL,"Управление")</f>
        <v>0</v>
      </c>
      <c r="DW38" s="1226"/>
      <c r="DX38" s="1226"/>
      <c r="DY38" s="1226"/>
      <c r="DZ38" s="1226"/>
      <c r="EA38" s="1226"/>
      <c r="EB38" s="1226"/>
      <c r="EC38" s="1226"/>
      <c r="ED38" s="1226"/>
      <c r="EE38" s="1226"/>
      <c r="EF38" s="1226"/>
      <c r="EG38" s="1226"/>
      <c r="EH38" s="1226"/>
      <c r="EI38" s="1226"/>
      <c r="EJ38" s="1226"/>
      <c r="EK38" s="1226"/>
      <c r="EL38" s="1226"/>
      <c r="EM38" s="1226"/>
      <c r="EN38" s="1226"/>
      <c r="EO38" s="1226"/>
      <c r="EP38" s="1226"/>
      <c r="EQ38" s="1226"/>
      <c r="ER38" s="1226"/>
      <c r="ES38" s="1226"/>
      <c r="ET38" s="1226"/>
      <c r="EU38" s="1226"/>
      <c r="EV38" s="1226"/>
      <c r="EW38" s="1226"/>
      <c r="EX38" s="1226"/>
      <c r="EY38" s="1226"/>
      <c r="EZ38" s="1226"/>
      <c r="FA38" s="1226"/>
      <c r="FB38" s="1226"/>
      <c r="FC38" s="1226"/>
      <c r="FD38" s="1226"/>
      <c r="FE38" s="1226"/>
      <c r="FF38" s="1226"/>
      <c r="FG38" s="1226"/>
      <c r="FH38" s="1226">
        <v>6</v>
      </c>
      <c r="FI38" s="1226"/>
      <c r="FJ38" s="1226">
        <v>2</v>
      </c>
      <c r="FK38" s="1226"/>
      <c r="FL38" s="1226"/>
      <c r="FM38" s="1226"/>
      <c r="FN38" s="1226"/>
      <c r="FO38" s="1226"/>
      <c r="FP38" s="1226"/>
      <c r="FQ38" s="1226"/>
      <c r="FR38" s="1226"/>
    </row>
    <row r="39" spans="1:174" ht="33" x14ac:dyDescent="0.25">
      <c r="A39" s="1227" t="s">
        <v>500</v>
      </c>
      <c r="B39" s="1227"/>
      <c r="C39" s="1275">
        <f t="shared" si="24"/>
        <v>2</v>
      </c>
      <c r="D39" s="1276" t="s">
        <v>4805</v>
      </c>
      <c r="E39" s="1219">
        <f>COUNTIFS(ШТАТ!$AL:$AL,'БЧС Дерябин'!$A39,ШТАТ!$AK:$AK,1)</f>
        <v>1</v>
      </c>
      <c r="F39" s="1219">
        <f>COUNTIFS(ШТАТ!$AL:$AL,'БЧС Дерябин'!$A39,ШТАТ!$AK:$AK,2)</f>
        <v>0</v>
      </c>
      <c r="G39" s="1219">
        <f>COUNTIFS(ШТАТ!$AL:$AL,'БЧС Дерябин'!$A39,ШТАТ!$AK:$AK,3)</f>
        <v>3</v>
      </c>
      <c r="H39" s="1219">
        <f>COUNTIFS(ШТАТ!$AL:$AL,'БЧС Дерябин'!$A39,ШТАТ!$AK:$AK,4)</f>
        <v>18</v>
      </c>
      <c r="I39" s="1221">
        <f t="shared" si="3"/>
        <v>22</v>
      </c>
      <c r="J39" s="1219">
        <f>COUNTIFS(ШТАТ!AL:AL,A39,ШТАТ!AJ:AJ,"о")</f>
        <v>1</v>
      </c>
      <c r="K39" s="1219">
        <f>COUNTIFS(ШТАТ!AL:AL,A39,ШТАТ!AJ:AJ,"п")</f>
        <v>0</v>
      </c>
      <c r="L39" s="1219">
        <f>COUNTIFS(ШТАТ!$AL:$AL,$A39,ШТАТ!AK:AK,3,ШТАТ!AJ:AJ,"с/с")</f>
        <v>0</v>
      </c>
      <c r="M39" s="1219">
        <f>COUNTIFS(ШТАТ!$AL:$AL,$A39,ШТАТ!AK:AK,3,ШТАТ!AJ:AJ,"к/с")</f>
        <v>2</v>
      </c>
      <c r="N39" s="1222">
        <f t="shared" si="11"/>
        <v>2</v>
      </c>
      <c r="O39" s="1220">
        <f>COUNTIFS(ШТАТ!$AL:$AL,$A39,ШТАТ!AK:AK,4,ШТАТ!AJ:AJ,"с/с")</f>
        <v>4</v>
      </c>
      <c r="P39" s="1220">
        <f>COUNTIFS(ШТАТ!$AL:$AL,$A39,ШТАТ!AK:AK,4,ШТАТ!AJ:AJ,"к/с")</f>
        <v>6</v>
      </c>
      <c r="Q39" s="1222">
        <f t="shared" si="12"/>
        <v>10</v>
      </c>
      <c r="R39" s="1221">
        <f t="shared" si="13"/>
        <v>13</v>
      </c>
      <c r="S39" s="1223">
        <f t="shared" si="14"/>
        <v>0.59090909090909094</v>
      </c>
      <c r="T39" s="1219">
        <f>COUNTIFS(ШТАТ!$AL:$AL,$A39,ШТАТ!$AJ:$AJ,"о",ШТАТ!$X:$X,"выполнение специальных задач")</f>
        <v>0</v>
      </c>
      <c r="U39" s="1219">
        <f>COUNTIFS(ШТАТ!$AL:$AL,$A39,ШТАТ!$AJ:$AJ,"п",ШТАТ!$X:$X,"выполнение специальных задач")</f>
        <v>0</v>
      </c>
      <c r="V39" s="1219">
        <f>COUNTIFS(ШТАТ!$AL:$AL,$A39,ШТАТ!$AK:$AK,3,ШТАТ!$AJ:$AJ,"с/с",ШТАТ!$X:$X,"выполнение специальных задач")</f>
        <v>0</v>
      </c>
      <c r="W39" s="1219">
        <f>COUNTIFS(ШТАТ!$AL:$AL,$A39,ШТАТ!$AK:$AK,3,ШТАТ!$AJ:$AJ,"к/с",ШТАТ!$X:$X,"выполнение специальных задач")</f>
        <v>0</v>
      </c>
      <c r="X39" s="1222">
        <f t="shared" si="4"/>
        <v>0</v>
      </c>
      <c r="Y39" s="1219">
        <f>COUNTIFS(ШТАТ!$AL:$AL,$A39,ШТАТ!$AK:$AK,4,ШТАТ!$AJ:$AJ,"с/с",ШТАТ!$X:$X,"выполнение специальных задач")</f>
        <v>0</v>
      </c>
      <c r="Z39" s="1219">
        <f>COUNTIFS(ШТАТ!$AL:$AL,$A39,ШТАТ!$AK:$AK,4,ШТАТ!$AJ:$AJ,"к/с",ШТАТ!$X:$X,"выполнение специальных задач")</f>
        <v>2</v>
      </c>
      <c r="AA39" s="1222">
        <f t="shared" si="5"/>
        <v>2</v>
      </c>
      <c r="AB39" s="1221">
        <f t="shared" si="15"/>
        <v>2</v>
      </c>
      <c r="AC39" s="1224"/>
      <c r="AD39" s="1219">
        <f>COUNTIFS(ШТАТ!$AL:$AL,$A39,ШТАТ!$AK:$AK,1,ШТАТ!$AJ:$AJ,"о",ШТАТ!$W:$W,"г. Белгород")</f>
        <v>1</v>
      </c>
      <c r="AE39" s="1219">
        <f>COUNTIFS(ШТАТ!$AL:$AL,$A39,ШТАТ!$AK:$AK,2,ШТАТ!$AJ:$AJ,"п",ШТАТ!$W:$W,"г. Белгород")</f>
        <v>0</v>
      </c>
      <c r="AF39" s="1219">
        <f>COUNTIFS(ШТАТ!$AL:$AL,$A39,ШТАТ!$AK:$AK,3,ШТАТ!$AJ:$AJ,"с/с",ШТАТ!$W:$W,"г. Белгород")</f>
        <v>0</v>
      </c>
      <c r="AG39" s="1219">
        <f>COUNTIFS(ШТАТ!$AL:$AL,$A39,ШТАТ!$AK:$AK,3,ШТАТ!$AJ:$AJ,"к/с",ШТАТ!$W:$W,"г. Белгород")</f>
        <v>0</v>
      </c>
      <c r="AH39" s="1222">
        <f t="shared" si="6"/>
        <v>0</v>
      </c>
      <c r="AI39" s="1219">
        <f>COUNTIFS(ШТАТ!$AL:$AL,$A39,ШТАТ!$AK:$AK,4,ШТАТ!$AJ:$AJ,"с/с",ШТАТ!$W:$W,"г. Белгород")</f>
        <v>0</v>
      </c>
      <c r="AJ39" s="1219">
        <f>COUNTIFS(ШТАТ!$AL:$AL,$A39,ШТАТ!$AK:$AK,4,ШТАТ!$AJ:$AJ,"к/с",ШТАТ!$W:$W,"г. Белгород")</f>
        <v>1</v>
      </c>
      <c r="AK39" s="1222">
        <f t="shared" si="7"/>
        <v>1</v>
      </c>
      <c r="AL39" s="1221">
        <f t="shared" si="16"/>
        <v>2</v>
      </c>
      <c r="AM39" s="1219">
        <f>COUNTIFS(ШТАТ!$AL:$AL,$A39,ШТАТ!$AK:$AK,1,ШТАТ!$AJ:$AJ,"о",ШТАТ!$U:$U,"")</f>
        <v>0</v>
      </c>
      <c r="AN39" s="1219">
        <f>COUNTIFS(ШТАТ!$AL:$AL,$A39,ШТАТ!$AK:$AK,2,ШТАТ!$AJ:$AJ,"п",ШТАТ!$U:$U,"")</f>
        <v>0</v>
      </c>
      <c r="AO39" s="1219">
        <f>COUNTIFS(ШТАТ!$AL:$AL,$A39,ШТАТ!$AK:$AK,3,ШТАТ!$AJ:$AJ,"с/с",ШТАТ!$U:$U,"")</f>
        <v>0</v>
      </c>
      <c r="AP39" s="1219">
        <f>COUNTIFS(ШТАТ!$AL:$AL,$A39,ШТАТ!$AK:$AK,3,ШТАТ!$AJ:$AJ,"к/с",ШТАТ!$U:$U,"")</f>
        <v>0</v>
      </c>
      <c r="AQ39" s="1222">
        <f t="shared" si="17"/>
        <v>0</v>
      </c>
      <c r="AR39" s="1219">
        <f>COUNTIFS(ШТАТ!$AL:$AL,$A39,ШТАТ!$AK:$AK,4,ШТАТ!$AJ:$AJ,"с/с",ШТАТ!$U:$U,"")</f>
        <v>0</v>
      </c>
      <c r="AS39" s="1219">
        <f>COUNTIFS(ШТАТ!$AL:$AL,$A39,ШТАТ!$AK:$AK,4,ШТАТ!$AJ:$AJ,"к/с",ШТАТ!$U:$U,"")</f>
        <v>2</v>
      </c>
      <c r="AT39" s="1222">
        <f t="shared" si="8"/>
        <v>2</v>
      </c>
      <c r="AU39" s="1221">
        <f t="shared" si="18"/>
        <v>2</v>
      </c>
      <c r="AV39" s="1219">
        <f>COUNTIFS(ШТАТ!$AL:$AL,$A39,ШТАТ!$U:$U,"госп")</f>
        <v>0</v>
      </c>
      <c r="AW39" s="1225">
        <f t="shared" si="9"/>
        <v>6</v>
      </c>
      <c r="AX39" s="1219">
        <f>COUNTIFS(ШТАТ!$AL:$AL,$A39,ШТАТ!$U:$U,"отпуск")</f>
        <v>0</v>
      </c>
      <c r="AY39" s="1219">
        <f>COUNTIFS(ШТАТ!$AL:$AL,$A39,ШТАТ!$U:$U,"соч")</f>
        <v>1</v>
      </c>
      <c r="AZ39" s="1225"/>
      <c r="BA39" s="1219">
        <f>COUNTIFS(ШТАТ!$AL:$AL,$A39,ШТАТ!$U:$U,"МП")</f>
        <v>0</v>
      </c>
      <c r="BB39" s="1226"/>
      <c r="BC39" s="1226"/>
      <c r="BD39" s="1219"/>
      <c r="BE39" s="1226"/>
      <c r="BF39" s="1226"/>
      <c r="BG39" s="1226"/>
      <c r="BH39" s="1226"/>
      <c r="BI39" s="1226"/>
      <c r="BJ39" s="1226"/>
      <c r="BK39" s="1226"/>
      <c r="BL39" s="1226"/>
      <c r="BM39" s="1226"/>
      <c r="BN39" s="1226"/>
      <c r="BO39" s="1226"/>
      <c r="BP39" s="1226"/>
      <c r="BQ39" s="1226"/>
      <c r="BR39" s="1226"/>
      <c r="BS39" s="1226"/>
      <c r="BT39" s="1226"/>
      <c r="BU39" s="1226"/>
      <c r="BV39" s="1226"/>
      <c r="BW39" s="1226"/>
      <c r="BX39" s="1226"/>
      <c r="BY39" s="1226"/>
      <c r="BZ39" s="1226"/>
      <c r="CA39" s="1226"/>
      <c r="CB39" s="1226"/>
      <c r="CC39" s="1226"/>
      <c r="CD39" s="1226"/>
      <c r="CE39" s="1226"/>
      <c r="CF39" s="1226"/>
      <c r="CG39" s="1226"/>
      <c r="CH39" s="1226"/>
      <c r="CI39" s="1226"/>
      <c r="CJ39" s="1226"/>
      <c r="CK39" s="1226"/>
      <c r="CL39" s="1226"/>
      <c r="CM39" s="1226"/>
      <c r="CN39" s="1226"/>
      <c r="CO39" s="1226"/>
      <c r="CP39" s="1226"/>
      <c r="CQ39" s="1226"/>
      <c r="CR39" s="1226"/>
      <c r="CS39" s="1226"/>
      <c r="CT39" s="1226"/>
      <c r="CU39" s="1226"/>
      <c r="CV39" s="1226"/>
      <c r="CW39" s="1226"/>
      <c r="CX39" s="1226"/>
      <c r="CY39" s="1226"/>
      <c r="CZ39" s="1226"/>
      <c r="DA39" s="1226"/>
      <c r="DB39" s="1226"/>
      <c r="DC39" s="1226"/>
      <c r="DD39" s="1226">
        <v>4</v>
      </c>
      <c r="DE39" s="1226"/>
      <c r="DF39" s="1226"/>
      <c r="DG39" s="1226"/>
      <c r="DH39" s="1226"/>
      <c r="DI39" s="1226"/>
      <c r="DJ39" s="1226"/>
      <c r="DK39" s="1226"/>
      <c r="DL39" s="1226"/>
      <c r="DM39" s="1226"/>
      <c r="DN39" s="1226"/>
      <c r="DO39" s="1226"/>
      <c r="DP39" s="1226"/>
      <c r="DQ39" s="1226"/>
      <c r="DR39" s="1226"/>
      <c r="DS39" s="1226"/>
      <c r="DT39" s="1226"/>
      <c r="DU39" s="1226"/>
      <c r="DV39" s="1226">
        <f>COUNTIFS(ШТАТ!$AN:$AN,"Урал-4320-31",ШТАТ!AL:AL,"Управление")</f>
        <v>0</v>
      </c>
      <c r="DW39" s="1226"/>
      <c r="DX39" s="1226"/>
      <c r="DY39" s="1226"/>
      <c r="DZ39" s="1226"/>
      <c r="EA39" s="1226"/>
      <c r="EB39" s="1226"/>
      <c r="EC39" s="1226"/>
      <c r="ED39" s="1226"/>
      <c r="EE39" s="1226"/>
      <c r="EF39" s="1226"/>
      <c r="EG39" s="1226"/>
      <c r="EH39" s="1226"/>
      <c r="EI39" s="1226"/>
      <c r="EJ39" s="1226"/>
      <c r="EK39" s="1226"/>
      <c r="EL39" s="1226"/>
      <c r="EM39" s="1226"/>
      <c r="EN39" s="1226"/>
      <c r="EO39" s="1226"/>
      <c r="EP39" s="1226"/>
      <c r="EQ39" s="1226"/>
      <c r="ER39" s="1226"/>
      <c r="ES39" s="1226"/>
      <c r="ET39" s="1226"/>
      <c r="EU39" s="1226"/>
      <c r="EV39" s="1226"/>
      <c r="EW39" s="1226"/>
      <c r="EX39" s="1226"/>
      <c r="EY39" s="1226"/>
      <c r="EZ39" s="1226"/>
      <c r="FA39" s="1226"/>
      <c r="FB39" s="1226"/>
      <c r="FC39" s="1226"/>
      <c r="FD39" s="1226"/>
      <c r="FE39" s="1226"/>
      <c r="FF39" s="1226"/>
      <c r="FG39" s="1226"/>
      <c r="FH39" s="1226"/>
      <c r="FI39" s="1226"/>
      <c r="FJ39" s="1226"/>
      <c r="FK39" s="1226"/>
      <c r="FL39" s="1226"/>
      <c r="FM39" s="1226"/>
      <c r="FN39" s="1226"/>
      <c r="FO39" s="1226"/>
      <c r="FP39" s="1226"/>
      <c r="FQ39" s="1226"/>
      <c r="FR39" s="1226"/>
    </row>
    <row r="40" spans="1:174" ht="33" x14ac:dyDescent="0.25">
      <c r="A40" s="1227" t="s">
        <v>923</v>
      </c>
      <c r="B40" s="1227"/>
      <c r="C40" s="1275">
        <f t="shared" si="24"/>
        <v>1</v>
      </c>
      <c r="D40" s="1276" t="s">
        <v>4805</v>
      </c>
      <c r="E40" s="1219">
        <f>COUNTIFS(ШТАТ!$AL:$AL,'БЧС Дерябин'!$A40,ШТАТ!$AK:$AK,1)</f>
        <v>1</v>
      </c>
      <c r="F40" s="1219">
        <f>COUNTIFS(ШТАТ!$AL:$AL,'БЧС Дерябин'!$A40,ШТАТ!$AK:$AK,2)</f>
        <v>0</v>
      </c>
      <c r="G40" s="1219">
        <f>COUNTIFS(ШТАТ!$AL:$AL,'БЧС Дерябин'!$A40,ШТАТ!$AK:$AK,3)</f>
        <v>3</v>
      </c>
      <c r="H40" s="1219">
        <f>COUNTIFS(ШТАТ!$AL:$AL,'БЧС Дерябин'!$A40,ШТАТ!$AK:$AK,4)</f>
        <v>9</v>
      </c>
      <c r="I40" s="1221">
        <f t="shared" si="3"/>
        <v>13</v>
      </c>
      <c r="J40" s="1219">
        <f>COUNTIFS(ШТАТ!AL:AL,A40,ШТАТ!AJ:AJ,"о")</f>
        <v>1</v>
      </c>
      <c r="K40" s="1219">
        <f>COUNTIFS(ШТАТ!AL:AL,A40,ШТАТ!AJ:AJ,"п")</f>
        <v>0</v>
      </c>
      <c r="L40" s="1219">
        <f>COUNTIFS(ШТАТ!$AL:$AL,$A40,ШТАТ!AK:AK,3,ШТАТ!AJ:AJ,"с/с")</f>
        <v>0</v>
      </c>
      <c r="M40" s="1219">
        <f>COUNTIFS(ШТАТ!$AL:$AL,$A40,ШТАТ!AK:AK,3,ШТАТ!AJ:AJ,"к/с")</f>
        <v>0</v>
      </c>
      <c r="N40" s="1222">
        <f t="shared" si="11"/>
        <v>0</v>
      </c>
      <c r="O40" s="1220">
        <f>COUNTIFS(ШТАТ!$AL:$AL,$A40,ШТАТ!AK:AK,4,ШТАТ!AJ:AJ,"с/с")</f>
        <v>0</v>
      </c>
      <c r="P40" s="1220">
        <f>COUNTIFS(ШТАТ!$AL:$AL,$A40,ШТАТ!AK:AK,4,ШТАТ!AJ:AJ,"к/с")</f>
        <v>3</v>
      </c>
      <c r="Q40" s="1222">
        <f t="shared" si="12"/>
        <v>3</v>
      </c>
      <c r="R40" s="1221">
        <f t="shared" si="13"/>
        <v>4</v>
      </c>
      <c r="S40" s="1223">
        <f t="shared" si="14"/>
        <v>0.30769230769230771</v>
      </c>
      <c r="T40" s="1219">
        <f>COUNTIFS(ШТАТ!$AL:$AL,$A40,ШТАТ!$AJ:$AJ,"о",ШТАТ!$X:$X,"выполнение специальных задач")</f>
        <v>0</v>
      </c>
      <c r="U40" s="1219">
        <f>COUNTIFS(ШТАТ!$AL:$AL,$A40,ШТАТ!$AJ:$AJ,"п",ШТАТ!$X:$X,"выполнение специальных задач")</f>
        <v>0</v>
      </c>
      <c r="V40" s="1219">
        <f>COUNTIFS(ШТАТ!$AL:$AL,$A40,ШТАТ!$AK:$AK,3,ШТАТ!$AJ:$AJ,"с/с",ШТАТ!$X:$X,"выполнение специальных задач")</f>
        <v>0</v>
      </c>
      <c r="W40" s="1219">
        <f>COUNTIFS(ШТАТ!$AL:$AL,$A40,ШТАТ!$AK:$AK,3,ШТАТ!$AJ:$AJ,"к/с",ШТАТ!$X:$X,"выполнение специальных задач")</f>
        <v>0</v>
      </c>
      <c r="X40" s="1222">
        <f t="shared" si="4"/>
        <v>0</v>
      </c>
      <c r="Y40" s="1219">
        <f>COUNTIFS(ШТАТ!$AL:$AL,$A40,ШТАТ!$AK:$AK,4,ШТАТ!$AJ:$AJ,"с/с",ШТАТ!$X:$X,"выполнение специальных задач")</f>
        <v>0</v>
      </c>
      <c r="Z40" s="1219">
        <f>COUNTIFS(ШТАТ!$AL:$AL,$A40,ШТАТ!$AK:$AK,4,ШТАТ!$AJ:$AJ,"к/с",ШТАТ!$X:$X,"выполнение специальных задач")</f>
        <v>1</v>
      </c>
      <c r="AA40" s="1222">
        <f t="shared" si="5"/>
        <v>1</v>
      </c>
      <c r="AB40" s="1221">
        <f t="shared" si="15"/>
        <v>1</v>
      </c>
      <c r="AC40" s="1224"/>
      <c r="AD40" s="1219">
        <f>COUNTIFS(ШТАТ!$AL:$AL,$A40,ШТАТ!$AK:$AK,1,ШТАТ!$AJ:$AJ,"о",ШТАТ!$W:$W,"г. Белгород")</f>
        <v>0</v>
      </c>
      <c r="AE40" s="1219">
        <f>COUNTIFS(ШТАТ!$AL:$AL,$A40,ШТАТ!$AK:$AK,2,ШТАТ!$AJ:$AJ,"п",ШТАТ!$W:$W,"г. Белгород")</f>
        <v>0</v>
      </c>
      <c r="AF40" s="1219">
        <f>COUNTIFS(ШТАТ!$AL:$AL,$A40,ШТАТ!$AK:$AK,3,ШТАТ!$AJ:$AJ,"с/с",ШТАТ!$W:$W,"г. Белгород")</f>
        <v>0</v>
      </c>
      <c r="AG40" s="1219">
        <f>COUNTIFS(ШТАТ!$AL:$AL,$A40,ШТАТ!$AK:$AK,3,ШТАТ!$AJ:$AJ,"к/с",ШТАТ!$W:$W,"г. Белгород")</f>
        <v>0</v>
      </c>
      <c r="AH40" s="1222">
        <f t="shared" si="6"/>
        <v>0</v>
      </c>
      <c r="AI40" s="1219">
        <f>COUNTIFS(ШТАТ!$AL:$AL,$A40,ШТАТ!$AK:$AK,4,ШТАТ!$AJ:$AJ,"с/с",ШТАТ!$W:$W,"г. Белгород")</f>
        <v>0</v>
      </c>
      <c r="AJ40" s="1219">
        <f>COUNTIFS(ШТАТ!$AL:$AL,$A40,ШТАТ!$AK:$AK,4,ШТАТ!$AJ:$AJ,"к/с",ШТАТ!$W:$W,"г. Белгород")</f>
        <v>1</v>
      </c>
      <c r="AK40" s="1222">
        <f t="shared" si="7"/>
        <v>1</v>
      </c>
      <c r="AL40" s="1221">
        <f t="shared" si="16"/>
        <v>1</v>
      </c>
      <c r="AM40" s="1219">
        <f>COUNTIFS(ШТАТ!$AL:$AL,$A40,ШТАТ!$AK:$AK,1,ШТАТ!$AJ:$AJ,"о",ШТАТ!$U:$U,"")</f>
        <v>1</v>
      </c>
      <c r="AN40" s="1219">
        <f>COUNTIFS(ШТАТ!$AL:$AL,$A40,ШТАТ!$AK:$AK,2,ШТАТ!$AJ:$AJ,"п",ШТАТ!$U:$U,"")</f>
        <v>0</v>
      </c>
      <c r="AO40" s="1219">
        <f>COUNTIFS(ШТАТ!$AL:$AL,$A40,ШТАТ!$AK:$AK,3,ШТАТ!$AJ:$AJ,"с/с",ШТАТ!$U:$U,"")</f>
        <v>0</v>
      </c>
      <c r="AP40" s="1219">
        <f>COUNTIFS(ШТАТ!$AL:$AL,$A40,ШТАТ!$AK:$AK,3,ШТАТ!$AJ:$AJ,"к/с",ШТАТ!$U:$U,"")</f>
        <v>0</v>
      </c>
      <c r="AQ40" s="1222">
        <f t="shared" si="17"/>
        <v>0</v>
      </c>
      <c r="AR40" s="1219">
        <f>COUNTIFS(ШТАТ!$AL:$AL,$A40,ШТАТ!$AK:$AK,4,ШТАТ!$AJ:$AJ,"с/с",ШТАТ!$U:$U,"")</f>
        <v>0</v>
      </c>
      <c r="AS40" s="1219">
        <f>COUNTIFS(ШТАТ!$AL:$AL,$A40,ШТАТ!$AK:$AK,4,ШТАТ!$AJ:$AJ,"к/с",ШТАТ!$U:$U,"")</f>
        <v>0</v>
      </c>
      <c r="AT40" s="1222">
        <f t="shared" si="8"/>
        <v>0</v>
      </c>
      <c r="AU40" s="1221">
        <f t="shared" si="18"/>
        <v>1</v>
      </c>
      <c r="AV40" s="1219">
        <f>COUNTIFS(ШТАТ!$AL:$AL,$A40,ШТАТ!$U:$U,"госп")</f>
        <v>0</v>
      </c>
      <c r="AW40" s="1225">
        <f t="shared" si="9"/>
        <v>0</v>
      </c>
      <c r="AX40" s="1219">
        <f>COUNTIFS(ШТАТ!$AL:$AL,$A40,ШТАТ!$U:$U,"отпуск")</f>
        <v>1</v>
      </c>
      <c r="AY40" s="1219">
        <f>COUNTIFS(ШТАТ!$AL:$AL,$A40,ШТАТ!$U:$U,"соч")</f>
        <v>0</v>
      </c>
      <c r="AZ40" s="1225"/>
      <c r="BA40" s="1219">
        <f>COUNTIFS(ШТАТ!$AL:$AL,$A40,ШТАТ!$U:$U,"МП")</f>
        <v>0</v>
      </c>
      <c r="BB40" s="1226"/>
      <c r="BC40" s="1226"/>
      <c r="BD40" s="1219"/>
      <c r="BE40" s="1226"/>
      <c r="BF40" s="1226"/>
      <c r="BG40" s="1226"/>
      <c r="BH40" s="1226"/>
      <c r="BI40" s="1226"/>
      <c r="BJ40" s="1226"/>
      <c r="BK40" s="1226"/>
      <c r="BL40" s="1226"/>
      <c r="BM40" s="1226"/>
      <c r="BN40" s="1226"/>
      <c r="BO40" s="1226"/>
      <c r="BP40" s="1226"/>
      <c r="BQ40" s="1226"/>
      <c r="BR40" s="1226"/>
      <c r="BS40" s="1226"/>
      <c r="BT40" s="1226"/>
      <c r="BU40" s="1226"/>
      <c r="BV40" s="1226"/>
      <c r="BW40" s="1226"/>
      <c r="BX40" s="1226"/>
      <c r="BY40" s="1226"/>
      <c r="BZ40" s="1226"/>
      <c r="CA40" s="1226"/>
      <c r="CB40" s="1226"/>
      <c r="CC40" s="1226"/>
      <c r="CD40" s="1226"/>
      <c r="CE40" s="1226"/>
      <c r="CF40" s="1226"/>
      <c r="CG40" s="1226"/>
      <c r="CH40" s="1226"/>
      <c r="CI40" s="1226"/>
      <c r="CJ40" s="1226"/>
      <c r="CK40" s="1226"/>
      <c r="CL40" s="1226"/>
      <c r="CM40" s="1226"/>
      <c r="CN40" s="1226"/>
      <c r="CO40" s="1226"/>
      <c r="CP40" s="1226"/>
      <c r="CQ40" s="1226"/>
      <c r="CR40" s="1226"/>
      <c r="CS40" s="1226"/>
      <c r="CT40" s="1226"/>
      <c r="CU40" s="1226"/>
      <c r="CV40" s="1226"/>
      <c r="CW40" s="1226"/>
      <c r="CX40" s="1226"/>
      <c r="CY40" s="1226"/>
      <c r="CZ40" s="1226"/>
      <c r="DA40" s="1226"/>
      <c r="DB40" s="1226"/>
      <c r="DC40" s="1226"/>
      <c r="DD40" s="1226"/>
      <c r="DE40" s="1226"/>
      <c r="DF40" s="1226"/>
      <c r="DG40" s="1226"/>
      <c r="DH40" s="1226"/>
      <c r="DI40" s="1226"/>
      <c r="DJ40" s="1226"/>
      <c r="DK40" s="1226"/>
      <c r="DL40" s="1226"/>
      <c r="DM40" s="1226">
        <v>6</v>
      </c>
      <c r="DN40" s="1226"/>
      <c r="DO40" s="1226"/>
      <c r="DP40" s="1226"/>
      <c r="DQ40" s="1226"/>
      <c r="DR40" s="1226"/>
      <c r="DS40" s="1226"/>
      <c r="DT40" s="1226"/>
      <c r="DU40" s="1226"/>
      <c r="DV40" s="1226">
        <f>COUNTIFS(ШТАТ!$AN:$AN,"Урал-4320-31",ШТАТ!AL:AL,"Управление")</f>
        <v>0</v>
      </c>
      <c r="DW40" s="1226"/>
      <c r="DX40" s="1226"/>
      <c r="DY40" s="1226"/>
      <c r="DZ40" s="1226"/>
      <c r="EA40" s="1226"/>
      <c r="EB40" s="1226"/>
      <c r="EC40" s="1226"/>
      <c r="ED40" s="1226"/>
      <c r="EE40" s="1226"/>
      <c r="EF40" s="1226"/>
      <c r="EG40" s="1226"/>
      <c r="EH40" s="1226"/>
      <c r="EI40" s="1226"/>
      <c r="EJ40" s="1226"/>
      <c r="EK40" s="1226"/>
      <c r="EL40" s="1226"/>
      <c r="EM40" s="1226"/>
      <c r="EN40" s="1226"/>
      <c r="EO40" s="1226"/>
      <c r="EP40" s="1226"/>
      <c r="EQ40" s="1226"/>
      <c r="ER40" s="1226"/>
      <c r="ES40" s="1226"/>
      <c r="ET40" s="1226"/>
      <c r="EU40" s="1226"/>
      <c r="EV40" s="1226"/>
      <c r="EW40" s="1226"/>
      <c r="EX40" s="1226"/>
      <c r="EY40" s="1226"/>
      <c r="EZ40" s="1226"/>
      <c r="FA40" s="1226"/>
      <c r="FB40" s="1226"/>
      <c r="FC40" s="1226"/>
      <c r="FD40" s="1226"/>
      <c r="FE40" s="1226"/>
      <c r="FF40" s="1226"/>
      <c r="FG40" s="1226"/>
      <c r="FH40" s="1226"/>
      <c r="FI40" s="1226"/>
      <c r="FJ40" s="1226"/>
      <c r="FK40" s="1226"/>
      <c r="FL40" s="1226"/>
      <c r="FM40" s="1226"/>
      <c r="FN40" s="1226"/>
      <c r="FO40" s="1226"/>
      <c r="FP40" s="1226"/>
      <c r="FQ40" s="1226"/>
      <c r="FR40" s="1226"/>
    </row>
    <row r="41" spans="1:174" ht="33" x14ac:dyDescent="0.25">
      <c r="A41" s="1227" t="s">
        <v>503</v>
      </c>
      <c r="B41" s="1227"/>
      <c r="C41" s="1275">
        <f t="shared" si="24"/>
        <v>0</v>
      </c>
      <c r="D41" s="1276" t="s">
        <v>4805</v>
      </c>
      <c r="E41" s="1219">
        <f>COUNTIFS(ШТАТ!$AL:$AL,'БЧС Дерябин'!$A41,ШТАТ!$AK:$AK,1)</f>
        <v>1</v>
      </c>
      <c r="F41" s="1219">
        <f>COUNTIFS(ШТАТ!$AL:$AL,'БЧС Дерябин'!$A41,ШТАТ!$AK:$AK,2)</f>
        <v>0</v>
      </c>
      <c r="G41" s="1219">
        <f>COUNTIFS(ШТАТ!$AL:$AL,'БЧС Дерябин'!$A41,ШТАТ!$AK:$AK,3)</f>
        <v>1</v>
      </c>
      <c r="H41" s="1219">
        <f>COUNTIFS(ШТАТ!$AL:$AL,'БЧС Дерябин'!$A41,ШТАТ!$AK:$AK,4)</f>
        <v>11</v>
      </c>
      <c r="I41" s="1221">
        <f t="shared" si="3"/>
        <v>13</v>
      </c>
      <c r="J41" s="1219">
        <f>COUNTIFS(ШТАТ!AL:AL,A41,ШТАТ!AJ:AJ,"о")</f>
        <v>1</v>
      </c>
      <c r="K41" s="1219">
        <f>COUNTIFS(ШТАТ!AL:AL,A41,ШТАТ!AJ:AJ,"п")</f>
        <v>0</v>
      </c>
      <c r="L41" s="1219">
        <f>COUNTIFS(ШТАТ!$AL:$AL,$A41,ШТАТ!AK:AK,3,ШТАТ!AJ:AJ,"с/с")</f>
        <v>0</v>
      </c>
      <c r="M41" s="1219">
        <f>COUNTIFS(ШТАТ!$AL:$AL,$A41,ШТАТ!AK:AK,3,ШТАТ!AJ:AJ,"к/с")</f>
        <v>1</v>
      </c>
      <c r="N41" s="1222">
        <f t="shared" si="11"/>
        <v>1</v>
      </c>
      <c r="O41" s="1220">
        <f>COUNTIFS(ШТАТ!$AL:$AL,$A41,ШТАТ!AK:AK,4,ШТАТ!AJ:AJ,"с/с")</f>
        <v>2</v>
      </c>
      <c r="P41" s="1220">
        <f>COUNTIFS(ШТАТ!$AL:$AL,$A41,ШТАТ!AK:AK,4,ШТАТ!AJ:AJ,"к/с")</f>
        <v>5</v>
      </c>
      <c r="Q41" s="1222">
        <f t="shared" si="12"/>
        <v>7</v>
      </c>
      <c r="R41" s="1221">
        <f t="shared" si="13"/>
        <v>9</v>
      </c>
      <c r="S41" s="1223">
        <f t="shared" si="14"/>
        <v>0.69230769230769229</v>
      </c>
      <c r="T41" s="1219">
        <f>COUNTIFS(ШТАТ!$AL:$AL,$A41,ШТАТ!$AJ:$AJ,"о",ШТАТ!$X:$X,"выполнение специальных задач")</f>
        <v>0</v>
      </c>
      <c r="U41" s="1219">
        <f>COUNTIFS(ШТАТ!$AL:$AL,$A41,ШТАТ!$AJ:$AJ,"п",ШТАТ!$X:$X,"выполнение специальных задач")</f>
        <v>0</v>
      </c>
      <c r="V41" s="1219">
        <f>COUNTIFS(ШТАТ!$AL:$AL,$A41,ШТАТ!$AK:$AK,3,ШТАТ!$AJ:$AJ,"с/с",ШТАТ!$X:$X,"выполнение специальных задач")</f>
        <v>0</v>
      </c>
      <c r="W41" s="1219">
        <f>COUNTIFS(ШТАТ!$AL:$AL,$A41,ШТАТ!$AK:$AK,3,ШТАТ!$AJ:$AJ,"к/с",ШТАТ!$X:$X,"выполнение специальных задач")</f>
        <v>0</v>
      </c>
      <c r="X41" s="1222">
        <f t="shared" si="4"/>
        <v>0</v>
      </c>
      <c r="Y41" s="1219">
        <f>COUNTIFS(ШТАТ!$AL:$AL,$A41,ШТАТ!$AK:$AK,4,ШТАТ!$AJ:$AJ,"с/с",ШТАТ!$X:$X,"выполнение специальных задач")</f>
        <v>0</v>
      </c>
      <c r="Z41" s="1219">
        <f>COUNTIFS(ШТАТ!$AL:$AL,$A41,ШТАТ!$AK:$AK,4,ШТАТ!$AJ:$AJ,"к/с",ШТАТ!$X:$X,"выполнение специальных задач")</f>
        <v>0</v>
      </c>
      <c r="AA41" s="1222">
        <f t="shared" si="5"/>
        <v>0</v>
      </c>
      <c r="AB41" s="1221">
        <f t="shared" si="15"/>
        <v>0</v>
      </c>
      <c r="AC41" s="1224"/>
      <c r="AD41" s="1219">
        <f>COUNTIFS(ШТАТ!$AL:$AL,$A41,ШТАТ!$AK:$AK,1,ШТАТ!$AJ:$AJ,"о",ШТАТ!$W:$W,"г. Белгород")</f>
        <v>1</v>
      </c>
      <c r="AE41" s="1219">
        <f>COUNTIFS(ШТАТ!$AL:$AL,$A41,ШТАТ!$AK:$AK,2,ШТАТ!$AJ:$AJ,"п",ШТАТ!$W:$W,"г. Белгород")</f>
        <v>0</v>
      </c>
      <c r="AF41" s="1219">
        <f>COUNTIFS(ШТАТ!$AL:$AL,$A41,ШТАТ!$AK:$AK,3,ШТАТ!$AJ:$AJ,"с/с",ШТАТ!$W:$W,"г. Белгород")</f>
        <v>0</v>
      </c>
      <c r="AG41" s="1219">
        <f>COUNTIFS(ШТАТ!$AL:$AL,$A41,ШТАТ!$AK:$AK,3,ШТАТ!$AJ:$AJ,"к/с",ШТАТ!$W:$W,"г. Белгород")</f>
        <v>0</v>
      </c>
      <c r="AH41" s="1222">
        <f t="shared" si="6"/>
        <v>0</v>
      </c>
      <c r="AI41" s="1219">
        <f>COUNTIFS(ШТАТ!$AL:$AL,$A41,ШТАТ!$AK:$AK,4,ШТАТ!$AJ:$AJ,"с/с",ШТАТ!$W:$W,"г. Белгород")</f>
        <v>0</v>
      </c>
      <c r="AJ41" s="1219">
        <f>COUNTIFS(ШТАТ!$AL:$AL,$A41,ШТАТ!$AK:$AK,4,ШТАТ!$AJ:$AJ,"к/с",ШТАТ!$W:$W,"г. Белгород")</f>
        <v>1</v>
      </c>
      <c r="AK41" s="1222">
        <f t="shared" si="7"/>
        <v>1</v>
      </c>
      <c r="AL41" s="1221">
        <f t="shared" si="16"/>
        <v>2</v>
      </c>
      <c r="AM41" s="1219">
        <f>COUNTIFS(ШТАТ!$AL:$AL,$A41,ШТАТ!$AK:$AK,1,ШТАТ!$AJ:$AJ,"о",ШТАТ!$U:$U,"")</f>
        <v>0</v>
      </c>
      <c r="AN41" s="1219">
        <f>COUNTIFS(ШТАТ!$AL:$AL,$A41,ШТАТ!$AK:$AK,2,ШТАТ!$AJ:$AJ,"п",ШТАТ!$U:$U,"")</f>
        <v>0</v>
      </c>
      <c r="AO41" s="1219">
        <f>COUNTIFS(ШТАТ!$AL:$AL,$A41,ШТАТ!$AK:$AK,3,ШТАТ!$AJ:$AJ,"с/с",ШТАТ!$U:$U,"")</f>
        <v>0</v>
      </c>
      <c r="AP41" s="1219">
        <f>COUNTIFS(ШТАТ!$AL:$AL,$A41,ШТАТ!$AK:$AK,3,ШТАТ!$AJ:$AJ,"к/с",ШТАТ!$U:$U,"")</f>
        <v>0</v>
      </c>
      <c r="AQ41" s="1222">
        <f t="shared" si="17"/>
        <v>0</v>
      </c>
      <c r="AR41" s="1219">
        <f>COUNTIFS(ШТАТ!$AL:$AL,$A41,ШТАТ!$AK:$AK,4,ШТАТ!$AJ:$AJ,"с/с",ШТАТ!$U:$U,"")</f>
        <v>0</v>
      </c>
      <c r="AS41" s="1219">
        <f>COUNTIFS(ШТАТ!$AL:$AL,$A41,ШТАТ!$AK:$AK,4,ШТАТ!$AJ:$AJ,"к/с",ШТАТ!$U:$U,"")</f>
        <v>0</v>
      </c>
      <c r="AT41" s="1222">
        <f t="shared" si="8"/>
        <v>0</v>
      </c>
      <c r="AU41" s="1221">
        <f t="shared" si="18"/>
        <v>0</v>
      </c>
      <c r="AV41" s="1219">
        <f>COUNTIFS(ШТАТ!$AL:$AL,$A41,ШТАТ!$U:$U,"госп")</f>
        <v>0</v>
      </c>
      <c r="AW41" s="1225">
        <f t="shared" si="9"/>
        <v>6</v>
      </c>
      <c r="AX41" s="1219">
        <f>COUNTIFS(ШТАТ!$AL:$AL,$A41,ШТАТ!$U:$U,"отпуск")</f>
        <v>0</v>
      </c>
      <c r="AY41" s="1219">
        <f>COUNTIFS(ШТАТ!$AL:$AL,$A41,ШТАТ!$U:$U,"соч")</f>
        <v>0</v>
      </c>
      <c r="AZ41" s="1225"/>
      <c r="BA41" s="1219">
        <f>COUNTIFS(ШТАТ!$AL:$AL,$A41,ШТАТ!$U:$U,"МП")</f>
        <v>1</v>
      </c>
      <c r="BB41" s="1226"/>
      <c r="BC41" s="1226"/>
      <c r="BD41" s="1219"/>
      <c r="BE41" s="1226"/>
      <c r="BF41" s="1226"/>
      <c r="BG41" s="1226"/>
      <c r="BH41" s="1226"/>
      <c r="BI41" s="1226"/>
      <c r="BJ41" s="1226"/>
      <c r="BK41" s="1226"/>
      <c r="BL41" s="1226"/>
      <c r="BM41" s="1226"/>
      <c r="BN41" s="1226"/>
      <c r="BO41" s="1226"/>
      <c r="BP41" s="1226"/>
      <c r="BQ41" s="1226"/>
      <c r="BR41" s="1226"/>
      <c r="BS41" s="1226"/>
      <c r="BT41" s="1226"/>
      <c r="BU41" s="1226"/>
      <c r="BV41" s="1226"/>
      <c r="BW41" s="1226"/>
      <c r="BX41" s="1226"/>
      <c r="BY41" s="1226"/>
      <c r="BZ41" s="1226"/>
      <c r="CA41" s="1226"/>
      <c r="CB41" s="1226"/>
      <c r="CC41" s="1226"/>
      <c r="CD41" s="1226"/>
      <c r="CE41" s="1226"/>
      <c r="CF41" s="1226"/>
      <c r="CG41" s="1226"/>
      <c r="CH41" s="1226"/>
      <c r="CI41" s="1226"/>
      <c r="CJ41" s="1226"/>
      <c r="CK41" s="1226"/>
      <c r="CL41" s="1226"/>
      <c r="CM41" s="1226"/>
      <c r="CN41" s="1226"/>
      <c r="CO41" s="1226"/>
      <c r="CP41" s="1226"/>
      <c r="CQ41" s="1226"/>
      <c r="CR41" s="1226"/>
      <c r="CS41" s="1226"/>
      <c r="CT41" s="1226"/>
      <c r="CU41" s="1226"/>
      <c r="CV41" s="1226"/>
      <c r="CW41" s="1226"/>
      <c r="CX41" s="1226"/>
      <c r="CY41" s="1226"/>
      <c r="CZ41" s="1226"/>
      <c r="DA41" s="1226"/>
      <c r="DB41" s="1226"/>
      <c r="DC41" s="1226"/>
      <c r="DD41" s="1226">
        <v>1</v>
      </c>
      <c r="DE41" s="1226"/>
      <c r="DF41" s="1226"/>
      <c r="DG41" s="1226"/>
      <c r="DH41" s="1226"/>
      <c r="DI41" s="1226"/>
      <c r="DJ41" s="1226"/>
      <c r="DK41" s="1226">
        <v>2</v>
      </c>
      <c r="DL41" s="1226"/>
      <c r="DM41" s="1226"/>
      <c r="DN41" s="1226"/>
      <c r="DO41" s="1226"/>
      <c r="DP41" s="1226"/>
      <c r="DQ41" s="1226"/>
      <c r="DR41" s="1226"/>
      <c r="DS41" s="1226"/>
      <c r="DT41" s="1226"/>
      <c r="DU41" s="1226"/>
      <c r="DV41" s="1226">
        <f>COUNTIFS(ШТАТ!$AN:$AN,"Урал-4320-31",ШТАТ!AL:AL,"Управление")</f>
        <v>0</v>
      </c>
      <c r="DW41" s="1226"/>
      <c r="DX41" s="1226"/>
      <c r="DY41" s="1226"/>
      <c r="DZ41" s="1226"/>
      <c r="EA41" s="1226"/>
      <c r="EB41" s="1226"/>
      <c r="EC41" s="1226"/>
      <c r="ED41" s="1226"/>
      <c r="EE41" s="1226"/>
      <c r="EF41" s="1226"/>
      <c r="EG41" s="1226"/>
      <c r="EH41" s="1226"/>
      <c r="EI41" s="1226"/>
      <c r="EJ41" s="1226"/>
      <c r="EK41" s="1226"/>
      <c r="EL41" s="1226"/>
      <c r="EM41" s="1226"/>
      <c r="EN41" s="1226"/>
      <c r="EO41" s="1226"/>
      <c r="EP41" s="1226"/>
      <c r="EQ41" s="1226"/>
      <c r="ER41" s="1226"/>
      <c r="ES41" s="1226"/>
      <c r="ET41" s="1226"/>
      <c r="EU41" s="1226"/>
      <c r="EV41" s="1226"/>
      <c r="EW41" s="1226"/>
      <c r="EX41" s="1226"/>
      <c r="EY41" s="1226"/>
      <c r="EZ41" s="1226"/>
      <c r="FA41" s="1226"/>
      <c r="FB41" s="1226"/>
      <c r="FC41" s="1226"/>
      <c r="FD41" s="1226"/>
      <c r="FE41" s="1226"/>
      <c r="FF41" s="1226"/>
      <c r="FG41" s="1226"/>
      <c r="FH41" s="1226"/>
      <c r="FI41" s="1226"/>
      <c r="FJ41" s="1226"/>
      <c r="FK41" s="1226"/>
      <c r="FL41" s="1226"/>
      <c r="FM41" s="1226"/>
      <c r="FN41" s="1226"/>
      <c r="FO41" s="1226"/>
      <c r="FP41" s="1226"/>
      <c r="FQ41" s="1226"/>
      <c r="FR41" s="1226"/>
    </row>
    <row r="42" spans="1:174" ht="33" x14ac:dyDescent="0.25">
      <c r="A42" s="1227" t="s">
        <v>504</v>
      </c>
      <c r="B42" s="1227"/>
      <c r="C42" s="1275">
        <f t="shared" si="24"/>
        <v>2</v>
      </c>
      <c r="D42" s="1276" t="s">
        <v>4805</v>
      </c>
      <c r="E42" s="1219">
        <f>COUNTIFS(ШТАТ!$AL:$AL,'БЧС Дерябин'!$A42,ШТАТ!$AK:$AK,1)</f>
        <v>1</v>
      </c>
      <c r="F42" s="1219">
        <f>COUNTIFS(ШТАТ!$AL:$AL,'БЧС Дерябин'!$A42,ШТАТ!$AK:$AK,2)</f>
        <v>1</v>
      </c>
      <c r="G42" s="1219">
        <f>COUNTIFS(ШТАТ!$AL:$AL,'БЧС Дерябин'!$A42,ШТАТ!$AK:$AK,3)</f>
        <v>4</v>
      </c>
      <c r="H42" s="1219">
        <f>COUNTIFS(ШТАТ!$AL:$AL,'БЧС Дерябин'!$A42,ШТАТ!$AK:$AK,4)</f>
        <v>9</v>
      </c>
      <c r="I42" s="1221">
        <f t="shared" si="3"/>
        <v>15</v>
      </c>
      <c r="J42" s="1219">
        <f>COUNTIFS(ШТАТ!AL:AL,A42,ШТАТ!AJ:AJ,"о")</f>
        <v>0</v>
      </c>
      <c r="K42" s="1219">
        <f>COUNTIFS(ШТАТ!AL:AL,A42,ШТАТ!AJ:AJ,"п")</f>
        <v>0</v>
      </c>
      <c r="L42" s="1219">
        <f>COUNTIFS(ШТАТ!$AL:$AL,$A42,ШТАТ!AK:AK,3,ШТАТ!AJ:AJ,"с/с")</f>
        <v>0</v>
      </c>
      <c r="M42" s="1219">
        <f>COUNTIFS(ШТАТ!$AL:$AL,$A42,ШТАТ!AK:AK,3,ШТАТ!AJ:AJ,"к/с")</f>
        <v>1</v>
      </c>
      <c r="N42" s="1222">
        <f t="shared" si="11"/>
        <v>1</v>
      </c>
      <c r="O42" s="1220">
        <f>COUNTIFS(ШТАТ!$AL:$AL,$A42,ШТАТ!AK:AK,4,ШТАТ!AJ:AJ,"с/с")</f>
        <v>3</v>
      </c>
      <c r="P42" s="1220">
        <f>COUNTIFS(ШТАТ!$AL:$AL,$A42,ШТАТ!AK:AK,4,ШТАТ!AJ:AJ,"к/с")</f>
        <v>2</v>
      </c>
      <c r="Q42" s="1222">
        <f t="shared" si="12"/>
        <v>5</v>
      </c>
      <c r="R42" s="1221">
        <f t="shared" si="13"/>
        <v>6</v>
      </c>
      <c r="S42" s="1223">
        <f t="shared" si="14"/>
        <v>0.4</v>
      </c>
      <c r="T42" s="1219">
        <f>COUNTIFS(ШТАТ!$AL:$AL,$A42,ШТАТ!$AJ:$AJ,"о",ШТАТ!$X:$X,"выполнение специальных задач")</f>
        <v>0</v>
      </c>
      <c r="U42" s="1219">
        <f>COUNTIFS(ШТАТ!$AL:$AL,$A42,ШТАТ!$AJ:$AJ,"п",ШТАТ!$X:$X,"выполнение специальных задач")</f>
        <v>0</v>
      </c>
      <c r="V42" s="1219">
        <f>COUNTIFS(ШТАТ!$AL:$AL,$A42,ШТАТ!$AK:$AK,3,ШТАТ!$AJ:$AJ,"с/с",ШТАТ!$X:$X,"выполнение специальных задач")</f>
        <v>0</v>
      </c>
      <c r="W42" s="1219">
        <f>COUNTIFS(ШТАТ!$AL:$AL,$A42,ШТАТ!$AK:$AK,3,ШТАТ!$AJ:$AJ,"к/с",ШТАТ!$X:$X,"выполнение специальных задач")</f>
        <v>0</v>
      </c>
      <c r="X42" s="1222">
        <f t="shared" si="4"/>
        <v>0</v>
      </c>
      <c r="Y42" s="1219">
        <f>COUNTIFS(ШТАТ!$AL:$AL,$A42,ШТАТ!$AK:$AK,4,ШТАТ!$AJ:$AJ,"с/с",ШТАТ!$X:$X,"выполнение специальных задач")</f>
        <v>0</v>
      </c>
      <c r="Z42" s="1219">
        <f>COUNTIFS(ШТАТ!$AL:$AL,$A42,ШТАТ!$AK:$AK,4,ШТАТ!$AJ:$AJ,"к/с",ШТАТ!$X:$X,"выполнение специальных задач")</f>
        <v>0</v>
      </c>
      <c r="AA42" s="1222">
        <f t="shared" si="5"/>
        <v>0</v>
      </c>
      <c r="AB42" s="1221">
        <f t="shared" si="15"/>
        <v>0</v>
      </c>
      <c r="AC42" s="1224"/>
      <c r="AD42" s="1219">
        <f>COUNTIFS(ШТАТ!$AL:$AL,$A42,ШТАТ!$AK:$AK,1,ШТАТ!$AJ:$AJ,"о",ШТАТ!$W:$W,"г. Белгород")</f>
        <v>0</v>
      </c>
      <c r="AE42" s="1219">
        <f>COUNTIFS(ШТАТ!$AL:$AL,$A42,ШТАТ!$AK:$AK,2,ШТАТ!$AJ:$AJ,"п",ШТАТ!$W:$W,"г. Белгород")</f>
        <v>0</v>
      </c>
      <c r="AF42" s="1219">
        <f>COUNTIFS(ШТАТ!$AL:$AL,$A42,ШТАТ!$AK:$AK,3,ШТАТ!$AJ:$AJ,"с/с",ШТАТ!$W:$W,"г. Белгород")</f>
        <v>0</v>
      </c>
      <c r="AG42" s="1219">
        <f>COUNTIFS(ШТАТ!$AL:$AL,$A42,ШТАТ!$AK:$AK,3,ШТАТ!$AJ:$AJ,"к/с",ШТАТ!$W:$W,"г. Белгород")</f>
        <v>1</v>
      </c>
      <c r="AH42" s="1222">
        <f t="shared" si="6"/>
        <v>1</v>
      </c>
      <c r="AI42" s="1219">
        <f>COUNTIFS(ШТАТ!$AL:$AL,$A42,ШТАТ!$AK:$AK,4,ШТАТ!$AJ:$AJ,"с/с",ШТАТ!$W:$W,"г. Белгород")</f>
        <v>0</v>
      </c>
      <c r="AJ42" s="1219">
        <f>COUNTIFS(ШТАТ!$AL:$AL,$A42,ШТАТ!$AK:$AK,4,ШТАТ!$AJ:$AJ,"к/с",ШТАТ!$W:$W,"г. Белгород")</f>
        <v>0</v>
      </c>
      <c r="AK42" s="1222">
        <f t="shared" si="7"/>
        <v>0</v>
      </c>
      <c r="AL42" s="1221">
        <f t="shared" si="16"/>
        <v>1</v>
      </c>
      <c r="AM42" s="1219">
        <f>COUNTIFS(ШТАТ!$AL:$AL,$A42,ШТАТ!$AK:$AK,1,ШТАТ!$AJ:$AJ,"о",ШТАТ!$U:$U,"")</f>
        <v>0</v>
      </c>
      <c r="AN42" s="1219">
        <f>COUNTIFS(ШТАТ!$AL:$AL,$A42,ШТАТ!$AK:$AK,2,ШТАТ!$AJ:$AJ,"п",ШТАТ!$U:$U,"")</f>
        <v>0</v>
      </c>
      <c r="AO42" s="1219">
        <f>COUNTIFS(ШТАТ!$AL:$AL,$A42,ШТАТ!$AK:$AK,3,ШТАТ!$AJ:$AJ,"с/с",ШТАТ!$U:$U,"")</f>
        <v>0</v>
      </c>
      <c r="AP42" s="1219">
        <f>COUNTIFS(ШТАТ!$AL:$AL,$A42,ШТАТ!$AK:$AK,3,ШТАТ!$AJ:$AJ,"к/с",ШТАТ!$U:$U,"")</f>
        <v>0</v>
      </c>
      <c r="AQ42" s="1222">
        <f t="shared" si="17"/>
        <v>0</v>
      </c>
      <c r="AR42" s="1219">
        <f>COUNTIFS(ШТАТ!$AL:$AL,$A42,ШТАТ!$AK:$AK,4,ШТАТ!$AJ:$AJ,"с/с",ШТАТ!$U:$U,"")</f>
        <v>1</v>
      </c>
      <c r="AS42" s="1219">
        <f>COUNTIFS(ШТАТ!$AL:$AL,$A42,ШТАТ!$AK:$AK,4,ШТАТ!$AJ:$AJ,"к/с",ШТАТ!$U:$U,"")</f>
        <v>1</v>
      </c>
      <c r="AT42" s="1222">
        <f t="shared" si="8"/>
        <v>2</v>
      </c>
      <c r="AU42" s="1221">
        <f t="shared" si="18"/>
        <v>2</v>
      </c>
      <c r="AV42" s="1219">
        <f>COUNTIFS(ШТАТ!$AL:$AL,$A42,ШТАТ!$U:$U,"госп")</f>
        <v>0</v>
      </c>
      <c r="AW42" s="1225">
        <f t="shared" si="9"/>
        <v>2</v>
      </c>
      <c r="AX42" s="1219">
        <f>COUNTIFS(ШТАТ!$AL:$AL,$A42,ШТАТ!$U:$U,"отпуск")</f>
        <v>0</v>
      </c>
      <c r="AY42" s="1219">
        <f>COUNTIFS(ШТАТ!$AL:$AL,$A42,ШТАТ!$U:$U,"соч")</f>
        <v>1</v>
      </c>
      <c r="AZ42" s="1225"/>
      <c r="BA42" s="1219">
        <f>COUNTIFS(ШТАТ!$AL:$AL,$A42,ШТАТ!$U:$U,"МП")</f>
        <v>0</v>
      </c>
      <c r="BB42" s="1226"/>
      <c r="BC42" s="1226"/>
      <c r="BD42" s="1219"/>
      <c r="BE42" s="1226"/>
      <c r="BF42" s="1226"/>
      <c r="BG42" s="1226"/>
      <c r="BH42" s="1226"/>
      <c r="BI42" s="1226"/>
      <c r="BJ42" s="1226"/>
      <c r="BK42" s="1226"/>
      <c r="BL42" s="1226"/>
      <c r="BM42" s="1226"/>
      <c r="BN42" s="1226"/>
      <c r="BO42" s="1226"/>
      <c r="BP42" s="1226"/>
      <c r="BQ42" s="1226"/>
      <c r="BR42" s="1226"/>
      <c r="BS42" s="1226"/>
      <c r="BT42" s="1226"/>
      <c r="BU42" s="1226"/>
      <c r="BV42" s="1226"/>
      <c r="BW42" s="1226"/>
      <c r="BX42" s="1226"/>
      <c r="BY42" s="1226"/>
      <c r="BZ42" s="1226"/>
      <c r="CA42" s="1226"/>
      <c r="CB42" s="1226"/>
      <c r="CC42" s="1226"/>
      <c r="CD42" s="1226"/>
      <c r="CE42" s="1226"/>
      <c r="CF42" s="1226"/>
      <c r="CG42" s="1226"/>
      <c r="CH42" s="1226"/>
      <c r="CI42" s="1226"/>
      <c r="CJ42" s="1226"/>
      <c r="CK42" s="1226"/>
      <c r="CL42" s="1226"/>
      <c r="CM42" s="1226"/>
      <c r="CN42" s="1226"/>
      <c r="CO42" s="1226"/>
      <c r="CP42" s="1226"/>
      <c r="CQ42" s="1226"/>
      <c r="CR42" s="1226"/>
      <c r="CS42" s="1226"/>
      <c r="CT42" s="1226"/>
      <c r="CU42" s="1226"/>
      <c r="CV42" s="1226"/>
      <c r="CW42" s="1226"/>
      <c r="CX42" s="1226"/>
      <c r="CY42" s="1226"/>
      <c r="CZ42" s="1226"/>
      <c r="DA42" s="1226"/>
      <c r="DB42" s="1226"/>
      <c r="DC42" s="1226"/>
      <c r="DD42" s="1226"/>
      <c r="DE42" s="1226"/>
      <c r="DF42" s="1226"/>
      <c r="DG42" s="1226"/>
      <c r="DH42" s="1226"/>
      <c r="DI42" s="1226"/>
      <c r="DJ42" s="1226"/>
      <c r="DK42" s="1226"/>
      <c r="DL42" s="1226"/>
      <c r="DM42" s="1226"/>
      <c r="DN42" s="1226"/>
      <c r="DO42" s="1226"/>
      <c r="DP42" s="1226"/>
      <c r="DQ42" s="1226"/>
      <c r="DR42" s="1226"/>
      <c r="DS42" s="1226"/>
      <c r="DT42" s="1226"/>
      <c r="DU42" s="1226"/>
      <c r="DV42" s="1226">
        <f>COUNTIFS(ШТАТ!$AN:$AN,"Урал-4320-31",ШТАТ!AL:AL,"Управление")</f>
        <v>0</v>
      </c>
      <c r="DW42" s="1226"/>
      <c r="DX42" s="1226"/>
      <c r="DY42" s="1226"/>
      <c r="DZ42" s="1226"/>
      <c r="EA42" s="1226"/>
      <c r="EB42" s="1226"/>
      <c r="EC42" s="1226"/>
      <c r="ED42" s="1226"/>
      <c r="EE42" s="1226"/>
      <c r="EF42" s="1226"/>
      <c r="EG42" s="1226"/>
      <c r="EH42" s="1226"/>
      <c r="EI42" s="1226"/>
      <c r="EJ42" s="1226"/>
      <c r="EK42" s="1226"/>
      <c r="EL42" s="1226"/>
      <c r="EM42" s="1226"/>
      <c r="EN42" s="1226"/>
      <c r="EO42" s="1226"/>
      <c r="EP42" s="1226"/>
      <c r="EQ42" s="1226"/>
      <c r="ER42" s="1226"/>
      <c r="ES42" s="1226"/>
      <c r="ET42" s="1226"/>
      <c r="EU42" s="1226"/>
      <c r="EV42" s="1226"/>
      <c r="EW42" s="1226"/>
      <c r="EX42" s="1226"/>
      <c r="EY42" s="1226"/>
      <c r="EZ42" s="1226"/>
      <c r="FA42" s="1226"/>
      <c r="FB42" s="1226"/>
      <c r="FC42" s="1226"/>
      <c r="FD42" s="1226"/>
      <c r="FE42" s="1226"/>
      <c r="FF42" s="1226"/>
      <c r="FG42" s="1226"/>
      <c r="FH42" s="1226"/>
      <c r="FI42" s="1226"/>
      <c r="FJ42" s="1226"/>
      <c r="FK42" s="1226"/>
      <c r="FL42" s="1226"/>
      <c r="FM42" s="1226"/>
      <c r="FN42" s="1226"/>
      <c r="FO42" s="1226"/>
      <c r="FP42" s="1226"/>
      <c r="FQ42" s="1226"/>
      <c r="FR42" s="1226"/>
    </row>
    <row r="43" spans="1:174" ht="33" x14ac:dyDescent="0.25">
      <c r="A43" s="1227" t="s">
        <v>926</v>
      </c>
      <c r="B43" s="1227"/>
      <c r="C43" s="1275">
        <f t="shared" si="24"/>
        <v>4</v>
      </c>
      <c r="D43" s="1276" t="s">
        <v>4805</v>
      </c>
      <c r="E43" s="1219">
        <f>COUNTIFS(ШТАТ!$AL:$AL,'БЧС Дерябин'!$A43,ШТАТ!$AK:$AK,1)</f>
        <v>0</v>
      </c>
      <c r="F43" s="1219">
        <f>COUNTIFS(ШТАТ!$AL:$AL,'БЧС Дерябин'!$A43,ШТАТ!$AK:$AK,2)</f>
        <v>1</v>
      </c>
      <c r="G43" s="1219">
        <f>COUNTIFS(ШТАТ!$AL:$AL,'БЧС Дерябин'!$A43,ШТАТ!$AK:$AK,3)</f>
        <v>5</v>
      </c>
      <c r="H43" s="1219">
        <f>COUNTIFS(ШТАТ!$AL:$AL,'БЧС Дерябин'!$A43,ШТАТ!$AK:$AK,4)</f>
        <v>21</v>
      </c>
      <c r="I43" s="1221">
        <f t="shared" si="3"/>
        <v>27</v>
      </c>
      <c r="J43" s="1219">
        <f>COUNTIFS(ШТАТ!AL:AL,A43,ШТАТ!AJ:AJ,"о")</f>
        <v>0</v>
      </c>
      <c r="K43" s="1219">
        <f>COUNTIFS(ШТАТ!AL:AL,A43,ШТАТ!AJ:AJ,"п")</f>
        <v>1</v>
      </c>
      <c r="L43" s="1219">
        <f>COUNTIFS(ШТАТ!$AL:$AL,$A43,ШТАТ!AK:AK,3,ШТАТ!AJ:AJ,"с/с")</f>
        <v>0</v>
      </c>
      <c r="M43" s="1219">
        <f>COUNTIFS(ШТАТ!$AL:$AL,$A43,ШТАТ!AK:AK,3,ШТАТ!AJ:AJ,"к/с")</f>
        <v>4</v>
      </c>
      <c r="N43" s="1222">
        <f t="shared" si="11"/>
        <v>4</v>
      </c>
      <c r="O43" s="1220">
        <f>COUNTIFS(ШТАТ!$AL:$AL,$A43,ШТАТ!AK:AK,4,ШТАТ!AJ:AJ,"с/с")</f>
        <v>7</v>
      </c>
      <c r="P43" s="1220">
        <f>COUNTIFS(ШТАТ!$AL:$AL,$A43,ШТАТ!AK:AK,4,ШТАТ!AJ:AJ,"к/с")</f>
        <v>11</v>
      </c>
      <c r="Q43" s="1222">
        <f t="shared" si="12"/>
        <v>18</v>
      </c>
      <c r="R43" s="1221">
        <f t="shared" si="13"/>
        <v>23</v>
      </c>
      <c r="S43" s="1223">
        <f t="shared" si="14"/>
        <v>0.85185185185185186</v>
      </c>
      <c r="T43" s="1219">
        <f>COUNTIFS(ШТАТ!$AL:$AL,$A43,ШТАТ!$AJ:$AJ,"о",ШТАТ!$X:$X,"выполнение специальных задач")</f>
        <v>0</v>
      </c>
      <c r="U43" s="1219">
        <f>COUNTIFS(ШТАТ!$AL:$AL,$A43,ШТАТ!$AJ:$AJ,"п",ШТАТ!$X:$X,"выполнение специальных задач")</f>
        <v>0</v>
      </c>
      <c r="V43" s="1219">
        <f>COUNTIFS(ШТАТ!$AL:$AL,$A43,ШТАТ!$AK:$AK,3,ШТАТ!$AJ:$AJ,"с/с",ШТАТ!$X:$X,"выполнение специальных задач")</f>
        <v>0</v>
      </c>
      <c r="W43" s="1219">
        <f>COUNTIFS(ШТАТ!$AL:$AL,$A43,ШТАТ!$AK:$AK,3,ШТАТ!$AJ:$AJ,"к/с",ШТАТ!$X:$X,"выполнение специальных задач")</f>
        <v>0</v>
      </c>
      <c r="X43" s="1222">
        <f t="shared" si="4"/>
        <v>0</v>
      </c>
      <c r="Y43" s="1219">
        <f>COUNTIFS(ШТАТ!$AL:$AL,$A43,ШТАТ!$AK:$AK,4,ШТАТ!$AJ:$AJ,"с/с",ШТАТ!$X:$X,"выполнение специальных задач")</f>
        <v>0</v>
      </c>
      <c r="Z43" s="1219">
        <f>COUNTIFS(ШТАТ!$AL:$AL,$A43,ШТАТ!$AK:$AK,4,ШТАТ!$AJ:$AJ,"к/с",ШТАТ!$X:$X,"выполнение специальных задач")</f>
        <v>4</v>
      </c>
      <c r="AA43" s="1222">
        <f t="shared" si="5"/>
        <v>4</v>
      </c>
      <c r="AB43" s="1221">
        <f t="shared" si="15"/>
        <v>4</v>
      </c>
      <c r="AC43" s="1224"/>
      <c r="AD43" s="1219">
        <f>COUNTIFS(ШТАТ!$AL:$AL,$A43,ШТАТ!$AK:$AK,1,ШТАТ!$AJ:$AJ,"о",ШТАТ!$W:$W,"г. Белгород")</f>
        <v>0</v>
      </c>
      <c r="AE43" s="1219">
        <f>COUNTIFS(ШТАТ!$AL:$AL,$A43,ШТАТ!$AK:$AK,2,ШТАТ!$AJ:$AJ,"п",ШТАТ!$W:$W,"г. Белгород")</f>
        <v>0</v>
      </c>
      <c r="AF43" s="1219">
        <f>COUNTIFS(ШТАТ!$AL:$AL,$A43,ШТАТ!$AK:$AK,3,ШТАТ!$AJ:$AJ,"с/с",ШТАТ!$W:$W,"г. Белгород")</f>
        <v>0</v>
      </c>
      <c r="AG43" s="1219">
        <f>COUNTIFS(ШТАТ!$AL:$AL,$A43,ШТАТ!$AK:$AK,3,ШТАТ!$AJ:$AJ,"к/с",ШТАТ!$W:$W,"г. Белгород")</f>
        <v>1</v>
      </c>
      <c r="AH43" s="1222">
        <f t="shared" si="6"/>
        <v>1</v>
      </c>
      <c r="AI43" s="1219">
        <f>COUNTIFS(ШТАТ!$AL:$AL,$A43,ШТАТ!$AK:$AK,4,ШТАТ!$AJ:$AJ,"с/с",ШТАТ!$W:$W,"г. Белгород")</f>
        <v>0</v>
      </c>
      <c r="AJ43" s="1219">
        <f>COUNTIFS(ШТАТ!$AL:$AL,$A43,ШТАТ!$AK:$AK,4,ШТАТ!$AJ:$AJ,"к/с",ШТАТ!$W:$W,"г. Белгород")</f>
        <v>4</v>
      </c>
      <c r="AK43" s="1222">
        <f t="shared" si="7"/>
        <v>4</v>
      </c>
      <c r="AL43" s="1221">
        <f t="shared" si="16"/>
        <v>5</v>
      </c>
      <c r="AM43" s="1219">
        <f>COUNTIFS(ШТАТ!$AL:$AL,$A43,ШТАТ!$AK:$AK,1,ШТАТ!$AJ:$AJ,"о",ШТАТ!$U:$U,"")</f>
        <v>0</v>
      </c>
      <c r="AN43" s="1219">
        <f>COUNTIFS(ШТАТ!$AL:$AL,$A43,ШТАТ!$AK:$AK,2,ШТАТ!$AJ:$AJ,"п",ШТАТ!$U:$U,"")</f>
        <v>0</v>
      </c>
      <c r="AO43" s="1219">
        <f>COUNTIFS(ШТАТ!$AL:$AL,$A43,ШТАТ!$AK:$AK,3,ШТАТ!$AJ:$AJ,"с/с",ШТАТ!$U:$U,"")</f>
        <v>0</v>
      </c>
      <c r="AP43" s="1219">
        <f>COUNTIFS(ШТАТ!$AL:$AL,$A43,ШТАТ!$AK:$AK,3,ШТАТ!$AJ:$AJ,"к/с",ШТАТ!$U:$U,"")</f>
        <v>2</v>
      </c>
      <c r="AQ43" s="1222">
        <f t="shared" si="17"/>
        <v>2</v>
      </c>
      <c r="AR43" s="1219">
        <f>COUNTIFS(ШТАТ!$AL:$AL,$A43,ШТАТ!$AK:$AK,4,ШТАТ!$AJ:$AJ,"с/с",ШТАТ!$U:$U,"")</f>
        <v>1</v>
      </c>
      <c r="AS43" s="1219">
        <f>COUNTIFS(ШТАТ!$AL:$AL,$A43,ШТАТ!$AK:$AK,4,ШТАТ!$AJ:$AJ,"к/с",ШТАТ!$U:$U,"")</f>
        <v>1</v>
      </c>
      <c r="AT43" s="1222">
        <f t="shared" si="8"/>
        <v>2</v>
      </c>
      <c r="AU43" s="1221">
        <f t="shared" si="18"/>
        <v>4</v>
      </c>
      <c r="AV43" s="1219">
        <f>COUNTIFS(ШТАТ!$AL:$AL,$A43,ШТАТ!$U:$U,"госп")</f>
        <v>0</v>
      </c>
      <c r="AW43" s="1225">
        <f t="shared" si="9"/>
        <v>9</v>
      </c>
      <c r="AX43" s="1219">
        <f>COUNTIFS(ШТАТ!$AL:$AL,$A43,ШТАТ!$U:$U,"отпуск")</f>
        <v>1</v>
      </c>
      <c r="AY43" s="1219">
        <f>COUNTIFS(ШТАТ!$AL:$AL,$A43,ШТАТ!$U:$U,"соч")</f>
        <v>0</v>
      </c>
      <c r="AZ43" s="1225"/>
      <c r="BA43" s="1219">
        <f>COUNTIFS(ШТАТ!$AL:$AL,$A43,ШТАТ!$U:$U,"МП")</f>
        <v>0</v>
      </c>
      <c r="BB43" s="1226"/>
      <c r="BC43" s="1226"/>
      <c r="BD43" s="1219"/>
      <c r="BE43" s="1226"/>
      <c r="BF43" s="1226"/>
      <c r="BG43" s="1226"/>
      <c r="BH43" s="1226"/>
      <c r="BI43" s="1226"/>
      <c r="BJ43" s="1226"/>
      <c r="BK43" s="1226"/>
      <c r="BL43" s="1226"/>
      <c r="BM43" s="1226"/>
      <c r="BN43" s="1226"/>
      <c r="BO43" s="1226"/>
      <c r="BP43" s="1226"/>
      <c r="BQ43" s="1226"/>
      <c r="BR43" s="1226"/>
      <c r="BS43" s="1226"/>
      <c r="BT43" s="1226"/>
      <c r="BU43" s="1226"/>
      <c r="BV43" s="1226"/>
      <c r="BW43" s="1226"/>
      <c r="BX43" s="1226"/>
      <c r="BY43" s="1226"/>
      <c r="BZ43" s="1226"/>
      <c r="CA43" s="1226"/>
      <c r="CB43" s="1226"/>
      <c r="CC43" s="1226"/>
      <c r="CD43" s="1226"/>
      <c r="CE43" s="1226"/>
      <c r="CF43" s="1226"/>
      <c r="CG43" s="1226"/>
      <c r="CH43" s="1226"/>
      <c r="CI43" s="1226"/>
      <c r="CJ43" s="1226"/>
      <c r="CK43" s="1226"/>
      <c r="CL43" s="1226"/>
      <c r="CM43" s="1226"/>
      <c r="CN43" s="1226"/>
      <c r="CO43" s="1226"/>
      <c r="CP43" s="1226"/>
      <c r="CQ43" s="1226"/>
      <c r="CR43" s="1226"/>
      <c r="CS43" s="1226"/>
      <c r="CT43" s="1226"/>
      <c r="CU43" s="1226"/>
      <c r="CV43" s="1226"/>
      <c r="CW43" s="1226"/>
      <c r="CX43" s="1226"/>
      <c r="CY43" s="1226"/>
      <c r="CZ43" s="1226"/>
      <c r="DA43" s="1226"/>
      <c r="DB43" s="1226"/>
      <c r="DC43" s="1226"/>
      <c r="DD43" s="1226"/>
      <c r="DE43" s="1226"/>
      <c r="DF43" s="1226"/>
      <c r="DG43" s="1226"/>
      <c r="DH43" s="1226"/>
      <c r="DI43" s="1226"/>
      <c r="DJ43" s="1226"/>
      <c r="DK43" s="1226"/>
      <c r="DL43" s="1226"/>
      <c r="DM43" s="1226"/>
      <c r="DN43" s="1226">
        <v>2</v>
      </c>
      <c r="DO43" s="1226"/>
      <c r="DP43" s="1226"/>
      <c r="DQ43" s="1226"/>
      <c r="DR43" s="1226"/>
      <c r="DS43" s="1226"/>
      <c r="DT43" s="1226"/>
      <c r="DU43" s="1226"/>
      <c r="DV43" s="1226">
        <f>COUNTIFS(ШТАТ!$AN:$AN,"Урал-4320-31",ШТАТ!AL:AL,"Управление")</f>
        <v>0</v>
      </c>
      <c r="DW43" s="1226"/>
      <c r="DX43" s="1226"/>
      <c r="DY43" s="1226"/>
      <c r="DZ43" s="1226"/>
      <c r="EA43" s="1226"/>
      <c r="EB43" s="1226"/>
      <c r="EC43" s="1226"/>
      <c r="ED43" s="1226"/>
      <c r="EE43" s="1226"/>
      <c r="EF43" s="1226"/>
      <c r="EG43" s="1226"/>
      <c r="EH43" s="1226">
        <v>2</v>
      </c>
      <c r="EI43" s="1226"/>
      <c r="EJ43" s="1226"/>
      <c r="EK43" s="1226"/>
      <c r="EL43" s="1226"/>
      <c r="EM43" s="1226"/>
      <c r="EN43" s="1226"/>
      <c r="EO43" s="1226"/>
      <c r="EP43" s="1226"/>
      <c r="EQ43" s="1226"/>
      <c r="ER43" s="1226"/>
      <c r="ES43" s="1226"/>
      <c r="ET43" s="1226"/>
      <c r="EU43" s="1226"/>
      <c r="EV43" s="1226"/>
      <c r="EW43" s="1226"/>
      <c r="EX43" s="1226"/>
      <c r="EY43" s="1226"/>
      <c r="EZ43" s="1226"/>
      <c r="FA43" s="1226"/>
      <c r="FB43" s="1226"/>
      <c r="FC43" s="1226"/>
      <c r="FD43" s="1226"/>
      <c r="FE43" s="1226"/>
      <c r="FF43" s="1226"/>
      <c r="FG43" s="1226"/>
      <c r="FH43" s="1226">
        <v>10</v>
      </c>
      <c r="FI43" s="1226"/>
      <c r="FJ43" s="1226"/>
      <c r="FK43" s="1226"/>
      <c r="FL43" s="1226"/>
      <c r="FM43" s="1226">
        <v>1</v>
      </c>
      <c r="FN43" s="1226"/>
      <c r="FO43" s="1226"/>
      <c r="FP43" s="1226"/>
      <c r="FQ43" s="1226"/>
      <c r="FR43" s="1226"/>
    </row>
    <row r="44" spans="1:174" ht="33" x14ac:dyDescent="0.25">
      <c r="A44" s="1218" t="s">
        <v>492</v>
      </c>
      <c r="B44" s="1265" t="s">
        <v>4735</v>
      </c>
      <c r="C44" s="1265">
        <f>R44</f>
        <v>366</v>
      </c>
      <c r="D44" s="1265" t="s">
        <v>4804</v>
      </c>
      <c r="E44" s="1219">
        <f>SUM(E34:E43)</f>
        <v>27</v>
      </c>
      <c r="F44" s="1219">
        <f>SUM(F34:F43)</f>
        <v>12</v>
      </c>
      <c r="G44" s="1219">
        <f>SUM(G34:G43)</f>
        <v>55</v>
      </c>
      <c r="H44" s="1219">
        <f>SUM(H34:H43)</f>
        <v>328</v>
      </c>
      <c r="I44" s="1221">
        <f t="shared" si="3"/>
        <v>422</v>
      </c>
      <c r="J44" s="1219">
        <f>SUM(J34:J43)</f>
        <v>25</v>
      </c>
      <c r="K44" s="1219">
        <f>SUM(K34:K43)</f>
        <v>8</v>
      </c>
      <c r="L44" s="1219">
        <f>SUM(L34:L43)</f>
        <v>0</v>
      </c>
      <c r="M44" s="1219">
        <f>SUM(M34:M43)</f>
        <v>38</v>
      </c>
      <c r="N44" s="1222">
        <f t="shared" si="11"/>
        <v>38</v>
      </c>
      <c r="O44" s="1219">
        <f>SUM(O34:O43)</f>
        <v>124</v>
      </c>
      <c r="P44" s="1219">
        <f>SUM(P34:P43)</f>
        <v>171</v>
      </c>
      <c r="Q44" s="1222">
        <f t="shared" si="12"/>
        <v>295</v>
      </c>
      <c r="R44" s="1221">
        <f t="shared" si="13"/>
        <v>366</v>
      </c>
      <c r="S44" s="1223">
        <f t="shared" si="14"/>
        <v>0.86729857819905209</v>
      </c>
      <c r="T44" s="1219">
        <f>SUM(T34:T43)</f>
        <v>4</v>
      </c>
      <c r="U44" s="1219">
        <f>SUM(U34:U43)</f>
        <v>0</v>
      </c>
      <c r="V44" s="1219">
        <f>SUM(V34:V43)</f>
        <v>0</v>
      </c>
      <c r="W44" s="1219">
        <f>SUM(W34:W43)</f>
        <v>6</v>
      </c>
      <c r="X44" s="1222">
        <f t="shared" si="4"/>
        <v>6</v>
      </c>
      <c r="Y44" s="1219">
        <f>SUM(Y34:Y43)</f>
        <v>0</v>
      </c>
      <c r="Z44" s="1219">
        <f>SUM(Z34:Z43)</f>
        <v>29</v>
      </c>
      <c r="AA44" s="1222">
        <f t="shared" si="5"/>
        <v>29</v>
      </c>
      <c r="AB44" s="1221">
        <f t="shared" si="15"/>
        <v>39</v>
      </c>
      <c r="AC44" s="1224">
        <f>AB44/R44</f>
        <v>0.10655737704918032</v>
      </c>
      <c r="AD44" s="1219">
        <f>SUM(AD34:AD43)</f>
        <v>4</v>
      </c>
      <c r="AE44" s="1219">
        <f>SUM(AE34:AE43)</f>
        <v>0</v>
      </c>
      <c r="AF44" s="1219">
        <f>SUM(AF34:AF43)</f>
        <v>0</v>
      </c>
      <c r="AG44" s="1219">
        <f>SUM(AG34:AG43)</f>
        <v>11</v>
      </c>
      <c r="AH44" s="1222">
        <f t="shared" si="6"/>
        <v>11</v>
      </c>
      <c r="AI44" s="1219">
        <f>SUM(AI34:AI43)</f>
        <v>0</v>
      </c>
      <c r="AJ44" s="1219">
        <f>SUM(AJ34:AJ43)</f>
        <v>47</v>
      </c>
      <c r="AK44" s="1222">
        <f t="shared" si="7"/>
        <v>47</v>
      </c>
      <c r="AL44" s="1221">
        <f t="shared" si="16"/>
        <v>62</v>
      </c>
      <c r="AM44" s="1219">
        <f>SUM(AM34:AM43)</f>
        <v>12</v>
      </c>
      <c r="AN44" s="1219">
        <f>SUM(AN34:AN43)</f>
        <v>2</v>
      </c>
      <c r="AO44" s="1219">
        <f>SUM(AO34:AO43)</f>
        <v>0</v>
      </c>
      <c r="AP44" s="1219">
        <f>SUM(AP34:AP43)</f>
        <v>10</v>
      </c>
      <c r="AQ44" s="1222">
        <f t="shared" si="17"/>
        <v>10</v>
      </c>
      <c r="AR44" s="1219">
        <f>SUM(AR34:AR43)</f>
        <v>47</v>
      </c>
      <c r="AS44" s="1219">
        <f>SUM(AS34:AS43)</f>
        <v>35</v>
      </c>
      <c r="AT44" s="1222">
        <f t="shared" si="8"/>
        <v>82</v>
      </c>
      <c r="AU44" s="1221">
        <f t="shared" si="18"/>
        <v>106</v>
      </c>
      <c r="AV44" s="1219">
        <f>SUM(AV34:AV43)</f>
        <v>9</v>
      </c>
      <c r="AW44" s="1225">
        <f t="shared" si="9"/>
        <v>112</v>
      </c>
      <c r="AX44" s="1219">
        <f>SUM(AX34:AX43)</f>
        <v>5</v>
      </c>
      <c r="AY44" s="1219">
        <f>SUM(AY34:AY43)</f>
        <v>32</v>
      </c>
      <c r="AZ44" s="1219">
        <f>SUM(AZ34:AZ43)</f>
        <v>0</v>
      </c>
      <c r="BA44" s="1219">
        <f>SUM(BA34:BA43)</f>
        <v>1</v>
      </c>
      <c r="BB44" s="1226">
        <v>25</v>
      </c>
      <c r="BC44" s="1226"/>
      <c r="BD44" s="1219">
        <v>4</v>
      </c>
      <c r="BE44" s="1226"/>
      <c r="BF44" s="1226"/>
      <c r="BG44" s="1226"/>
      <c r="BH44" s="1226"/>
      <c r="BI44" s="1226"/>
      <c r="BJ44" s="1226"/>
      <c r="BK44" s="1226"/>
      <c r="BL44" s="1226"/>
      <c r="BM44" s="1226"/>
      <c r="BN44" s="1226"/>
      <c r="BO44" s="1226"/>
      <c r="BP44" s="1226"/>
      <c r="BQ44" s="1226"/>
      <c r="BR44" s="1226"/>
      <c r="BS44" s="1226"/>
      <c r="BT44" s="1226"/>
      <c r="BU44" s="1226"/>
      <c r="BV44" s="1226"/>
      <c r="BW44" s="1226"/>
      <c r="BX44" s="1226"/>
      <c r="BY44" s="1226"/>
      <c r="BZ44" s="1226"/>
      <c r="CA44" s="1226"/>
      <c r="CB44" s="1226"/>
      <c r="CC44" s="1226"/>
      <c r="CD44" s="1226"/>
      <c r="CE44" s="1226"/>
      <c r="CF44" s="1226"/>
      <c r="CG44" s="1226"/>
      <c r="CH44" s="1226"/>
      <c r="CI44" s="1226"/>
      <c r="CJ44" s="1226"/>
      <c r="CK44" s="1226"/>
      <c r="CL44" s="1226"/>
      <c r="CM44" s="1226"/>
      <c r="CN44" s="1226"/>
      <c r="CO44" s="1226"/>
      <c r="CP44" s="1226"/>
      <c r="CQ44" s="1226"/>
      <c r="CR44" s="1226"/>
      <c r="CS44" s="1226"/>
      <c r="CT44" s="1226"/>
      <c r="CU44" s="1226"/>
      <c r="CV44" s="1226"/>
      <c r="CW44" s="1226"/>
      <c r="CX44" s="1226"/>
      <c r="CY44" s="1226"/>
      <c r="CZ44" s="1226"/>
      <c r="DA44" s="1226"/>
      <c r="DB44" s="1226"/>
      <c r="DC44" s="1219">
        <f>SUM(DC34:DC43)</f>
        <v>0</v>
      </c>
      <c r="DD44" s="1219">
        <f t="shared" ref="DD44:FO44" si="25">SUM(DD34:DD43)</f>
        <v>35</v>
      </c>
      <c r="DE44" s="1219">
        <f t="shared" si="25"/>
        <v>0</v>
      </c>
      <c r="DF44" s="1219">
        <f t="shared" si="25"/>
        <v>0</v>
      </c>
      <c r="DG44" s="1219">
        <f t="shared" si="25"/>
        <v>0</v>
      </c>
      <c r="DH44" s="1219">
        <f t="shared" si="25"/>
        <v>0</v>
      </c>
      <c r="DI44" s="1219">
        <f t="shared" si="25"/>
        <v>0</v>
      </c>
      <c r="DJ44" s="1219">
        <f t="shared" si="25"/>
        <v>0</v>
      </c>
      <c r="DK44" s="1219">
        <f t="shared" si="25"/>
        <v>2</v>
      </c>
      <c r="DL44" s="1219">
        <f t="shared" si="25"/>
        <v>0</v>
      </c>
      <c r="DM44" s="1219">
        <f t="shared" si="25"/>
        <v>6</v>
      </c>
      <c r="DN44" s="1219">
        <f t="shared" si="25"/>
        <v>2</v>
      </c>
      <c r="DO44" s="1219">
        <f t="shared" si="25"/>
        <v>0</v>
      </c>
      <c r="DP44" s="1219">
        <f t="shared" si="25"/>
        <v>0</v>
      </c>
      <c r="DQ44" s="1219">
        <f t="shared" si="25"/>
        <v>0</v>
      </c>
      <c r="DR44" s="1219">
        <f t="shared" si="25"/>
        <v>0</v>
      </c>
      <c r="DS44" s="1219">
        <f t="shared" si="25"/>
        <v>0</v>
      </c>
      <c r="DT44" s="1219">
        <f t="shared" si="25"/>
        <v>0</v>
      </c>
      <c r="DU44" s="1219">
        <f t="shared" si="25"/>
        <v>0</v>
      </c>
      <c r="DV44" s="1219">
        <f t="shared" si="25"/>
        <v>0</v>
      </c>
      <c r="DW44" s="1219">
        <f t="shared" si="25"/>
        <v>0</v>
      </c>
      <c r="DX44" s="1219">
        <f t="shared" si="25"/>
        <v>0</v>
      </c>
      <c r="DY44" s="1219">
        <f t="shared" si="25"/>
        <v>0</v>
      </c>
      <c r="DZ44" s="1219">
        <f t="shared" si="25"/>
        <v>0</v>
      </c>
      <c r="EA44" s="1219">
        <f t="shared" si="25"/>
        <v>0</v>
      </c>
      <c r="EB44" s="1219">
        <f t="shared" si="25"/>
        <v>0</v>
      </c>
      <c r="EC44" s="1219">
        <f t="shared" si="25"/>
        <v>0</v>
      </c>
      <c r="ED44" s="1219">
        <f t="shared" si="25"/>
        <v>0</v>
      </c>
      <c r="EE44" s="1219">
        <f t="shared" si="25"/>
        <v>0</v>
      </c>
      <c r="EF44" s="1219">
        <f t="shared" si="25"/>
        <v>0</v>
      </c>
      <c r="EG44" s="1219">
        <f t="shared" si="25"/>
        <v>0</v>
      </c>
      <c r="EH44" s="1219">
        <f t="shared" si="25"/>
        <v>2</v>
      </c>
      <c r="EI44" s="1219">
        <f t="shared" si="25"/>
        <v>0</v>
      </c>
      <c r="EJ44" s="1219">
        <f t="shared" si="25"/>
        <v>0</v>
      </c>
      <c r="EK44" s="1219">
        <f t="shared" si="25"/>
        <v>0</v>
      </c>
      <c r="EL44" s="1219">
        <f t="shared" si="25"/>
        <v>0</v>
      </c>
      <c r="EM44" s="1219">
        <f t="shared" si="25"/>
        <v>0</v>
      </c>
      <c r="EN44" s="1219">
        <f t="shared" si="25"/>
        <v>0</v>
      </c>
      <c r="EO44" s="1219">
        <f t="shared" si="25"/>
        <v>0</v>
      </c>
      <c r="EP44" s="1219">
        <f t="shared" si="25"/>
        <v>0</v>
      </c>
      <c r="EQ44" s="1219">
        <f t="shared" si="25"/>
        <v>0</v>
      </c>
      <c r="ER44" s="1219">
        <f t="shared" si="25"/>
        <v>0</v>
      </c>
      <c r="ES44" s="1219">
        <f t="shared" si="25"/>
        <v>0</v>
      </c>
      <c r="ET44" s="1219">
        <f t="shared" si="25"/>
        <v>0</v>
      </c>
      <c r="EU44" s="1219">
        <f t="shared" si="25"/>
        <v>0</v>
      </c>
      <c r="EV44" s="1219">
        <f t="shared" si="25"/>
        <v>0</v>
      </c>
      <c r="EW44" s="1219">
        <f t="shared" si="25"/>
        <v>0</v>
      </c>
      <c r="EX44" s="1219">
        <f t="shared" si="25"/>
        <v>0</v>
      </c>
      <c r="EY44" s="1219">
        <f t="shared" si="25"/>
        <v>0</v>
      </c>
      <c r="EZ44" s="1219">
        <f t="shared" si="25"/>
        <v>0</v>
      </c>
      <c r="FA44" s="1219">
        <f t="shared" si="25"/>
        <v>0</v>
      </c>
      <c r="FB44" s="1219">
        <f t="shared" si="25"/>
        <v>0</v>
      </c>
      <c r="FC44" s="1219">
        <f t="shared" si="25"/>
        <v>0</v>
      </c>
      <c r="FD44" s="1219">
        <f t="shared" si="25"/>
        <v>0</v>
      </c>
      <c r="FE44" s="1219">
        <f t="shared" si="25"/>
        <v>0</v>
      </c>
      <c r="FF44" s="1219">
        <f t="shared" si="25"/>
        <v>0</v>
      </c>
      <c r="FG44" s="1219">
        <f t="shared" si="25"/>
        <v>0</v>
      </c>
      <c r="FH44" s="1219">
        <f t="shared" si="25"/>
        <v>16</v>
      </c>
      <c r="FI44" s="1219">
        <f t="shared" si="25"/>
        <v>0</v>
      </c>
      <c r="FJ44" s="1219">
        <f t="shared" si="25"/>
        <v>2</v>
      </c>
      <c r="FK44" s="1219">
        <f t="shared" si="25"/>
        <v>0</v>
      </c>
      <c r="FL44" s="1219">
        <f t="shared" si="25"/>
        <v>0</v>
      </c>
      <c r="FM44" s="1219">
        <f t="shared" si="25"/>
        <v>1</v>
      </c>
      <c r="FN44" s="1219">
        <f t="shared" si="25"/>
        <v>0</v>
      </c>
      <c r="FO44" s="1219">
        <f t="shared" si="25"/>
        <v>0</v>
      </c>
      <c r="FP44" s="1219">
        <f t="shared" ref="FP44:FR44" si="26">SUM(FP34:FP43)</f>
        <v>0</v>
      </c>
      <c r="FQ44" s="1219">
        <f t="shared" si="26"/>
        <v>0</v>
      </c>
      <c r="FR44" s="1219">
        <f t="shared" si="26"/>
        <v>0</v>
      </c>
    </row>
    <row r="45" spans="1:174" ht="33" x14ac:dyDescent="0.25">
      <c r="A45" s="1227" t="s">
        <v>507</v>
      </c>
      <c r="B45" s="1227"/>
      <c r="C45" s="1275">
        <f>AB45</f>
        <v>4</v>
      </c>
      <c r="D45" s="1275" t="s">
        <v>901</v>
      </c>
      <c r="E45" s="1219">
        <f>COUNTIFS(ШТАТ!$AL:$AL,'БЧС Дерябин'!$A45,ШТАТ!$AK:$AK,1)</f>
        <v>4</v>
      </c>
      <c r="F45" s="1219">
        <f>COUNTIFS(ШТАТ!$AL:$AL,'БЧС Дерябин'!$A45,ШТАТ!$AK:$AK,2)</f>
        <v>0</v>
      </c>
      <c r="G45" s="1219">
        <f>COUNTIFS(ШТАТ!$AL:$AL,'БЧС Дерябин'!$A45,ШТАТ!$AK:$AK,3)</f>
        <v>1</v>
      </c>
      <c r="H45" s="1219">
        <f>COUNTIFS(ШТАТ!$AL:$AL,'БЧС Дерябин'!$A45,ШТАТ!$AK:$AK,4)</f>
        <v>0</v>
      </c>
      <c r="I45" s="1221">
        <f t="shared" si="3"/>
        <v>5</v>
      </c>
      <c r="J45" s="1219">
        <f>COUNTIFS(ШТАТ!AL:AL,A45,ШТАТ!AJ:AJ,"о")</f>
        <v>4</v>
      </c>
      <c r="K45" s="1219">
        <f>COUNTIFS(ШТАТ!AL:AL,A45,ШТАТ!AJ:AJ,"п")</f>
        <v>0</v>
      </c>
      <c r="L45" s="1219">
        <f>COUNTIFS(ШТАТ!$AL:$AL,$A45,ШТАТ!AK:AK,3,ШТАТ!AJ:AJ,"с/с")</f>
        <v>0</v>
      </c>
      <c r="M45" s="1219">
        <f>COUNTIFS(ШТАТ!$AL:$AL,$A45,ШТАТ!AK:AK,3,ШТАТ!AJ:AJ,"к/с")</f>
        <v>1</v>
      </c>
      <c r="N45" s="1222">
        <f t="shared" si="11"/>
        <v>1</v>
      </c>
      <c r="O45" s="1220">
        <f>COUNTIFS(ШТАТ!$AL:$AL,$A45,ШТАТ!AK:AK,4,ШТАТ!AJ:AJ,"с/с")</f>
        <v>0</v>
      </c>
      <c r="P45" s="1220">
        <f>COUNTIFS(ШТАТ!$AL:$AL,$A45,ШТАТ!AK:AK,4,ШТАТ!AJ:AJ,"к/с")</f>
        <v>0</v>
      </c>
      <c r="Q45" s="1222">
        <f t="shared" si="12"/>
        <v>0</v>
      </c>
      <c r="R45" s="1221">
        <f t="shared" si="13"/>
        <v>5</v>
      </c>
      <c r="S45" s="1223">
        <f t="shared" si="14"/>
        <v>1</v>
      </c>
      <c r="T45" s="1219">
        <f>COUNTIFS(ШТАТ!$AL:$AL,$A45,ШТАТ!$AJ:$AJ,"о",ШТАТ!$X:$X,"выполнение специальных задач")</f>
        <v>3</v>
      </c>
      <c r="U45" s="1219">
        <f>COUNTIFS(ШТАТ!$AL:$AL,$A45,ШТАТ!$AJ:$AJ,"п",ШТАТ!$X:$X,"выполнение специальных задач")</f>
        <v>0</v>
      </c>
      <c r="V45" s="1219">
        <f>COUNTIFS(ШТАТ!$AL:$AL,$A45,ШТАТ!$AK:$AK,3,ШТАТ!$AJ:$AJ,"с/с",ШТАТ!$X:$X,"выполнение специальных задач")</f>
        <v>0</v>
      </c>
      <c r="W45" s="1219">
        <f>COUNTIFS(ШТАТ!$AL:$AL,$A45,ШТАТ!$AK:$AK,3,ШТАТ!$AJ:$AJ,"к/с",ШТАТ!$X:$X,"выполнение специальных задач")</f>
        <v>1</v>
      </c>
      <c r="X45" s="1222">
        <f t="shared" si="4"/>
        <v>1</v>
      </c>
      <c r="Y45" s="1219">
        <f>COUNTIFS(ШТАТ!$AL:$AL,$A45,ШТАТ!$AK:$AK,4,ШТАТ!$AJ:$AJ,"с/с",ШТАТ!$X:$X,"выполнение специальных задач")</f>
        <v>0</v>
      </c>
      <c r="Z45" s="1219">
        <f>COUNTIFS(ШТАТ!$AL:$AL,$A45,ШТАТ!$AK:$AK,4,ШТАТ!$AJ:$AJ,"к/с",ШТАТ!$X:$X,"выполнение специальных задач")</f>
        <v>0</v>
      </c>
      <c r="AA45" s="1222">
        <f t="shared" si="5"/>
        <v>0</v>
      </c>
      <c r="AB45" s="1221">
        <f t="shared" si="15"/>
        <v>4</v>
      </c>
      <c r="AC45" s="1224"/>
      <c r="AD45" s="1219">
        <f>COUNTIFS(ШТАТ!$AL:$AL,$A45,ШТАТ!$AK:$AK,1,ШТАТ!$AJ:$AJ,"о",ШТАТ!$W:$W,"г. Белгород")</f>
        <v>0</v>
      </c>
      <c r="AE45" s="1219">
        <f>COUNTIFS(ШТАТ!$AL:$AL,$A45,ШТАТ!$AK:$AK,2,ШТАТ!$AJ:$AJ,"п",ШТАТ!$W:$W,"г. Белгород")</f>
        <v>0</v>
      </c>
      <c r="AF45" s="1219">
        <f>COUNTIFS(ШТАТ!$AL:$AL,$A45,ШТАТ!$AK:$AK,3,ШТАТ!$AJ:$AJ,"с/с",ШТАТ!$W:$W,"г. Белгород")</f>
        <v>0</v>
      </c>
      <c r="AG45" s="1219">
        <f>COUNTIFS(ШТАТ!$AL:$AL,$A45,ШТАТ!$AK:$AK,3,ШТАТ!$AJ:$AJ,"к/с",ШТАТ!$W:$W,"г. Белгород")</f>
        <v>0</v>
      </c>
      <c r="AH45" s="1222">
        <f t="shared" si="6"/>
        <v>0</v>
      </c>
      <c r="AI45" s="1219">
        <f>COUNTIFS(ШТАТ!$AL:$AL,$A45,ШТАТ!$AK:$AK,4,ШТАТ!$AJ:$AJ,"с/с",ШТАТ!$W:$W,"г. Белгород")</f>
        <v>0</v>
      </c>
      <c r="AJ45" s="1219">
        <f>COUNTIFS(ШТАТ!$AL:$AL,$A45,ШТАТ!$AK:$AK,4,ШТАТ!$AJ:$AJ,"к/с",ШТАТ!$W:$W,"г. Белгород")</f>
        <v>0</v>
      </c>
      <c r="AK45" s="1222">
        <f t="shared" si="7"/>
        <v>0</v>
      </c>
      <c r="AL45" s="1221">
        <f t="shared" si="16"/>
        <v>0</v>
      </c>
      <c r="AM45" s="1219">
        <f>COUNTIFS(ШТАТ!$AL:$AL,$A45,ШТАТ!$AK:$AK,1,ШТАТ!$AJ:$AJ,"о",ШТАТ!$U:$U,"")</f>
        <v>0</v>
      </c>
      <c r="AN45" s="1219">
        <f>COUNTIFS(ШТАТ!$AL:$AL,$A45,ШТАТ!$AK:$AK,2,ШТАТ!$AJ:$AJ,"п",ШТАТ!$U:$U,"")</f>
        <v>0</v>
      </c>
      <c r="AO45" s="1219">
        <f>COUNTIFS(ШТАТ!$AL:$AL,$A45,ШТАТ!$AK:$AK,3,ШТАТ!$AJ:$AJ,"с/с",ШТАТ!$U:$U,"")</f>
        <v>0</v>
      </c>
      <c r="AP45" s="1219">
        <f>COUNTIFS(ШТАТ!$AL:$AL,$A45,ШТАТ!$AK:$AK,3,ШТАТ!$AJ:$AJ,"к/с",ШТАТ!$U:$U,"")</f>
        <v>0</v>
      </c>
      <c r="AQ45" s="1222">
        <f t="shared" si="17"/>
        <v>0</v>
      </c>
      <c r="AR45" s="1219">
        <f>COUNTIFS(ШТАТ!$AL:$AL,$A45,ШТАТ!$AK:$AK,4,ШТАТ!$AJ:$AJ,"с/с",ШТАТ!$U:$U,"")</f>
        <v>0</v>
      </c>
      <c r="AS45" s="1219">
        <f>COUNTIFS(ШТАТ!$AL:$AL,$A45,ШТАТ!$AK:$AK,4,ШТАТ!$AJ:$AJ,"к/с",ШТАТ!$U:$U,"")</f>
        <v>0</v>
      </c>
      <c r="AT45" s="1222">
        <f t="shared" si="8"/>
        <v>0</v>
      </c>
      <c r="AU45" s="1221">
        <f t="shared" si="18"/>
        <v>0</v>
      </c>
      <c r="AV45" s="1219">
        <f>COUNTIFS(ШТАТ!$AL:$AL,$A45,ШТАТ!$U:$U,"госп")</f>
        <v>0</v>
      </c>
      <c r="AW45" s="1225">
        <f t="shared" si="9"/>
        <v>1</v>
      </c>
      <c r="AX45" s="1219">
        <f>COUNTIFS(ШТАТ!$AL:$AL,$A45,ШТАТ!$U:$U,"отпуск")</f>
        <v>0</v>
      </c>
      <c r="AY45" s="1219">
        <f>COUNTIFS(ШТАТ!$AL:$AL,$A45,ШТАТ!$U:$U,"соч")</f>
        <v>0</v>
      </c>
      <c r="AZ45" s="1225"/>
      <c r="BA45" s="1219">
        <f>COUNTIFS(ШТАТ!$AL:$AL,$A45,ШТАТ!$U:$U,"МП")</f>
        <v>0</v>
      </c>
      <c r="BB45" s="1226"/>
      <c r="BC45" s="1226"/>
      <c r="BD45" s="1219"/>
      <c r="BE45" s="1226"/>
      <c r="BF45" s="1226"/>
      <c r="BG45" s="1226"/>
      <c r="BH45" s="1226"/>
      <c r="BI45" s="1226"/>
      <c r="BJ45" s="1226"/>
      <c r="BK45" s="1226"/>
      <c r="BL45" s="1226"/>
      <c r="BM45" s="1226"/>
      <c r="BN45" s="1226"/>
      <c r="BO45" s="1226"/>
      <c r="BP45" s="1226"/>
      <c r="BQ45" s="1226"/>
      <c r="BR45" s="1226"/>
      <c r="BS45" s="1226"/>
      <c r="BT45" s="1226"/>
      <c r="BU45" s="1226"/>
      <c r="BV45" s="1226"/>
      <c r="BW45" s="1226"/>
      <c r="BX45" s="1226"/>
      <c r="BY45" s="1226"/>
      <c r="BZ45" s="1226"/>
      <c r="CA45" s="1226"/>
      <c r="CB45" s="1226"/>
      <c r="CC45" s="1226"/>
      <c r="CD45" s="1226"/>
      <c r="CE45" s="1226"/>
      <c r="CF45" s="1226"/>
      <c r="CG45" s="1226"/>
      <c r="CH45" s="1226"/>
      <c r="CI45" s="1226"/>
      <c r="CJ45" s="1226"/>
      <c r="CK45" s="1226"/>
      <c r="CL45" s="1226"/>
      <c r="CM45" s="1226"/>
      <c r="CN45" s="1226"/>
      <c r="CO45" s="1226"/>
      <c r="CP45" s="1226"/>
      <c r="CQ45" s="1226"/>
      <c r="CR45" s="1226"/>
      <c r="CS45" s="1226"/>
      <c r="CT45" s="1226"/>
      <c r="CU45" s="1226"/>
      <c r="CV45" s="1226"/>
      <c r="CW45" s="1226"/>
      <c r="CX45" s="1226"/>
      <c r="CY45" s="1226"/>
      <c r="CZ45" s="1226"/>
      <c r="DA45" s="1226"/>
      <c r="DB45" s="1226"/>
      <c r="DC45" s="1226"/>
      <c r="DD45" s="1226"/>
      <c r="DE45" s="1226"/>
      <c r="DF45" s="1226"/>
      <c r="DG45" s="1226"/>
      <c r="DH45" s="1226"/>
      <c r="DI45" s="1226"/>
      <c r="DJ45" s="1226"/>
      <c r="DK45" s="1226"/>
      <c r="DL45" s="1226"/>
      <c r="DM45" s="1226"/>
      <c r="DN45" s="1226"/>
      <c r="DO45" s="1226"/>
      <c r="DP45" s="1226"/>
      <c r="DQ45" s="1226"/>
      <c r="DR45" s="1226"/>
      <c r="DS45" s="1226"/>
      <c r="DT45" s="1226"/>
      <c r="DU45" s="1226"/>
      <c r="DV45" s="1226">
        <f>COUNTIFS(ШТАТ!$AN:$AN,"Урал-4320-31",ШТАТ!AL:AL,"Управление")</f>
        <v>0</v>
      </c>
      <c r="DW45" s="1226"/>
      <c r="DX45" s="1226"/>
      <c r="DY45" s="1226"/>
      <c r="DZ45" s="1226"/>
      <c r="EA45" s="1226"/>
      <c r="EB45" s="1226"/>
      <c r="EC45" s="1226"/>
      <c r="ED45" s="1226"/>
      <c r="EE45" s="1226"/>
      <c r="EF45" s="1226"/>
      <c r="EG45" s="1226"/>
      <c r="EH45" s="1226"/>
      <c r="EI45" s="1226"/>
      <c r="EJ45" s="1226"/>
      <c r="EK45" s="1226"/>
      <c r="EL45" s="1226"/>
      <c r="EM45" s="1226"/>
      <c r="EN45" s="1226"/>
      <c r="EO45" s="1226"/>
      <c r="EP45" s="1226"/>
      <c r="EQ45" s="1226"/>
      <c r="ER45" s="1226"/>
      <c r="ES45" s="1226"/>
      <c r="ET45" s="1226"/>
      <c r="EU45" s="1226"/>
      <c r="EV45" s="1226"/>
      <c r="EW45" s="1226"/>
      <c r="EX45" s="1226"/>
      <c r="EY45" s="1226"/>
      <c r="EZ45" s="1226"/>
      <c r="FA45" s="1226"/>
      <c r="FB45" s="1226"/>
      <c r="FC45" s="1226"/>
      <c r="FD45" s="1226"/>
      <c r="FE45" s="1226"/>
      <c r="FF45" s="1226"/>
      <c r="FG45" s="1226"/>
      <c r="FH45" s="1226"/>
      <c r="FI45" s="1226"/>
      <c r="FJ45" s="1226"/>
      <c r="FK45" s="1226"/>
      <c r="FL45" s="1226"/>
      <c r="FM45" s="1226"/>
      <c r="FN45" s="1226"/>
      <c r="FO45" s="1226"/>
      <c r="FP45" s="1226"/>
      <c r="FQ45" s="1226"/>
      <c r="FR45" s="1226"/>
    </row>
    <row r="46" spans="1:174" ht="33" x14ac:dyDescent="0.25">
      <c r="A46" s="1227" t="s">
        <v>514</v>
      </c>
      <c r="B46" s="1227"/>
      <c r="C46" s="1275">
        <f>AL46</f>
        <v>20</v>
      </c>
      <c r="D46" s="1275" t="s">
        <v>56</v>
      </c>
      <c r="E46" s="1219">
        <f>COUNTIFS(ШТАТ!$AL:$AL,'БЧС Дерябин'!$A46,ШТАТ!$AK:$AK,1)</f>
        <v>5</v>
      </c>
      <c r="F46" s="1219">
        <f>COUNTIFS(ШТАТ!$AL:$AL,'БЧС Дерябин'!$A46,ШТАТ!$AK:$AK,2)</f>
        <v>1</v>
      </c>
      <c r="G46" s="1219">
        <f>COUNTIFS(ШТАТ!$AL:$AL,'БЧС Дерябин'!$A46,ШТАТ!$AK:$AK,3)</f>
        <v>7</v>
      </c>
      <c r="H46" s="1219">
        <f>COUNTIFS(ШТАТ!$AL:$AL,'БЧС Дерябин'!$A46,ШТАТ!$AK:$AK,4)</f>
        <v>20</v>
      </c>
      <c r="I46" s="1221">
        <f t="shared" si="3"/>
        <v>33</v>
      </c>
      <c r="J46" s="1219">
        <f>COUNTIFS(ШТАТ!AL:AL,A46,ШТАТ!AJ:AJ,"о")</f>
        <v>4</v>
      </c>
      <c r="K46" s="1219">
        <f>COUNTIFS(ШТАТ!AL:AL,A46,ШТАТ!AJ:AJ,"п")</f>
        <v>1</v>
      </c>
      <c r="L46" s="1219">
        <f>COUNTIFS(ШТАТ!$AL:$AL,$A46,ШТАТ!AK:AK,3,ШТАТ!AJ:AJ,"с/с")</f>
        <v>0</v>
      </c>
      <c r="M46" s="1219">
        <f>COUNTIFS(ШТАТ!$AL:$AL,$A46,ШТАТ!AK:AK,3,ШТАТ!AJ:AJ,"к/с")</f>
        <v>6</v>
      </c>
      <c r="N46" s="1222">
        <f t="shared" si="11"/>
        <v>6</v>
      </c>
      <c r="O46" s="1220">
        <f>COUNTIFS(ШТАТ!$AL:$AL,$A46,ШТАТ!AK:AK,4,ШТАТ!AJ:AJ,"с/с")</f>
        <v>0</v>
      </c>
      <c r="P46" s="1220">
        <f>COUNTIFS(ШТАТ!$AL:$AL,$A46,ШТАТ!AK:AK,4,ШТАТ!AJ:AJ,"к/с")</f>
        <v>15</v>
      </c>
      <c r="Q46" s="1222">
        <f t="shared" si="12"/>
        <v>15</v>
      </c>
      <c r="R46" s="1221">
        <f t="shared" si="13"/>
        <v>26</v>
      </c>
      <c r="S46" s="1223">
        <f t="shared" si="14"/>
        <v>0.78787878787878785</v>
      </c>
      <c r="T46" s="1219">
        <f>COUNTIFS(ШТАТ!$AL:$AL,$A46,ШТАТ!$AJ:$AJ,"о",ШТАТ!$X:$X,"выполнение специальных задач")</f>
        <v>0</v>
      </c>
      <c r="U46" s="1219">
        <f>COUNTIFS(ШТАТ!$AL:$AL,$A46,ШТАТ!$AJ:$AJ,"п",ШТАТ!$X:$X,"выполнение специальных задач")</f>
        <v>0</v>
      </c>
      <c r="V46" s="1219">
        <f>COUNTIFS(ШТАТ!$AL:$AL,$A46,ШТАТ!$AK:$AK,3,ШТАТ!$AJ:$AJ,"с/с",ШТАТ!$X:$X,"выполнение специальных задач")</f>
        <v>0</v>
      </c>
      <c r="W46" s="1219">
        <f>COUNTIFS(ШТАТ!$AL:$AL,$A46,ШТАТ!$AK:$AK,3,ШТАТ!$AJ:$AJ,"к/с",ШТАТ!$X:$X,"выполнение специальных задач")</f>
        <v>0</v>
      </c>
      <c r="X46" s="1222">
        <f t="shared" si="4"/>
        <v>0</v>
      </c>
      <c r="Y46" s="1219">
        <f>COUNTIFS(ШТАТ!$AL:$AL,$A46,ШТАТ!$AK:$AK,4,ШТАТ!$AJ:$AJ,"с/с",ШТАТ!$X:$X,"выполнение специальных задач")</f>
        <v>0</v>
      </c>
      <c r="Z46" s="1219">
        <f>COUNTIFS(ШТАТ!$AL:$AL,$A46,ШТАТ!$AK:$AK,4,ШТАТ!$AJ:$AJ,"к/с",ШТАТ!$X:$X,"выполнение специальных задач")</f>
        <v>1</v>
      </c>
      <c r="AA46" s="1222">
        <f t="shared" si="5"/>
        <v>1</v>
      </c>
      <c r="AB46" s="1221">
        <f t="shared" si="15"/>
        <v>1</v>
      </c>
      <c r="AC46" s="1224"/>
      <c r="AD46" s="1219">
        <f>COUNTIFS(ШТАТ!$AL:$AL,$A46,ШТАТ!$AK:$AK,1,ШТАТ!$AJ:$AJ,"о",ШТАТ!$W:$W,"г. Белгород")</f>
        <v>3</v>
      </c>
      <c r="AE46" s="1219">
        <f>COUNTIFS(ШТАТ!$AL:$AL,$A46,ШТАТ!$AK:$AK,2,ШТАТ!$AJ:$AJ,"п",ШТАТ!$W:$W,"г. Белгород")</f>
        <v>1</v>
      </c>
      <c r="AF46" s="1219">
        <f>COUNTIFS(ШТАТ!$AL:$AL,$A46,ШТАТ!$AK:$AK,3,ШТАТ!$AJ:$AJ,"с/с",ШТАТ!$W:$W,"г. Белгород")</f>
        <v>0</v>
      </c>
      <c r="AG46" s="1219">
        <f>COUNTIFS(ШТАТ!$AL:$AL,$A46,ШТАТ!$AK:$AK,3,ШТАТ!$AJ:$AJ,"к/с",ШТАТ!$W:$W,"г. Белгород")</f>
        <v>4</v>
      </c>
      <c r="AH46" s="1222">
        <f t="shared" si="6"/>
        <v>4</v>
      </c>
      <c r="AI46" s="1219">
        <f>COUNTIFS(ШТАТ!$AL:$AL,$A46,ШТАТ!$AK:$AK,4,ШТАТ!$AJ:$AJ,"с/с",ШТАТ!$W:$W,"г. Белгород")</f>
        <v>0</v>
      </c>
      <c r="AJ46" s="1219">
        <f>COUNTIFS(ШТАТ!$AL:$AL,$A46,ШТАТ!$AK:$AK,4,ШТАТ!$AJ:$AJ,"к/с",ШТАТ!$W:$W,"г. Белгород")</f>
        <v>12</v>
      </c>
      <c r="AK46" s="1222">
        <f t="shared" si="7"/>
        <v>12</v>
      </c>
      <c r="AL46" s="1221">
        <f t="shared" si="16"/>
        <v>20</v>
      </c>
      <c r="AM46" s="1219">
        <f>COUNTIFS(ШТАТ!$AL:$AL,$A46,ШТАТ!$AK:$AK,1,ШТАТ!$AJ:$AJ,"о",ШТАТ!$U:$U,"")</f>
        <v>1</v>
      </c>
      <c r="AN46" s="1219">
        <f>COUNTIFS(ШТАТ!$AL:$AL,$A46,ШТАТ!$AK:$AK,2,ШТАТ!$AJ:$AJ,"п",ШТАТ!$U:$U,"")</f>
        <v>0</v>
      </c>
      <c r="AO46" s="1219">
        <f>COUNTIFS(ШТАТ!$AL:$AL,$A46,ШТАТ!$AK:$AK,3,ШТАТ!$AJ:$AJ,"с/с",ШТАТ!$U:$U,"")</f>
        <v>0</v>
      </c>
      <c r="AP46" s="1219">
        <f>COUNTIFS(ШТАТ!$AL:$AL,$A46,ШТАТ!$AK:$AK,3,ШТАТ!$AJ:$AJ,"к/с",ШТАТ!$U:$U,"")</f>
        <v>1</v>
      </c>
      <c r="AQ46" s="1222">
        <f t="shared" si="17"/>
        <v>1</v>
      </c>
      <c r="AR46" s="1219">
        <f>COUNTIFS(ШТАТ!$AL:$AL,$A46,ШТАТ!$AK:$AK,4,ШТАТ!$AJ:$AJ,"с/с",ШТАТ!$U:$U,"")</f>
        <v>0</v>
      </c>
      <c r="AS46" s="1219">
        <f>COUNTIFS(ШТАТ!$AL:$AL,$A46,ШТАТ!$AK:$AK,4,ШТАТ!$AJ:$AJ,"к/с",ШТАТ!$U:$U,"")</f>
        <v>0</v>
      </c>
      <c r="AT46" s="1222">
        <f t="shared" si="8"/>
        <v>0</v>
      </c>
      <c r="AU46" s="1221">
        <f t="shared" si="18"/>
        <v>2</v>
      </c>
      <c r="AV46" s="1219">
        <f>COUNTIFS(ШТАТ!$AL:$AL,$A46,ШТАТ!$U:$U,"госп")</f>
        <v>0</v>
      </c>
      <c r="AW46" s="1225">
        <f t="shared" si="9"/>
        <v>2</v>
      </c>
      <c r="AX46" s="1219">
        <f>COUNTIFS(ШТАТ!$AL:$AL,$A46,ШТАТ!$U:$U,"отпуск")</f>
        <v>0</v>
      </c>
      <c r="AY46" s="1219">
        <f>COUNTIFS(ШТАТ!$AL:$AL,$A46,ШТАТ!$U:$U,"соч")</f>
        <v>1</v>
      </c>
      <c r="AZ46" s="1225"/>
      <c r="BA46" s="1219">
        <f>COUNTIFS(ШТАТ!$AL:$AL,$A46,ШТАТ!$U:$U,"МП")</f>
        <v>0</v>
      </c>
      <c r="BB46" s="1226"/>
      <c r="BC46" s="1226"/>
      <c r="BD46" s="1219"/>
      <c r="BE46" s="1226"/>
      <c r="BF46" s="1226"/>
      <c r="BG46" s="1226"/>
      <c r="BH46" s="1226"/>
      <c r="BI46" s="1226"/>
      <c r="BJ46" s="1226"/>
      <c r="BK46" s="1226"/>
      <c r="BL46" s="1226"/>
      <c r="BM46" s="1226"/>
      <c r="BN46" s="1226"/>
      <c r="BO46" s="1226"/>
      <c r="BP46" s="1226"/>
      <c r="BQ46" s="1226"/>
      <c r="BR46" s="1226"/>
      <c r="BS46" s="1226"/>
      <c r="BT46" s="1226"/>
      <c r="BU46" s="1226"/>
      <c r="BV46" s="1226"/>
      <c r="BW46" s="1226"/>
      <c r="BX46" s="1226"/>
      <c r="BY46" s="1226"/>
      <c r="BZ46" s="1226"/>
      <c r="CA46" s="1226"/>
      <c r="CB46" s="1226"/>
      <c r="CC46" s="1226"/>
      <c r="CD46" s="1226"/>
      <c r="CE46" s="1226"/>
      <c r="CF46" s="1226"/>
      <c r="CG46" s="1226"/>
      <c r="CH46" s="1226"/>
      <c r="CI46" s="1226"/>
      <c r="CJ46" s="1226"/>
      <c r="CK46" s="1226"/>
      <c r="CL46" s="1226"/>
      <c r="CM46" s="1226"/>
      <c r="CN46" s="1226"/>
      <c r="CO46" s="1226"/>
      <c r="CP46" s="1226"/>
      <c r="CQ46" s="1226"/>
      <c r="CR46" s="1226"/>
      <c r="CS46" s="1226"/>
      <c r="CT46" s="1226"/>
      <c r="CU46" s="1226"/>
      <c r="CV46" s="1226"/>
      <c r="CW46" s="1226"/>
      <c r="CX46" s="1226"/>
      <c r="CY46" s="1226"/>
      <c r="CZ46" s="1226"/>
      <c r="DA46" s="1226"/>
      <c r="DB46" s="1226"/>
      <c r="DC46" s="1226"/>
      <c r="DD46" s="1226"/>
      <c r="DE46" s="1226"/>
      <c r="DF46" s="1226"/>
      <c r="DG46" s="1226">
        <v>10</v>
      </c>
      <c r="DH46" s="1226"/>
      <c r="DI46" s="1226"/>
      <c r="DJ46" s="1226"/>
      <c r="DK46" s="1226"/>
      <c r="DL46" s="1226"/>
      <c r="DM46" s="1226"/>
      <c r="DN46" s="1226"/>
      <c r="DO46" s="1226"/>
      <c r="DP46" s="1226"/>
      <c r="DQ46" s="1226"/>
      <c r="DR46" s="1226"/>
      <c r="DS46" s="1226"/>
      <c r="DT46" s="1226"/>
      <c r="DU46" s="1226"/>
      <c r="DV46" s="1226">
        <f>COUNTIFS(ШТАТ!$AN:$AN,"Урал-4320-31",ШТАТ!AL:AL,"Управление")</f>
        <v>0</v>
      </c>
      <c r="DW46" s="1226"/>
      <c r="DX46" s="1226"/>
      <c r="DY46" s="1226"/>
      <c r="DZ46" s="1226"/>
      <c r="EA46" s="1226"/>
      <c r="EB46" s="1226"/>
      <c r="EC46" s="1226"/>
      <c r="ED46" s="1226"/>
      <c r="EE46" s="1226"/>
      <c r="EF46" s="1226"/>
      <c r="EG46" s="1226"/>
      <c r="EH46" s="1226"/>
      <c r="EI46" s="1226"/>
      <c r="EJ46" s="1226"/>
      <c r="EK46" s="1226"/>
      <c r="EL46" s="1226"/>
      <c r="EM46" s="1226"/>
      <c r="EN46" s="1226"/>
      <c r="EO46" s="1226"/>
      <c r="EP46" s="1226"/>
      <c r="EQ46" s="1226"/>
      <c r="ER46" s="1226"/>
      <c r="ES46" s="1226"/>
      <c r="ET46" s="1226"/>
      <c r="EU46" s="1226"/>
      <c r="EV46" s="1226"/>
      <c r="EW46" s="1226"/>
      <c r="EX46" s="1226"/>
      <c r="EY46" s="1226"/>
      <c r="EZ46" s="1226"/>
      <c r="FA46" s="1226"/>
      <c r="FB46" s="1226"/>
      <c r="FC46" s="1226"/>
      <c r="FD46" s="1226"/>
      <c r="FE46" s="1226"/>
      <c r="FF46" s="1226"/>
      <c r="FG46" s="1226"/>
      <c r="FH46" s="1226"/>
      <c r="FI46" s="1226"/>
      <c r="FJ46" s="1226"/>
      <c r="FK46" s="1226"/>
      <c r="FL46" s="1226"/>
      <c r="FM46" s="1226"/>
      <c r="FN46" s="1226"/>
      <c r="FO46" s="1226"/>
      <c r="FP46" s="1226"/>
      <c r="FQ46" s="1226"/>
      <c r="FR46" s="1226"/>
    </row>
    <row r="47" spans="1:174" ht="33" x14ac:dyDescent="0.25">
      <c r="A47" s="1227" t="s">
        <v>532</v>
      </c>
      <c r="B47" s="1227"/>
      <c r="C47" s="1275">
        <f>AB47</f>
        <v>27</v>
      </c>
      <c r="D47" s="1275" t="s">
        <v>901</v>
      </c>
      <c r="E47" s="1219">
        <f>COUNTIFS(ШТАТ!$AL:$AL,'БЧС Дерябин'!$A47,ШТАТ!$AK:$AK,1)</f>
        <v>5</v>
      </c>
      <c r="F47" s="1219">
        <f>COUNTIFS(ШТАТ!$AL:$AL,'БЧС Дерябин'!$A47,ШТАТ!$AK:$AK,2)</f>
        <v>1</v>
      </c>
      <c r="G47" s="1219">
        <f>COUNTIFS(ШТАТ!$AL:$AL,'БЧС Дерябин'!$A47,ШТАТ!$AK:$AK,3)</f>
        <v>7</v>
      </c>
      <c r="H47" s="1219">
        <f>COUNTIFS(ШТАТ!$AL:$AL,'БЧС Дерябин'!$A47,ШТАТ!$AK:$AK,4)</f>
        <v>20</v>
      </c>
      <c r="I47" s="1221">
        <f t="shared" si="3"/>
        <v>33</v>
      </c>
      <c r="J47" s="1219">
        <f>COUNTIFS(ШТАТ!AL:AL,A47,ШТАТ!AJ:AJ,"о")</f>
        <v>5</v>
      </c>
      <c r="K47" s="1219">
        <f>COUNTIFS(ШТАТ!AL:AL,A47,ШТАТ!AJ:AJ,"п")</f>
        <v>1</v>
      </c>
      <c r="L47" s="1219">
        <f>COUNTIFS(ШТАТ!$AL:$AL,$A47,ШТАТ!AK:AK,3,ШТАТ!AJ:AJ,"с/с")</f>
        <v>0</v>
      </c>
      <c r="M47" s="1219">
        <f>COUNTIFS(ШТАТ!$AL:$AL,$A47,ШТАТ!AK:AK,3,ШТАТ!AJ:AJ,"к/с")</f>
        <v>5</v>
      </c>
      <c r="N47" s="1222">
        <f t="shared" si="11"/>
        <v>5</v>
      </c>
      <c r="O47" s="1220">
        <f>COUNTIFS(ШТАТ!$AL:$AL,$A47,ШТАТ!AK:AK,4,ШТАТ!AJ:AJ,"с/с")</f>
        <v>0</v>
      </c>
      <c r="P47" s="1220">
        <f>COUNTIFS(ШТАТ!$AL:$AL,$A47,ШТАТ!AK:AK,4,ШТАТ!AJ:AJ,"к/с")</f>
        <v>20</v>
      </c>
      <c r="Q47" s="1222">
        <f t="shared" si="12"/>
        <v>20</v>
      </c>
      <c r="R47" s="1221">
        <f t="shared" si="13"/>
        <v>31</v>
      </c>
      <c r="S47" s="1223">
        <f t="shared" si="14"/>
        <v>0.93939393939393945</v>
      </c>
      <c r="T47" s="1219">
        <f>COUNTIFS(ШТАТ!$AL:$AL,$A47,ШТАТ!$AJ:$AJ,"о",ШТАТ!$X:$X,"выполнение специальных задач")</f>
        <v>2</v>
      </c>
      <c r="U47" s="1219">
        <f>COUNTIFS(ШТАТ!$AL:$AL,$A47,ШТАТ!$AJ:$AJ,"п",ШТАТ!$X:$X,"выполнение специальных задач")</f>
        <v>1</v>
      </c>
      <c r="V47" s="1219">
        <f>COUNTIFS(ШТАТ!$AL:$AL,$A47,ШТАТ!$AK:$AK,3,ШТАТ!$AJ:$AJ,"с/с",ШТАТ!$X:$X,"выполнение специальных задач")</f>
        <v>0</v>
      </c>
      <c r="W47" s="1219">
        <f>COUNTIFS(ШТАТ!$AL:$AL,$A47,ШТАТ!$AK:$AK,3,ШТАТ!$AJ:$AJ,"к/с",ШТАТ!$X:$X,"выполнение специальных задач")</f>
        <v>5</v>
      </c>
      <c r="X47" s="1222">
        <f t="shared" si="4"/>
        <v>5</v>
      </c>
      <c r="Y47" s="1219">
        <f>COUNTIFS(ШТАТ!$AL:$AL,$A47,ШТАТ!$AK:$AK,4,ШТАТ!$AJ:$AJ,"с/с",ШТАТ!$X:$X,"выполнение специальных задач")</f>
        <v>0</v>
      </c>
      <c r="Z47" s="1219">
        <f>COUNTIFS(ШТАТ!$AL:$AL,$A47,ШТАТ!$AK:$AK,4,ШТАТ!$AJ:$AJ,"к/с",ШТАТ!$X:$X,"выполнение специальных задач")</f>
        <v>19</v>
      </c>
      <c r="AA47" s="1222">
        <f t="shared" si="5"/>
        <v>19</v>
      </c>
      <c r="AB47" s="1221">
        <f t="shared" si="15"/>
        <v>27</v>
      </c>
      <c r="AC47" s="1224"/>
      <c r="AD47" s="1219">
        <f>COUNTIFS(ШТАТ!$AL:$AL,$A47,ШТАТ!$AK:$AK,1,ШТАТ!$AJ:$AJ,"о",ШТАТ!$W:$W,"г. Белгород")</f>
        <v>2</v>
      </c>
      <c r="AE47" s="1219">
        <f>COUNTIFS(ШТАТ!$AL:$AL,$A47,ШТАТ!$AK:$AK,2,ШТАТ!$AJ:$AJ,"п",ШТАТ!$W:$W,"г. Белгород")</f>
        <v>0</v>
      </c>
      <c r="AF47" s="1219">
        <f>COUNTIFS(ШТАТ!$AL:$AL,$A47,ШТАТ!$AK:$AK,3,ШТАТ!$AJ:$AJ,"с/с",ШТАТ!$W:$W,"г. Белгород")</f>
        <v>0</v>
      </c>
      <c r="AG47" s="1219">
        <f>COUNTIFS(ШТАТ!$AL:$AL,$A47,ШТАТ!$AK:$AK,3,ШТАТ!$AJ:$AJ,"к/с",ШТАТ!$W:$W,"г. Белгород")</f>
        <v>0</v>
      </c>
      <c r="AH47" s="1222">
        <f t="shared" si="6"/>
        <v>0</v>
      </c>
      <c r="AI47" s="1219">
        <f>COUNTIFS(ШТАТ!$AL:$AL,$A47,ШТАТ!$AK:$AK,4,ШТАТ!$AJ:$AJ,"с/с",ШТАТ!$W:$W,"г. Белгород")</f>
        <v>0</v>
      </c>
      <c r="AJ47" s="1219">
        <f>COUNTIFS(ШТАТ!$AL:$AL,$A47,ШТАТ!$AK:$AK,4,ШТАТ!$AJ:$AJ,"к/с",ШТАТ!$W:$W,"г. Белгород")</f>
        <v>1</v>
      </c>
      <c r="AK47" s="1222">
        <f t="shared" si="7"/>
        <v>1</v>
      </c>
      <c r="AL47" s="1221">
        <f t="shared" si="16"/>
        <v>3</v>
      </c>
      <c r="AM47" s="1219">
        <f>COUNTIFS(ШТАТ!$AL:$AL,$A47,ШТАТ!$AK:$AK,1,ШТАТ!$AJ:$AJ,"о",ШТАТ!$U:$U,"")</f>
        <v>0</v>
      </c>
      <c r="AN47" s="1219">
        <f>COUNTIFS(ШТАТ!$AL:$AL,$A47,ШТАТ!$AK:$AK,2,ШТАТ!$AJ:$AJ,"п",ШТАТ!$U:$U,"")</f>
        <v>0</v>
      </c>
      <c r="AO47" s="1219">
        <f>COUNTIFS(ШТАТ!$AL:$AL,$A47,ШТАТ!$AK:$AK,3,ШТАТ!$AJ:$AJ,"с/с",ШТАТ!$U:$U,"")</f>
        <v>0</v>
      </c>
      <c r="AP47" s="1219">
        <f>COUNTIFS(ШТАТ!$AL:$AL,$A47,ШТАТ!$AK:$AK,3,ШТАТ!$AJ:$AJ,"к/с",ШТАТ!$U:$U,"")</f>
        <v>0</v>
      </c>
      <c r="AQ47" s="1222">
        <f t="shared" si="17"/>
        <v>0</v>
      </c>
      <c r="AR47" s="1219">
        <f>COUNTIFS(ШТАТ!$AL:$AL,$A47,ШТАТ!$AK:$AK,4,ШТАТ!$AJ:$AJ,"с/с",ШТАТ!$U:$U,"")</f>
        <v>0</v>
      </c>
      <c r="AS47" s="1219">
        <f>COUNTIFS(ШТАТ!$AL:$AL,$A47,ШТАТ!$AK:$AK,4,ШТАТ!$AJ:$AJ,"к/с",ШТАТ!$U:$U,"")</f>
        <v>1</v>
      </c>
      <c r="AT47" s="1222">
        <f t="shared" si="8"/>
        <v>1</v>
      </c>
      <c r="AU47" s="1221">
        <f t="shared" si="18"/>
        <v>1</v>
      </c>
      <c r="AV47" s="1219">
        <f>COUNTIFS(ШТАТ!$AL:$AL,$A47,ШТАТ!$U:$U,"госп")</f>
        <v>0</v>
      </c>
      <c r="AW47" s="1225">
        <f t="shared" si="9"/>
        <v>0</v>
      </c>
      <c r="AX47" s="1219">
        <f>COUNTIFS(ШТАТ!$AL:$AL,$A47,ШТАТ!$U:$U,"отпуск")</f>
        <v>0</v>
      </c>
      <c r="AY47" s="1219">
        <f>COUNTIFS(ШТАТ!$AL:$AL,$A47,ШТАТ!$U:$U,"соч")</f>
        <v>0</v>
      </c>
      <c r="AZ47" s="1225"/>
      <c r="BA47" s="1219">
        <f>COUNTIFS(ШТАТ!$AL:$AL,$A47,ШТАТ!$U:$U,"МП")</f>
        <v>0</v>
      </c>
      <c r="BB47" s="1226"/>
      <c r="BC47" s="1226"/>
      <c r="BD47" s="1219"/>
      <c r="BE47" s="1226"/>
      <c r="BF47" s="1226"/>
      <c r="BG47" s="1226"/>
      <c r="BH47" s="1226"/>
      <c r="BI47" s="1226"/>
      <c r="BJ47" s="1226"/>
      <c r="BK47" s="1226"/>
      <c r="BL47" s="1226"/>
      <c r="BM47" s="1226"/>
      <c r="BN47" s="1226"/>
      <c r="BO47" s="1226"/>
      <c r="BP47" s="1226"/>
      <c r="BQ47" s="1226"/>
      <c r="BR47" s="1226"/>
      <c r="BS47" s="1226"/>
      <c r="BT47" s="1226"/>
      <c r="BU47" s="1226"/>
      <c r="BV47" s="1226"/>
      <c r="BW47" s="1226"/>
      <c r="BX47" s="1226"/>
      <c r="BY47" s="1226"/>
      <c r="BZ47" s="1226"/>
      <c r="CA47" s="1226"/>
      <c r="CB47" s="1226"/>
      <c r="CC47" s="1226"/>
      <c r="CD47" s="1226"/>
      <c r="CE47" s="1226"/>
      <c r="CF47" s="1226"/>
      <c r="CG47" s="1226"/>
      <c r="CH47" s="1226"/>
      <c r="CI47" s="1226"/>
      <c r="CJ47" s="1226"/>
      <c r="CK47" s="1226"/>
      <c r="CL47" s="1226"/>
      <c r="CM47" s="1226"/>
      <c r="CN47" s="1226"/>
      <c r="CO47" s="1226"/>
      <c r="CP47" s="1226"/>
      <c r="CQ47" s="1226"/>
      <c r="CR47" s="1226"/>
      <c r="CS47" s="1226"/>
      <c r="CT47" s="1226"/>
      <c r="CU47" s="1226"/>
      <c r="CV47" s="1226"/>
      <c r="CW47" s="1226"/>
      <c r="CX47" s="1226"/>
      <c r="CY47" s="1226"/>
      <c r="CZ47" s="1226"/>
      <c r="DA47" s="1226"/>
      <c r="DB47" s="1226"/>
      <c r="DC47" s="1226"/>
      <c r="DD47" s="1226"/>
      <c r="DE47" s="1226"/>
      <c r="DF47" s="1226"/>
      <c r="DG47" s="1226">
        <v>10</v>
      </c>
      <c r="DH47" s="1226"/>
      <c r="DI47" s="1226"/>
      <c r="DJ47" s="1226"/>
      <c r="DK47" s="1226"/>
      <c r="DL47" s="1226"/>
      <c r="DM47" s="1226"/>
      <c r="DN47" s="1226"/>
      <c r="DO47" s="1226"/>
      <c r="DP47" s="1226"/>
      <c r="DQ47" s="1226"/>
      <c r="DR47" s="1226"/>
      <c r="DS47" s="1226"/>
      <c r="DT47" s="1226"/>
      <c r="DU47" s="1226"/>
      <c r="DV47" s="1226">
        <f>COUNTIFS(ШТАТ!$AN:$AN,"Урал-4320-31",ШТАТ!AL:AL,"Управление")</f>
        <v>0</v>
      </c>
      <c r="DW47" s="1226"/>
      <c r="DX47" s="1226"/>
      <c r="DY47" s="1226"/>
      <c r="DZ47" s="1226"/>
      <c r="EA47" s="1226"/>
      <c r="EB47" s="1226"/>
      <c r="EC47" s="1226"/>
      <c r="ED47" s="1226"/>
      <c r="EE47" s="1226"/>
      <c r="EF47" s="1226"/>
      <c r="EG47" s="1226"/>
      <c r="EH47" s="1226"/>
      <c r="EI47" s="1226"/>
      <c r="EJ47" s="1226"/>
      <c r="EK47" s="1226"/>
      <c r="EL47" s="1226"/>
      <c r="EM47" s="1226"/>
      <c r="EN47" s="1226"/>
      <c r="EO47" s="1226"/>
      <c r="EP47" s="1226"/>
      <c r="EQ47" s="1226"/>
      <c r="ER47" s="1226"/>
      <c r="ES47" s="1226"/>
      <c r="ET47" s="1226"/>
      <c r="EU47" s="1226"/>
      <c r="EV47" s="1226"/>
      <c r="EW47" s="1226"/>
      <c r="EX47" s="1226"/>
      <c r="EY47" s="1226"/>
      <c r="EZ47" s="1226"/>
      <c r="FA47" s="1226"/>
      <c r="FB47" s="1226"/>
      <c r="FC47" s="1226"/>
      <c r="FD47" s="1226"/>
      <c r="FE47" s="1226"/>
      <c r="FF47" s="1226"/>
      <c r="FG47" s="1226"/>
      <c r="FH47" s="1226"/>
      <c r="FI47" s="1226"/>
      <c r="FJ47" s="1226"/>
      <c r="FK47" s="1226"/>
      <c r="FL47" s="1226"/>
      <c r="FM47" s="1226"/>
      <c r="FN47" s="1226"/>
      <c r="FO47" s="1226"/>
      <c r="FP47" s="1226"/>
      <c r="FQ47" s="1226"/>
      <c r="FR47" s="1226"/>
    </row>
    <row r="48" spans="1:174" ht="33" x14ac:dyDescent="0.25">
      <c r="A48" s="1227" t="s">
        <v>534</v>
      </c>
      <c r="B48" s="1227"/>
      <c r="C48" s="1275">
        <f>AB48</f>
        <v>28</v>
      </c>
      <c r="D48" s="1275" t="s">
        <v>901</v>
      </c>
      <c r="E48" s="1219">
        <f>COUNTIFS(ШТАТ!$AL:$AL,'БЧС Дерябин'!$A48,ШТАТ!$AK:$AK,1)</f>
        <v>5</v>
      </c>
      <c r="F48" s="1219">
        <f>COUNTIFS(ШТАТ!$AL:$AL,'БЧС Дерябин'!$A48,ШТАТ!$AK:$AK,2)</f>
        <v>1</v>
      </c>
      <c r="G48" s="1219">
        <f>COUNTIFS(ШТАТ!$AL:$AL,'БЧС Дерябин'!$A48,ШТАТ!$AK:$AK,3)</f>
        <v>7</v>
      </c>
      <c r="H48" s="1219">
        <f>COUNTIFS(ШТАТ!$AL:$AL,'БЧС Дерябин'!$A48,ШТАТ!$AK:$AK,4)</f>
        <v>20</v>
      </c>
      <c r="I48" s="1221">
        <f t="shared" si="3"/>
        <v>33</v>
      </c>
      <c r="J48" s="1219">
        <f>COUNTIFS(ШТАТ!AL:AL,A48,ШТАТ!AJ:AJ,"о")</f>
        <v>5</v>
      </c>
      <c r="K48" s="1219">
        <f>COUNTIFS(ШТАТ!AL:AL,A48,ШТАТ!AJ:AJ,"п")</f>
        <v>1</v>
      </c>
      <c r="L48" s="1219">
        <f>COUNTIFS(ШТАТ!$AL:$AL,$A48,ШТАТ!AK:AK,3,ШТАТ!AJ:AJ,"с/с")</f>
        <v>0</v>
      </c>
      <c r="M48" s="1219">
        <f>COUNTIFS(ШТАТ!$AL:$AL,$A48,ШТАТ!AK:AK,3,ШТАТ!AJ:AJ,"к/с")</f>
        <v>7</v>
      </c>
      <c r="N48" s="1222">
        <f t="shared" si="11"/>
        <v>7</v>
      </c>
      <c r="O48" s="1220">
        <f>COUNTIFS(ШТАТ!$AL:$AL,$A48,ШТАТ!AK:AK,4,ШТАТ!AJ:AJ,"с/с")</f>
        <v>0</v>
      </c>
      <c r="P48" s="1220">
        <f>COUNTIFS(ШТАТ!$AL:$AL,$A48,ШТАТ!AK:AK,4,ШТАТ!AJ:AJ,"к/с")</f>
        <v>20</v>
      </c>
      <c r="Q48" s="1222">
        <f t="shared" si="12"/>
        <v>20</v>
      </c>
      <c r="R48" s="1221">
        <f t="shared" si="13"/>
        <v>33</v>
      </c>
      <c r="S48" s="1223">
        <f t="shared" si="14"/>
        <v>1</v>
      </c>
      <c r="T48" s="1219">
        <f>COUNTIFS(ШТАТ!$AL:$AL,$A48,ШТАТ!$AJ:$AJ,"о",ШТАТ!$X:$X,"выполнение специальных задач")</f>
        <v>2</v>
      </c>
      <c r="U48" s="1219">
        <f>COUNTIFS(ШТАТ!$AL:$AL,$A48,ШТАТ!$AJ:$AJ,"п",ШТАТ!$X:$X,"выполнение специальных задач")</f>
        <v>0</v>
      </c>
      <c r="V48" s="1219">
        <f>COUNTIFS(ШТАТ!$AL:$AL,$A48,ШТАТ!$AK:$AK,3,ШТАТ!$AJ:$AJ,"с/с",ШТАТ!$X:$X,"выполнение специальных задач")</f>
        <v>0</v>
      </c>
      <c r="W48" s="1219">
        <f>COUNTIFS(ШТАТ!$AL:$AL,$A48,ШТАТ!$AK:$AK,3,ШТАТ!$AJ:$AJ,"к/с",ШТАТ!$X:$X,"выполнение специальных задач")</f>
        <v>7</v>
      </c>
      <c r="X48" s="1222">
        <f t="shared" si="4"/>
        <v>7</v>
      </c>
      <c r="Y48" s="1219">
        <f>COUNTIFS(ШТАТ!$AL:$AL,$A48,ШТАТ!$AK:$AK,4,ШТАТ!$AJ:$AJ,"с/с",ШТАТ!$X:$X,"выполнение специальных задач")</f>
        <v>0</v>
      </c>
      <c r="Z48" s="1219">
        <f>COUNTIFS(ШТАТ!$AL:$AL,$A48,ШТАТ!$AK:$AK,4,ШТАТ!$AJ:$AJ,"к/с",ШТАТ!$X:$X,"выполнение специальных задач")</f>
        <v>19</v>
      </c>
      <c r="AA48" s="1222">
        <f t="shared" si="5"/>
        <v>19</v>
      </c>
      <c r="AB48" s="1221">
        <f t="shared" si="15"/>
        <v>28</v>
      </c>
      <c r="AC48" s="1224"/>
      <c r="AD48" s="1219">
        <f>COUNTIFS(ШТАТ!$AL:$AL,$A48,ШТАТ!$AK:$AK,1,ШТАТ!$AJ:$AJ,"о",ШТАТ!$W:$W,"г. Белгород")</f>
        <v>1</v>
      </c>
      <c r="AE48" s="1219">
        <f>COUNTIFS(ШТАТ!$AL:$AL,$A48,ШТАТ!$AK:$AK,2,ШТАТ!$AJ:$AJ,"п",ШТАТ!$W:$W,"г. Белгород")</f>
        <v>0</v>
      </c>
      <c r="AF48" s="1219">
        <f>COUNTIFS(ШТАТ!$AL:$AL,$A48,ШТАТ!$AK:$AK,3,ШТАТ!$AJ:$AJ,"с/с",ШТАТ!$W:$W,"г. Белгород")</f>
        <v>0</v>
      </c>
      <c r="AG48" s="1219">
        <f>COUNTIFS(ШТАТ!$AL:$AL,$A48,ШТАТ!$AK:$AK,3,ШТАТ!$AJ:$AJ,"к/с",ШТАТ!$W:$W,"г. Белгород")</f>
        <v>0</v>
      </c>
      <c r="AH48" s="1222">
        <f t="shared" si="6"/>
        <v>0</v>
      </c>
      <c r="AI48" s="1219">
        <f>COUNTIFS(ШТАТ!$AL:$AL,$A48,ШТАТ!$AK:$AK,4,ШТАТ!$AJ:$AJ,"с/с",ШТАТ!$W:$W,"г. Белгород")</f>
        <v>0</v>
      </c>
      <c r="AJ48" s="1219">
        <f>COUNTIFS(ШТАТ!$AL:$AL,$A48,ШТАТ!$AK:$AK,4,ШТАТ!$AJ:$AJ,"к/с",ШТАТ!$W:$W,"г. Белгород")</f>
        <v>0</v>
      </c>
      <c r="AK48" s="1222">
        <f t="shared" si="7"/>
        <v>0</v>
      </c>
      <c r="AL48" s="1221">
        <f t="shared" si="16"/>
        <v>1</v>
      </c>
      <c r="AM48" s="1219">
        <f>COUNTIFS(ШТАТ!$AL:$AL,$A48,ШТАТ!$AK:$AK,1,ШТАТ!$AJ:$AJ,"о",ШТАТ!$U:$U,"")</f>
        <v>2</v>
      </c>
      <c r="AN48" s="1219">
        <f>COUNTIFS(ШТАТ!$AL:$AL,$A48,ШТАТ!$AK:$AK,2,ШТАТ!$AJ:$AJ,"п",ШТАТ!$U:$U,"")</f>
        <v>1</v>
      </c>
      <c r="AO48" s="1219">
        <f>COUNTIFS(ШТАТ!$AL:$AL,$A48,ШТАТ!$AK:$AK,3,ШТАТ!$AJ:$AJ,"с/с",ШТАТ!$U:$U,"")</f>
        <v>0</v>
      </c>
      <c r="AP48" s="1219">
        <f>COUNTIFS(ШТАТ!$AL:$AL,$A48,ШТАТ!$AK:$AK,3,ШТАТ!$AJ:$AJ,"к/с",ШТАТ!$U:$U,"")</f>
        <v>0</v>
      </c>
      <c r="AQ48" s="1222">
        <f t="shared" si="17"/>
        <v>0</v>
      </c>
      <c r="AR48" s="1219">
        <f>COUNTIFS(ШТАТ!$AL:$AL,$A48,ШТАТ!$AK:$AK,4,ШТАТ!$AJ:$AJ,"с/с",ШТАТ!$U:$U,"")</f>
        <v>0</v>
      </c>
      <c r="AS48" s="1219">
        <f>COUNTIFS(ШТАТ!$AL:$AL,$A48,ШТАТ!$AK:$AK,4,ШТАТ!$AJ:$AJ,"к/с",ШТАТ!$U:$U,"")</f>
        <v>0</v>
      </c>
      <c r="AT48" s="1222">
        <f t="shared" si="8"/>
        <v>0</v>
      </c>
      <c r="AU48" s="1221">
        <f t="shared" si="18"/>
        <v>3</v>
      </c>
      <c r="AV48" s="1219">
        <f>COUNTIFS(ШТАТ!$AL:$AL,$A48,ШТАТ!$U:$U,"госп")</f>
        <v>0</v>
      </c>
      <c r="AW48" s="1225">
        <f t="shared" si="9"/>
        <v>1</v>
      </c>
      <c r="AX48" s="1219">
        <f>COUNTIFS(ШТАТ!$AL:$AL,$A48,ШТАТ!$U:$U,"отпуск")</f>
        <v>0</v>
      </c>
      <c r="AY48" s="1219">
        <f>COUNTIFS(ШТАТ!$AL:$AL,$A48,ШТАТ!$U:$U,"соч")</f>
        <v>0</v>
      </c>
      <c r="AZ48" s="1225"/>
      <c r="BA48" s="1219">
        <f>COUNTIFS(ШТАТ!$AL:$AL,$A48,ШТАТ!$U:$U,"МП")</f>
        <v>0</v>
      </c>
      <c r="BB48" s="1226"/>
      <c r="BC48" s="1226"/>
      <c r="BD48" s="1219"/>
      <c r="BE48" s="1226"/>
      <c r="BF48" s="1226"/>
      <c r="BG48" s="1226"/>
      <c r="BH48" s="1226"/>
      <c r="BI48" s="1226"/>
      <c r="BJ48" s="1226"/>
      <c r="BK48" s="1226"/>
      <c r="BL48" s="1226"/>
      <c r="BM48" s="1226"/>
      <c r="BN48" s="1226"/>
      <c r="BO48" s="1226"/>
      <c r="BP48" s="1226"/>
      <c r="BQ48" s="1226"/>
      <c r="BR48" s="1226"/>
      <c r="BS48" s="1226"/>
      <c r="BT48" s="1226"/>
      <c r="BU48" s="1226"/>
      <c r="BV48" s="1226"/>
      <c r="BW48" s="1226"/>
      <c r="BX48" s="1226"/>
      <c r="BY48" s="1226"/>
      <c r="BZ48" s="1226"/>
      <c r="CA48" s="1226"/>
      <c r="CB48" s="1226"/>
      <c r="CC48" s="1226"/>
      <c r="CD48" s="1226"/>
      <c r="CE48" s="1226"/>
      <c r="CF48" s="1226"/>
      <c r="CG48" s="1226"/>
      <c r="CH48" s="1226"/>
      <c r="CI48" s="1226"/>
      <c r="CJ48" s="1226"/>
      <c r="CK48" s="1226"/>
      <c r="CL48" s="1226"/>
      <c r="CM48" s="1226"/>
      <c r="CN48" s="1226"/>
      <c r="CO48" s="1226"/>
      <c r="CP48" s="1226"/>
      <c r="CQ48" s="1226"/>
      <c r="CR48" s="1226"/>
      <c r="CS48" s="1226"/>
      <c r="CT48" s="1226"/>
      <c r="CU48" s="1226"/>
      <c r="CV48" s="1226"/>
      <c r="CW48" s="1226"/>
      <c r="CX48" s="1226"/>
      <c r="CY48" s="1226"/>
      <c r="CZ48" s="1226"/>
      <c r="DA48" s="1226"/>
      <c r="DB48" s="1226"/>
      <c r="DC48" s="1226"/>
      <c r="DD48" s="1226"/>
      <c r="DE48" s="1226"/>
      <c r="DF48" s="1226"/>
      <c r="DG48" s="1226">
        <v>10</v>
      </c>
      <c r="DH48" s="1226"/>
      <c r="DI48" s="1226"/>
      <c r="DJ48" s="1226"/>
      <c r="DK48" s="1226"/>
      <c r="DL48" s="1226"/>
      <c r="DM48" s="1226"/>
      <c r="DN48" s="1226"/>
      <c r="DO48" s="1226"/>
      <c r="DP48" s="1226"/>
      <c r="DQ48" s="1226"/>
      <c r="DR48" s="1226"/>
      <c r="DS48" s="1226"/>
      <c r="DT48" s="1226"/>
      <c r="DU48" s="1226"/>
      <c r="DV48" s="1226">
        <f>COUNTIFS(ШТАТ!$AN:$AN,"Урал-4320-31",ШТАТ!AL:AL,"Управление")</f>
        <v>0</v>
      </c>
      <c r="DW48" s="1226"/>
      <c r="DX48" s="1226"/>
      <c r="DY48" s="1226"/>
      <c r="DZ48" s="1226"/>
      <c r="EA48" s="1226"/>
      <c r="EB48" s="1226"/>
      <c r="EC48" s="1226"/>
      <c r="ED48" s="1226"/>
      <c r="EE48" s="1226"/>
      <c r="EF48" s="1226"/>
      <c r="EG48" s="1226"/>
      <c r="EH48" s="1226"/>
      <c r="EI48" s="1226"/>
      <c r="EJ48" s="1226"/>
      <c r="EK48" s="1226"/>
      <c r="EL48" s="1226"/>
      <c r="EM48" s="1226"/>
      <c r="EN48" s="1226"/>
      <c r="EO48" s="1226"/>
      <c r="EP48" s="1226"/>
      <c r="EQ48" s="1226"/>
      <c r="ER48" s="1226"/>
      <c r="ES48" s="1226"/>
      <c r="ET48" s="1226"/>
      <c r="EU48" s="1226"/>
      <c r="EV48" s="1226"/>
      <c r="EW48" s="1226"/>
      <c r="EX48" s="1226"/>
      <c r="EY48" s="1226"/>
      <c r="EZ48" s="1226"/>
      <c r="FA48" s="1226"/>
      <c r="FB48" s="1226"/>
      <c r="FC48" s="1226"/>
      <c r="FD48" s="1226"/>
      <c r="FE48" s="1226"/>
      <c r="FF48" s="1226"/>
      <c r="FG48" s="1226"/>
      <c r="FH48" s="1226"/>
      <c r="FI48" s="1226"/>
      <c r="FJ48" s="1226"/>
      <c r="FK48" s="1226"/>
      <c r="FL48" s="1226"/>
      <c r="FM48" s="1226"/>
      <c r="FN48" s="1226"/>
      <c r="FO48" s="1226"/>
      <c r="FP48" s="1226"/>
      <c r="FQ48" s="1226"/>
      <c r="FR48" s="1226"/>
    </row>
    <row r="49" spans="1:174" ht="33" x14ac:dyDescent="0.25">
      <c r="A49" s="1227" t="s">
        <v>535</v>
      </c>
      <c r="B49" s="1227"/>
      <c r="C49" s="1275">
        <f>AB49</f>
        <v>6</v>
      </c>
      <c r="D49" s="1275" t="s">
        <v>901</v>
      </c>
      <c r="E49" s="1219">
        <f>COUNTIFS(ШТАТ!$AL:$AL,'БЧС Дерябин'!$A49,ШТАТ!$AK:$AK,1)</f>
        <v>1</v>
      </c>
      <c r="F49" s="1219">
        <f>COUNTIFS(ШТАТ!$AL:$AL,'БЧС Дерябин'!$A49,ШТАТ!$AK:$AK,2)</f>
        <v>0</v>
      </c>
      <c r="G49" s="1219">
        <f>COUNTIFS(ШТАТ!$AL:$AL,'БЧС Дерябин'!$A49,ШТАТ!$AK:$AK,3)</f>
        <v>2</v>
      </c>
      <c r="H49" s="1219">
        <f>COUNTIFS(ШТАТ!$AL:$AL,'БЧС Дерябин'!$A49,ШТАТ!$AK:$AK,4)</f>
        <v>8</v>
      </c>
      <c r="I49" s="1221">
        <f t="shared" si="3"/>
        <v>11</v>
      </c>
      <c r="J49" s="1219">
        <f>COUNTIFS(ШТАТ!AL:AL,A49,ШТАТ!AJ:AJ,"о")</f>
        <v>1</v>
      </c>
      <c r="K49" s="1219">
        <f>COUNTIFS(ШТАТ!AL:AL,A49,ШТАТ!AJ:AJ,"п")</f>
        <v>0</v>
      </c>
      <c r="L49" s="1219">
        <f>COUNTIFS(ШТАТ!$AL:$AL,$A49,ШТАТ!AK:AK,3,ШТАТ!AJ:AJ,"с/с")</f>
        <v>0</v>
      </c>
      <c r="M49" s="1219">
        <f>COUNTIFS(ШТАТ!$AL:$AL,$A49,ШТАТ!AK:AK,3,ШТАТ!AJ:AJ,"к/с")</f>
        <v>2</v>
      </c>
      <c r="N49" s="1222">
        <f t="shared" si="11"/>
        <v>2</v>
      </c>
      <c r="O49" s="1220">
        <f>COUNTIFS(ШТАТ!$AL:$AL,$A49,ШТАТ!AK:AK,4,ШТАТ!AJ:AJ,"с/с")</f>
        <v>0</v>
      </c>
      <c r="P49" s="1220">
        <f>COUNTIFS(ШТАТ!$AL:$AL,$A49,ШТАТ!AK:AK,4,ШТАТ!AJ:AJ,"к/с")</f>
        <v>6</v>
      </c>
      <c r="Q49" s="1222">
        <f t="shared" si="12"/>
        <v>6</v>
      </c>
      <c r="R49" s="1221">
        <f t="shared" si="13"/>
        <v>9</v>
      </c>
      <c r="S49" s="1223">
        <f t="shared" si="14"/>
        <v>0.81818181818181823</v>
      </c>
      <c r="T49" s="1219">
        <f>COUNTIFS(ШТАТ!$AL:$AL,$A49,ШТАТ!$AJ:$AJ,"о",ШТАТ!$X:$X,"выполнение специальных задач")</f>
        <v>1</v>
      </c>
      <c r="U49" s="1219">
        <f>COUNTIFS(ШТАТ!$AL:$AL,$A49,ШТАТ!$AJ:$AJ,"п",ШТАТ!$X:$X,"выполнение специальных задач")</f>
        <v>0</v>
      </c>
      <c r="V49" s="1219">
        <f>COUNTIFS(ШТАТ!$AL:$AL,$A49,ШТАТ!$AK:$AK,3,ШТАТ!$AJ:$AJ,"с/с",ШТАТ!$X:$X,"выполнение специальных задач")</f>
        <v>0</v>
      </c>
      <c r="W49" s="1219">
        <f>COUNTIFS(ШТАТ!$AL:$AL,$A49,ШТАТ!$AK:$AK,3,ШТАТ!$AJ:$AJ,"к/с",ШТАТ!$X:$X,"выполнение специальных задач")</f>
        <v>2</v>
      </c>
      <c r="X49" s="1222">
        <f t="shared" si="4"/>
        <v>2</v>
      </c>
      <c r="Y49" s="1219">
        <f>COUNTIFS(ШТАТ!$AL:$AL,$A49,ШТАТ!$AK:$AK,4,ШТАТ!$AJ:$AJ,"с/с",ШТАТ!$X:$X,"выполнение специальных задач")</f>
        <v>0</v>
      </c>
      <c r="Z49" s="1219">
        <f>COUNTIFS(ШТАТ!$AL:$AL,$A49,ШТАТ!$AK:$AK,4,ШТАТ!$AJ:$AJ,"к/с",ШТАТ!$X:$X,"выполнение специальных задач")</f>
        <v>3</v>
      </c>
      <c r="AA49" s="1222">
        <f t="shared" si="5"/>
        <v>3</v>
      </c>
      <c r="AB49" s="1221">
        <f t="shared" si="15"/>
        <v>6</v>
      </c>
      <c r="AC49" s="1224"/>
      <c r="AD49" s="1219">
        <f>COUNTIFS(ШТАТ!$AL:$AL,$A49,ШТАТ!$AK:$AK,1,ШТАТ!$AJ:$AJ,"о",ШТАТ!$W:$W,"г. Белгород")</f>
        <v>0</v>
      </c>
      <c r="AE49" s="1219">
        <f>COUNTIFS(ШТАТ!$AL:$AL,$A49,ШТАТ!$AK:$AK,2,ШТАТ!$AJ:$AJ,"п",ШТАТ!$W:$W,"г. Белгород")</f>
        <v>0</v>
      </c>
      <c r="AF49" s="1219">
        <f>COUNTIFS(ШТАТ!$AL:$AL,$A49,ШТАТ!$AK:$AK,3,ШТАТ!$AJ:$AJ,"с/с",ШТАТ!$W:$W,"г. Белгород")</f>
        <v>0</v>
      </c>
      <c r="AG49" s="1219">
        <f>COUNTIFS(ШТАТ!$AL:$AL,$A49,ШТАТ!$AK:$AK,3,ШТАТ!$AJ:$AJ,"к/с",ШТАТ!$W:$W,"г. Белгород")</f>
        <v>0</v>
      </c>
      <c r="AH49" s="1222">
        <f t="shared" si="6"/>
        <v>0</v>
      </c>
      <c r="AI49" s="1219">
        <f>COUNTIFS(ШТАТ!$AL:$AL,$A49,ШТАТ!$AK:$AK,4,ШТАТ!$AJ:$AJ,"с/с",ШТАТ!$W:$W,"г. Белгород")</f>
        <v>0</v>
      </c>
      <c r="AJ49" s="1219">
        <f>COUNTIFS(ШТАТ!$AL:$AL,$A49,ШТАТ!$AK:$AK,4,ШТАТ!$AJ:$AJ,"к/с",ШТАТ!$W:$W,"г. Белгород")</f>
        <v>1</v>
      </c>
      <c r="AK49" s="1222">
        <f t="shared" si="7"/>
        <v>1</v>
      </c>
      <c r="AL49" s="1221">
        <f t="shared" si="16"/>
        <v>1</v>
      </c>
      <c r="AM49" s="1219">
        <f>COUNTIFS(ШТАТ!$AL:$AL,$A49,ШТАТ!$AK:$AK,1,ШТАТ!$AJ:$AJ,"о",ШТАТ!$U:$U,"")</f>
        <v>0</v>
      </c>
      <c r="AN49" s="1219">
        <f>COUNTIFS(ШТАТ!$AL:$AL,$A49,ШТАТ!$AK:$AK,2,ШТАТ!$AJ:$AJ,"п",ШТАТ!$U:$U,"")</f>
        <v>0</v>
      </c>
      <c r="AO49" s="1219">
        <f>COUNTIFS(ШТАТ!$AL:$AL,$A49,ШТАТ!$AK:$AK,3,ШТАТ!$AJ:$AJ,"с/с",ШТАТ!$U:$U,"")</f>
        <v>0</v>
      </c>
      <c r="AP49" s="1219">
        <f>COUNTIFS(ШТАТ!$AL:$AL,$A49,ШТАТ!$AK:$AK,3,ШТАТ!$AJ:$AJ,"к/с",ШТАТ!$U:$U,"")</f>
        <v>0</v>
      </c>
      <c r="AQ49" s="1222">
        <f t="shared" si="17"/>
        <v>0</v>
      </c>
      <c r="AR49" s="1219">
        <f>COUNTIFS(ШТАТ!$AL:$AL,$A49,ШТАТ!$AK:$AK,4,ШТАТ!$AJ:$AJ,"с/с",ШТАТ!$U:$U,"")</f>
        <v>0</v>
      </c>
      <c r="AS49" s="1219">
        <f>COUNTIFS(ШТАТ!$AL:$AL,$A49,ШТАТ!$AK:$AK,4,ШТАТ!$AJ:$AJ,"к/с",ШТАТ!$U:$U,"")</f>
        <v>0</v>
      </c>
      <c r="AT49" s="1222">
        <f t="shared" si="8"/>
        <v>0</v>
      </c>
      <c r="AU49" s="1221">
        <f t="shared" si="18"/>
        <v>0</v>
      </c>
      <c r="AV49" s="1219">
        <f>COUNTIFS(ШТАТ!$AL:$AL,$A49,ШТАТ!$U:$U,"госп")</f>
        <v>0</v>
      </c>
      <c r="AW49" s="1225">
        <f t="shared" si="9"/>
        <v>1</v>
      </c>
      <c r="AX49" s="1219">
        <f>COUNTIFS(ШТАТ!$AL:$AL,$A49,ШТАТ!$U:$U,"отпуск")</f>
        <v>0</v>
      </c>
      <c r="AY49" s="1219">
        <f>COUNTIFS(ШТАТ!$AL:$AL,$A49,ШТАТ!$U:$U,"соч")</f>
        <v>1</v>
      </c>
      <c r="AZ49" s="1225"/>
      <c r="BA49" s="1219">
        <f>COUNTIFS(ШТАТ!$AL:$AL,$A49,ШТАТ!$U:$U,"МП")</f>
        <v>0</v>
      </c>
      <c r="BB49" s="1226"/>
      <c r="BC49" s="1226"/>
      <c r="BD49" s="1219"/>
      <c r="BE49" s="1226"/>
      <c r="BF49" s="1226"/>
      <c r="BG49" s="1226"/>
      <c r="BH49" s="1226"/>
      <c r="BI49" s="1226"/>
      <c r="BJ49" s="1226"/>
      <c r="BK49" s="1226"/>
      <c r="BL49" s="1226"/>
      <c r="BM49" s="1226"/>
      <c r="BN49" s="1226"/>
      <c r="BO49" s="1226"/>
      <c r="BP49" s="1226"/>
      <c r="BQ49" s="1226"/>
      <c r="BR49" s="1226"/>
      <c r="BS49" s="1226"/>
      <c r="BT49" s="1226"/>
      <c r="BU49" s="1226"/>
      <c r="BV49" s="1226"/>
      <c r="BW49" s="1226"/>
      <c r="BX49" s="1226"/>
      <c r="BY49" s="1226"/>
      <c r="BZ49" s="1226"/>
      <c r="CA49" s="1226"/>
      <c r="CB49" s="1226"/>
      <c r="CC49" s="1226"/>
      <c r="CD49" s="1226"/>
      <c r="CE49" s="1226"/>
      <c r="CF49" s="1226"/>
      <c r="CG49" s="1226"/>
      <c r="CH49" s="1226"/>
      <c r="CI49" s="1226"/>
      <c r="CJ49" s="1226"/>
      <c r="CK49" s="1226"/>
      <c r="CL49" s="1226"/>
      <c r="CM49" s="1226"/>
      <c r="CN49" s="1226"/>
      <c r="CO49" s="1226"/>
      <c r="CP49" s="1226"/>
      <c r="CQ49" s="1226"/>
      <c r="CR49" s="1226"/>
      <c r="CS49" s="1226"/>
      <c r="CT49" s="1226"/>
      <c r="CU49" s="1226"/>
      <c r="CV49" s="1226"/>
      <c r="CW49" s="1226"/>
      <c r="CX49" s="1226"/>
      <c r="CY49" s="1226"/>
      <c r="CZ49" s="1226"/>
      <c r="DA49" s="1226"/>
      <c r="DB49" s="1226"/>
      <c r="DC49" s="1226"/>
      <c r="DD49" s="1226"/>
      <c r="DE49" s="1226"/>
      <c r="DF49" s="1226"/>
      <c r="DG49" s="1226">
        <v>1</v>
      </c>
      <c r="DH49" s="1226"/>
      <c r="DI49" s="1226"/>
      <c r="DJ49" s="1226"/>
      <c r="DK49" s="1226"/>
      <c r="DL49" s="1226"/>
      <c r="DM49" s="1226"/>
      <c r="DN49" s="1226"/>
      <c r="DO49" s="1226"/>
      <c r="DP49" s="1226"/>
      <c r="DQ49" s="1226"/>
      <c r="DR49" s="1226"/>
      <c r="DS49" s="1226"/>
      <c r="DT49" s="1226"/>
      <c r="DU49" s="1226"/>
      <c r="DV49" s="1226">
        <f>COUNTIFS(ШТАТ!$AN:$AN,"Урал-4320-31",ШТАТ!AL:AL,"Управление")</f>
        <v>0</v>
      </c>
      <c r="DW49" s="1226"/>
      <c r="DX49" s="1226"/>
      <c r="DY49" s="1226"/>
      <c r="DZ49" s="1226"/>
      <c r="EA49" s="1226"/>
      <c r="EB49" s="1226"/>
      <c r="EC49" s="1226"/>
      <c r="ED49" s="1226"/>
      <c r="EE49" s="1226"/>
      <c r="EF49" s="1226"/>
      <c r="EG49" s="1226"/>
      <c r="EH49" s="1226"/>
      <c r="EI49" s="1226"/>
      <c r="EJ49" s="1226"/>
      <c r="EK49" s="1226"/>
      <c r="EL49" s="1226"/>
      <c r="EM49" s="1226"/>
      <c r="EN49" s="1226"/>
      <c r="EO49" s="1226"/>
      <c r="EP49" s="1226"/>
      <c r="EQ49" s="1226"/>
      <c r="ER49" s="1226"/>
      <c r="ES49" s="1226"/>
      <c r="ET49" s="1226"/>
      <c r="EU49" s="1226"/>
      <c r="EV49" s="1226"/>
      <c r="EW49" s="1226"/>
      <c r="EX49" s="1226"/>
      <c r="EY49" s="1226"/>
      <c r="EZ49" s="1226"/>
      <c r="FA49" s="1226"/>
      <c r="FB49" s="1226"/>
      <c r="FC49" s="1226"/>
      <c r="FD49" s="1226"/>
      <c r="FE49" s="1226"/>
      <c r="FF49" s="1226"/>
      <c r="FG49" s="1226"/>
      <c r="FH49" s="1226"/>
      <c r="FI49" s="1226"/>
      <c r="FJ49" s="1226"/>
      <c r="FK49" s="1226"/>
      <c r="FL49" s="1226"/>
      <c r="FM49" s="1226"/>
      <c r="FN49" s="1226"/>
      <c r="FO49" s="1226"/>
      <c r="FP49" s="1226"/>
      <c r="FQ49" s="1226"/>
      <c r="FR49" s="1226"/>
    </row>
    <row r="50" spans="1:174" ht="33" x14ac:dyDescent="0.25">
      <c r="A50" s="1227" t="s">
        <v>537</v>
      </c>
      <c r="B50" s="1227"/>
      <c r="C50" s="1275">
        <f>AB50</f>
        <v>23</v>
      </c>
      <c r="D50" s="1275" t="s">
        <v>901</v>
      </c>
      <c r="E50" s="1219">
        <f>COUNTIFS(ШТАТ!$AL:$AL,'БЧС Дерябин'!$A50,ШТАТ!$AK:$AK,1)</f>
        <v>0</v>
      </c>
      <c r="F50" s="1219">
        <f>COUNTIFS(ШТАТ!$AL:$AL,'БЧС Дерябин'!$A50,ШТАТ!$AK:$AK,2)</f>
        <v>1</v>
      </c>
      <c r="G50" s="1219">
        <f>COUNTIFS(ШТАТ!$AL:$AL,'БЧС Дерябин'!$A50,ШТАТ!$AK:$AK,3)</f>
        <v>5</v>
      </c>
      <c r="H50" s="1219">
        <f>COUNTIFS(ШТАТ!$AL:$AL,'БЧС Дерябин'!$A50,ШТАТ!$AK:$AK,4)</f>
        <v>23</v>
      </c>
      <c r="I50" s="1221">
        <f t="shared" si="3"/>
        <v>29</v>
      </c>
      <c r="J50" s="1219">
        <f>COUNTIFS(ШТАТ!AL:AL,A50,ШТАТ!AJ:AJ,"о")</f>
        <v>0</v>
      </c>
      <c r="K50" s="1219">
        <f>COUNTIFS(ШТАТ!AL:AL,A50,ШТАТ!AJ:AJ,"п")</f>
        <v>1</v>
      </c>
      <c r="L50" s="1219">
        <f>COUNTIFS(ШТАТ!$AL:$AL,$A50,ШТАТ!AK:AK,3,ШТАТ!AJ:AJ,"с/с")</f>
        <v>0</v>
      </c>
      <c r="M50" s="1219">
        <f>COUNTIFS(ШТАТ!$AL:$AL,$A50,ШТАТ!AK:AK,3,ШТАТ!AJ:AJ,"к/с")</f>
        <v>4</v>
      </c>
      <c r="N50" s="1222">
        <f t="shared" si="11"/>
        <v>4</v>
      </c>
      <c r="O50" s="1220">
        <f>COUNTIFS(ШТАТ!$AL:$AL,$A50,ШТАТ!AK:AK,4,ШТАТ!AJ:AJ,"с/с")</f>
        <v>0</v>
      </c>
      <c r="P50" s="1220">
        <f>COUNTIFS(ШТАТ!$AL:$AL,$A50,ШТАТ!AK:AK,4,ШТАТ!AJ:AJ,"к/с")</f>
        <v>21</v>
      </c>
      <c r="Q50" s="1222">
        <f t="shared" si="12"/>
        <v>21</v>
      </c>
      <c r="R50" s="1221">
        <f t="shared" si="13"/>
        <v>26</v>
      </c>
      <c r="S50" s="1223">
        <f t="shared" si="14"/>
        <v>0.89655172413793105</v>
      </c>
      <c r="T50" s="1219">
        <f>COUNTIFS(ШТАТ!$AL:$AL,$A50,ШТАТ!$AJ:$AJ,"о",ШТАТ!$X:$X,"выполнение специальных задач")</f>
        <v>0</v>
      </c>
      <c r="U50" s="1219">
        <f>COUNTIFS(ШТАТ!$AL:$AL,$A50,ШТАТ!$AJ:$AJ,"п",ШТАТ!$X:$X,"выполнение специальных задач")</f>
        <v>0</v>
      </c>
      <c r="V50" s="1219">
        <f>COUNTIFS(ШТАТ!$AL:$AL,$A50,ШТАТ!$AK:$AK,3,ШТАТ!$AJ:$AJ,"с/с",ШТАТ!$X:$X,"выполнение специальных задач")</f>
        <v>0</v>
      </c>
      <c r="W50" s="1219">
        <f>COUNTIFS(ШТАТ!$AL:$AL,$A50,ШТАТ!$AK:$AK,3,ШТАТ!$AJ:$AJ,"к/с",ШТАТ!$X:$X,"выполнение специальных задач")</f>
        <v>3</v>
      </c>
      <c r="X50" s="1222">
        <f t="shared" si="4"/>
        <v>3</v>
      </c>
      <c r="Y50" s="1219">
        <f>COUNTIFS(ШТАТ!$AL:$AL,$A50,ШТАТ!$AK:$AK,4,ШТАТ!$AJ:$AJ,"с/с",ШТАТ!$X:$X,"выполнение специальных задач")</f>
        <v>0</v>
      </c>
      <c r="Z50" s="1219">
        <f>COUNTIFS(ШТАТ!$AL:$AL,$A50,ШТАТ!$AK:$AK,4,ШТАТ!$AJ:$AJ,"к/с",ШТАТ!$X:$X,"выполнение специальных задач")</f>
        <v>20</v>
      </c>
      <c r="AA50" s="1222">
        <f t="shared" si="5"/>
        <v>20</v>
      </c>
      <c r="AB50" s="1221">
        <f t="shared" si="15"/>
        <v>23</v>
      </c>
      <c r="AC50" s="1224"/>
      <c r="AD50" s="1219">
        <f>COUNTIFS(ШТАТ!$AL:$AL,$A50,ШТАТ!$AK:$AK,1,ШТАТ!$AJ:$AJ,"о",ШТАТ!$W:$W,"г. Белгород")</f>
        <v>0</v>
      </c>
      <c r="AE50" s="1219">
        <f>COUNTIFS(ШТАТ!$AL:$AL,$A50,ШТАТ!$AK:$AK,2,ШТАТ!$AJ:$AJ,"п",ШТАТ!$W:$W,"г. Белгород")</f>
        <v>0</v>
      </c>
      <c r="AF50" s="1219">
        <f>COUNTIFS(ШТАТ!$AL:$AL,$A50,ШТАТ!$AK:$AK,3,ШТАТ!$AJ:$AJ,"с/с",ШТАТ!$W:$W,"г. Белгород")</f>
        <v>0</v>
      </c>
      <c r="AG50" s="1219">
        <f>COUNTIFS(ШТАТ!$AL:$AL,$A50,ШТАТ!$AK:$AK,3,ШТАТ!$AJ:$AJ,"к/с",ШТАТ!$W:$W,"г. Белгород")</f>
        <v>1</v>
      </c>
      <c r="AH50" s="1222">
        <f t="shared" si="6"/>
        <v>1</v>
      </c>
      <c r="AI50" s="1219">
        <f>COUNTIFS(ШТАТ!$AL:$AL,$A50,ШТАТ!$AK:$AK,4,ШТАТ!$AJ:$AJ,"с/с",ШТАТ!$W:$W,"г. Белгород")</f>
        <v>0</v>
      </c>
      <c r="AJ50" s="1219">
        <f>COUNTIFS(ШТАТ!$AL:$AL,$A50,ШТАТ!$AK:$AK,4,ШТАТ!$AJ:$AJ,"к/с",ШТАТ!$W:$W,"г. Белгород")</f>
        <v>0</v>
      </c>
      <c r="AK50" s="1222">
        <f t="shared" si="7"/>
        <v>0</v>
      </c>
      <c r="AL50" s="1221">
        <f t="shared" si="16"/>
        <v>1</v>
      </c>
      <c r="AM50" s="1219">
        <f>COUNTIFS(ШТАТ!$AL:$AL,$A50,ШТАТ!$AK:$AK,1,ШТАТ!$AJ:$AJ,"о",ШТАТ!$U:$U,"")</f>
        <v>0</v>
      </c>
      <c r="AN50" s="1219">
        <f>COUNTIFS(ШТАТ!$AL:$AL,$A50,ШТАТ!$AK:$AK,2,ШТАТ!$AJ:$AJ,"п",ШТАТ!$U:$U,"")</f>
        <v>1</v>
      </c>
      <c r="AO50" s="1219">
        <f>COUNTIFS(ШТАТ!$AL:$AL,$A50,ШТАТ!$AK:$AK,3,ШТАТ!$AJ:$AJ,"с/с",ШТАТ!$U:$U,"")</f>
        <v>0</v>
      </c>
      <c r="AP50" s="1219">
        <f>COUNTIFS(ШТАТ!$AL:$AL,$A50,ШТАТ!$AK:$AK,3,ШТАТ!$AJ:$AJ,"к/с",ШТАТ!$U:$U,"")</f>
        <v>0</v>
      </c>
      <c r="AQ50" s="1222">
        <f t="shared" si="17"/>
        <v>0</v>
      </c>
      <c r="AR50" s="1219">
        <f>COUNTIFS(ШТАТ!$AL:$AL,$A50,ШТАТ!$AK:$AK,4,ШТАТ!$AJ:$AJ,"с/с",ШТАТ!$U:$U,"")</f>
        <v>0</v>
      </c>
      <c r="AS50" s="1219">
        <f>COUNTIFS(ШТАТ!$AL:$AL,$A50,ШТАТ!$AK:$AK,4,ШТАТ!$AJ:$AJ,"к/с",ШТАТ!$U:$U,"")</f>
        <v>0</v>
      </c>
      <c r="AT50" s="1222">
        <f t="shared" si="8"/>
        <v>0</v>
      </c>
      <c r="AU50" s="1221">
        <f t="shared" si="18"/>
        <v>1</v>
      </c>
      <c r="AV50" s="1219">
        <f>COUNTIFS(ШТАТ!$AL:$AL,$A50,ШТАТ!$U:$U,"госп")</f>
        <v>0</v>
      </c>
      <c r="AW50" s="1225">
        <f t="shared" si="9"/>
        <v>1</v>
      </c>
      <c r="AX50" s="1219">
        <f>COUNTIFS(ШТАТ!$AL:$AL,$A50,ШТАТ!$U:$U,"отпуск")</f>
        <v>0</v>
      </c>
      <c r="AY50" s="1219">
        <f>COUNTIFS(ШТАТ!$AL:$AL,$A50,ШТАТ!$U:$U,"соч")</f>
        <v>0</v>
      </c>
      <c r="AZ50" s="1225"/>
      <c r="BA50" s="1219">
        <f>COUNTIFS(ШТАТ!$AL:$AL,$A50,ШТАТ!$U:$U,"МП")</f>
        <v>0</v>
      </c>
      <c r="BB50" s="1226"/>
      <c r="BC50" s="1226"/>
      <c r="BD50" s="1219"/>
      <c r="BE50" s="1226"/>
      <c r="BF50" s="1226"/>
      <c r="BG50" s="1226"/>
      <c r="BH50" s="1226"/>
      <c r="BI50" s="1226"/>
      <c r="BJ50" s="1226"/>
      <c r="BK50" s="1226"/>
      <c r="BL50" s="1226"/>
      <c r="BM50" s="1226"/>
      <c r="BN50" s="1226"/>
      <c r="BO50" s="1226"/>
      <c r="BP50" s="1226"/>
      <c r="BQ50" s="1226"/>
      <c r="BR50" s="1226"/>
      <c r="BS50" s="1226"/>
      <c r="BT50" s="1226"/>
      <c r="BU50" s="1226"/>
      <c r="BV50" s="1226"/>
      <c r="BW50" s="1226"/>
      <c r="BX50" s="1226"/>
      <c r="BY50" s="1226"/>
      <c r="BZ50" s="1226"/>
      <c r="CA50" s="1226"/>
      <c r="CB50" s="1226"/>
      <c r="CC50" s="1226"/>
      <c r="CD50" s="1226"/>
      <c r="CE50" s="1226"/>
      <c r="CF50" s="1226"/>
      <c r="CG50" s="1226"/>
      <c r="CH50" s="1226"/>
      <c r="CI50" s="1226"/>
      <c r="CJ50" s="1226"/>
      <c r="CK50" s="1226"/>
      <c r="CL50" s="1226"/>
      <c r="CM50" s="1226"/>
      <c r="CN50" s="1226"/>
      <c r="CO50" s="1226"/>
      <c r="CP50" s="1226"/>
      <c r="CQ50" s="1226"/>
      <c r="CR50" s="1226"/>
      <c r="CS50" s="1226"/>
      <c r="CT50" s="1226"/>
      <c r="CU50" s="1226"/>
      <c r="CV50" s="1226"/>
      <c r="CW50" s="1226"/>
      <c r="CX50" s="1226"/>
      <c r="CY50" s="1226"/>
      <c r="CZ50" s="1226"/>
      <c r="DA50" s="1226"/>
      <c r="DB50" s="1226"/>
      <c r="DC50" s="1226"/>
      <c r="DD50" s="1226"/>
      <c r="DE50" s="1226"/>
      <c r="DF50" s="1226"/>
      <c r="DG50" s="1226"/>
      <c r="DH50" s="1226"/>
      <c r="DI50" s="1226"/>
      <c r="DJ50" s="1226"/>
      <c r="DK50" s="1226"/>
      <c r="DL50" s="1226"/>
      <c r="DM50" s="1226"/>
      <c r="DN50" s="1226"/>
      <c r="DO50" s="1226"/>
      <c r="DP50" s="1226"/>
      <c r="DQ50" s="1226"/>
      <c r="DR50" s="1226"/>
      <c r="DS50" s="1226"/>
      <c r="DT50" s="1226"/>
      <c r="DU50" s="1226"/>
      <c r="DV50" s="1226">
        <f>COUNTIFS(ШТАТ!$AN:$AN,"Урал-4320-31",ШТАТ!AL:AL,"Управление")</f>
        <v>0</v>
      </c>
      <c r="DW50" s="1226"/>
      <c r="DX50" s="1226"/>
      <c r="DY50" s="1226"/>
      <c r="DZ50" s="1226"/>
      <c r="EA50" s="1226"/>
      <c r="EB50" s="1226"/>
      <c r="EC50" s="1226"/>
      <c r="ED50" s="1226"/>
      <c r="EE50" s="1226"/>
      <c r="EF50" s="1226"/>
      <c r="EG50" s="1226"/>
      <c r="EH50" s="1226"/>
      <c r="EI50" s="1226"/>
      <c r="EJ50" s="1226"/>
      <c r="EK50" s="1226"/>
      <c r="EL50" s="1226"/>
      <c r="EM50" s="1226"/>
      <c r="EN50" s="1226"/>
      <c r="EO50" s="1226"/>
      <c r="EP50" s="1226"/>
      <c r="EQ50" s="1226"/>
      <c r="ER50" s="1226"/>
      <c r="ES50" s="1226"/>
      <c r="ET50" s="1226"/>
      <c r="EU50" s="1226"/>
      <c r="EV50" s="1226"/>
      <c r="EW50" s="1226"/>
      <c r="EX50" s="1226"/>
      <c r="EY50" s="1226"/>
      <c r="EZ50" s="1226"/>
      <c r="FA50" s="1226"/>
      <c r="FB50" s="1226"/>
      <c r="FC50" s="1226"/>
      <c r="FD50" s="1226"/>
      <c r="FE50" s="1226"/>
      <c r="FF50" s="1226"/>
      <c r="FG50" s="1226"/>
      <c r="FH50" s="1226"/>
      <c r="FI50" s="1226"/>
      <c r="FJ50" s="1226"/>
      <c r="FK50" s="1226"/>
      <c r="FL50" s="1226"/>
      <c r="FM50" s="1226"/>
      <c r="FN50" s="1226"/>
      <c r="FO50" s="1226"/>
      <c r="FP50" s="1226"/>
      <c r="FQ50" s="1226"/>
      <c r="FR50" s="1226"/>
    </row>
    <row r="51" spans="1:174" ht="33" x14ac:dyDescent="0.25">
      <c r="A51" s="1227" t="s">
        <v>544</v>
      </c>
      <c r="B51" s="1227"/>
      <c r="C51" s="1275">
        <f>AB51</f>
        <v>3</v>
      </c>
      <c r="D51" s="1275" t="s">
        <v>901</v>
      </c>
      <c r="E51" s="1219">
        <f>COUNTIFS(ШТАТ!$AL:$AL,'БЧС Дерябин'!$A51,ШТАТ!$AK:$AK,1)</f>
        <v>0</v>
      </c>
      <c r="F51" s="1219">
        <f>COUNTIFS(ШТАТ!$AL:$AL,'БЧС Дерябин'!$A51,ШТАТ!$AK:$AK,2)</f>
        <v>1</v>
      </c>
      <c r="G51" s="1219">
        <f>COUNTIFS(ШТАТ!$AL:$AL,'БЧС Дерябин'!$A51,ШТАТ!$AK:$AK,3)</f>
        <v>0</v>
      </c>
      <c r="H51" s="1219">
        <f>COUNTIFS(ШТАТ!$AL:$AL,'БЧС Дерябин'!$A51,ШТАТ!$AK:$AK,4)</f>
        <v>3</v>
      </c>
      <c r="I51" s="1221">
        <f t="shared" si="3"/>
        <v>4</v>
      </c>
      <c r="J51" s="1219">
        <f>COUNTIFS(ШТАТ!AL:AL,A51,ШТАТ!AJ:AJ,"о")</f>
        <v>0</v>
      </c>
      <c r="K51" s="1219">
        <f>COUNTIFS(ШТАТ!AL:AL,A51,ШТАТ!AJ:AJ,"п")</f>
        <v>0</v>
      </c>
      <c r="L51" s="1219">
        <f>COUNTIFS(ШТАТ!$AL:$AL,$A51,ШТАТ!AK:AK,3,ШТАТ!AJ:AJ,"с/с")</f>
        <v>0</v>
      </c>
      <c r="M51" s="1219">
        <f>COUNTIFS(ШТАТ!$AL:$AL,$A51,ШТАТ!AK:AK,3,ШТАТ!AJ:AJ,"к/с")</f>
        <v>0</v>
      </c>
      <c r="N51" s="1222">
        <f t="shared" si="11"/>
        <v>0</v>
      </c>
      <c r="O51" s="1220">
        <f>COUNTIFS(ШТАТ!$AL:$AL,$A51,ШТАТ!AK:AK,4,ШТАТ!AJ:AJ,"с/с")</f>
        <v>0</v>
      </c>
      <c r="P51" s="1220">
        <f>COUNTIFS(ШТАТ!$AL:$AL,$A51,ШТАТ!AK:AK,4,ШТАТ!AJ:AJ,"к/с")</f>
        <v>3</v>
      </c>
      <c r="Q51" s="1222">
        <f t="shared" si="12"/>
        <v>3</v>
      </c>
      <c r="R51" s="1221">
        <f t="shared" si="13"/>
        <v>3</v>
      </c>
      <c r="S51" s="1223">
        <f t="shared" si="14"/>
        <v>0.75</v>
      </c>
      <c r="T51" s="1219">
        <f>COUNTIFS(ШТАТ!$AL:$AL,$A51,ШТАТ!$AJ:$AJ,"о",ШТАТ!$X:$X,"выполнение специальных задач")</f>
        <v>0</v>
      </c>
      <c r="U51" s="1219">
        <f>COUNTIFS(ШТАТ!$AL:$AL,$A51,ШТАТ!$AJ:$AJ,"п",ШТАТ!$X:$X,"выполнение специальных задач")</f>
        <v>0</v>
      </c>
      <c r="V51" s="1219">
        <f>COUNTIFS(ШТАТ!$AL:$AL,$A51,ШТАТ!$AK:$AK,3,ШТАТ!$AJ:$AJ,"с/с",ШТАТ!$X:$X,"выполнение специальных задач")</f>
        <v>0</v>
      </c>
      <c r="W51" s="1219">
        <f>COUNTIFS(ШТАТ!$AL:$AL,$A51,ШТАТ!$AK:$AK,3,ШТАТ!$AJ:$AJ,"к/с",ШТАТ!$X:$X,"выполнение специальных задач")</f>
        <v>0</v>
      </c>
      <c r="X51" s="1222">
        <f t="shared" si="4"/>
        <v>0</v>
      </c>
      <c r="Y51" s="1219">
        <f>COUNTIFS(ШТАТ!$AL:$AL,$A51,ШТАТ!$AK:$AK,4,ШТАТ!$AJ:$AJ,"с/с",ШТАТ!$X:$X,"выполнение специальных задач")</f>
        <v>0</v>
      </c>
      <c r="Z51" s="1219">
        <f>COUNTIFS(ШТАТ!$AL:$AL,$A51,ШТАТ!$AK:$AK,4,ШТАТ!$AJ:$AJ,"к/с",ШТАТ!$X:$X,"выполнение специальных задач")</f>
        <v>3</v>
      </c>
      <c r="AA51" s="1222">
        <f t="shared" si="5"/>
        <v>3</v>
      </c>
      <c r="AB51" s="1221">
        <f t="shared" si="15"/>
        <v>3</v>
      </c>
      <c r="AC51" s="1224"/>
      <c r="AD51" s="1219">
        <f>COUNTIFS(ШТАТ!$AL:$AL,$A51,ШТАТ!$AK:$AK,1,ШТАТ!$AJ:$AJ,"о",ШТАТ!$W:$W,"г. Белгород")</f>
        <v>0</v>
      </c>
      <c r="AE51" s="1219">
        <f>COUNTIFS(ШТАТ!$AL:$AL,$A51,ШТАТ!$AK:$AK,2,ШТАТ!$AJ:$AJ,"п",ШТАТ!$W:$W,"г. Белгород")</f>
        <v>0</v>
      </c>
      <c r="AF51" s="1219">
        <f>COUNTIFS(ШТАТ!$AL:$AL,$A51,ШТАТ!$AK:$AK,3,ШТАТ!$AJ:$AJ,"с/с",ШТАТ!$W:$W,"г. Белгород")</f>
        <v>0</v>
      </c>
      <c r="AG51" s="1219">
        <f>COUNTIFS(ШТАТ!$AL:$AL,$A51,ШТАТ!$AK:$AK,3,ШТАТ!$AJ:$AJ,"к/с",ШТАТ!$W:$W,"г. Белгород")</f>
        <v>0</v>
      </c>
      <c r="AH51" s="1222">
        <f t="shared" si="6"/>
        <v>0</v>
      </c>
      <c r="AI51" s="1219">
        <f>COUNTIFS(ШТАТ!$AL:$AL,$A51,ШТАТ!$AK:$AK,4,ШТАТ!$AJ:$AJ,"с/с",ШТАТ!$W:$W,"г. Белгород")</f>
        <v>0</v>
      </c>
      <c r="AJ51" s="1219">
        <f>COUNTIFS(ШТАТ!$AL:$AL,$A51,ШТАТ!$AK:$AK,4,ШТАТ!$AJ:$AJ,"к/с",ШТАТ!$W:$W,"г. Белгород")</f>
        <v>0</v>
      </c>
      <c r="AK51" s="1222">
        <f t="shared" si="7"/>
        <v>0</v>
      </c>
      <c r="AL51" s="1221">
        <f t="shared" si="16"/>
        <v>0</v>
      </c>
      <c r="AM51" s="1219">
        <f>COUNTIFS(ШТАТ!$AL:$AL,$A51,ШТАТ!$AK:$AK,1,ШТАТ!$AJ:$AJ,"о",ШТАТ!$U:$U,"")</f>
        <v>0</v>
      </c>
      <c r="AN51" s="1219">
        <f>COUNTIFS(ШТАТ!$AL:$AL,$A51,ШТАТ!$AK:$AK,2,ШТАТ!$AJ:$AJ,"п",ШТАТ!$U:$U,"")</f>
        <v>0</v>
      </c>
      <c r="AO51" s="1219">
        <f>COUNTIFS(ШТАТ!$AL:$AL,$A51,ШТАТ!$AK:$AK,3,ШТАТ!$AJ:$AJ,"с/с",ШТАТ!$U:$U,"")</f>
        <v>0</v>
      </c>
      <c r="AP51" s="1219">
        <f>COUNTIFS(ШТАТ!$AL:$AL,$A51,ШТАТ!$AK:$AK,3,ШТАТ!$AJ:$AJ,"к/с",ШТАТ!$U:$U,"")</f>
        <v>0</v>
      </c>
      <c r="AQ51" s="1222">
        <f t="shared" si="17"/>
        <v>0</v>
      </c>
      <c r="AR51" s="1219">
        <f>COUNTIFS(ШТАТ!$AL:$AL,$A51,ШТАТ!$AK:$AK,4,ШТАТ!$AJ:$AJ,"с/с",ШТАТ!$U:$U,"")</f>
        <v>0</v>
      </c>
      <c r="AS51" s="1219">
        <f>COUNTIFS(ШТАТ!$AL:$AL,$A51,ШТАТ!$AK:$AK,4,ШТАТ!$AJ:$AJ,"к/с",ШТАТ!$U:$U,"")</f>
        <v>0</v>
      </c>
      <c r="AT51" s="1222">
        <f t="shared" si="8"/>
        <v>0</v>
      </c>
      <c r="AU51" s="1221">
        <f t="shared" si="18"/>
        <v>0</v>
      </c>
      <c r="AV51" s="1219">
        <f>COUNTIFS(ШТАТ!$AL:$AL,$A51,ШТАТ!$U:$U,"госп")</f>
        <v>0</v>
      </c>
      <c r="AW51" s="1225">
        <f t="shared" si="9"/>
        <v>0</v>
      </c>
      <c r="AX51" s="1219">
        <f>COUNTIFS(ШТАТ!$AL:$AL,$A51,ШТАТ!$U:$U,"отпуск")</f>
        <v>0</v>
      </c>
      <c r="AY51" s="1219">
        <f>COUNTIFS(ШТАТ!$AL:$AL,$A51,ШТАТ!$U:$U,"соч")</f>
        <v>0</v>
      </c>
      <c r="AZ51" s="1225"/>
      <c r="BA51" s="1219">
        <f>COUNTIFS(ШТАТ!$AL:$AL,$A51,ШТАТ!$U:$U,"МП")</f>
        <v>0</v>
      </c>
      <c r="BB51" s="1226"/>
      <c r="BC51" s="1226"/>
      <c r="BD51" s="1219"/>
      <c r="BE51" s="1226"/>
      <c r="BF51" s="1226"/>
      <c r="BG51" s="1226"/>
      <c r="BH51" s="1226"/>
      <c r="BI51" s="1226"/>
      <c r="BJ51" s="1226"/>
      <c r="BK51" s="1226"/>
      <c r="BL51" s="1226"/>
      <c r="BM51" s="1226"/>
      <c r="BN51" s="1226"/>
      <c r="BO51" s="1226"/>
      <c r="BP51" s="1226"/>
      <c r="BQ51" s="1226"/>
      <c r="BR51" s="1226"/>
      <c r="BS51" s="1226"/>
      <c r="BT51" s="1226"/>
      <c r="BU51" s="1226"/>
      <c r="BV51" s="1226"/>
      <c r="BW51" s="1226"/>
      <c r="BX51" s="1226"/>
      <c r="BY51" s="1226"/>
      <c r="BZ51" s="1226"/>
      <c r="CA51" s="1226"/>
      <c r="CB51" s="1226"/>
      <c r="CC51" s="1226"/>
      <c r="CD51" s="1226"/>
      <c r="CE51" s="1226"/>
      <c r="CF51" s="1226"/>
      <c r="CG51" s="1226"/>
      <c r="CH51" s="1226"/>
      <c r="CI51" s="1226"/>
      <c r="CJ51" s="1226"/>
      <c r="CK51" s="1226"/>
      <c r="CL51" s="1226"/>
      <c r="CM51" s="1226"/>
      <c r="CN51" s="1226"/>
      <c r="CO51" s="1226"/>
      <c r="CP51" s="1226"/>
      <c r="CQ51" s="1226"/>
      <c r="CR51" s="1226"/>
      <c r="CS51" s="1226"/>
      <c r="CT51" s="1226"/>
      <c r="CU51" s="1226"/>
      <c r="CV51" s="1226"/>
      <c r="CW51" s="1226"/>
      <c r="CX51" s="1226"/>
      <c r="CY51" s="1226"/>
      <c r="CZ51" s="1226"/>
      <c r="DA51" s="1226"/>
      <c r="DB51" s="1226"/>
      <c r="DC51" s="1226"/>
      <c r="DD51" s="1226"/>
      <c r="DE51" s="1226"/>
      <c r="DF51" s="1226"/>
      <c r="DG51" s="1226"/>
      <c r="DH51" s="1226"/>
      <c r="DI51" s="1226"/>
      <c r="DJ51" s="1226"/>
      <c r="DK51" s="1226"/>
      <c r="DL51" s="1226"/>
      <c r="DM51" s="1226"/>
      <c r="DN51" s="1226"/>
      <c r="DO51" s="1226"/>
      <c r="DP51" s="1226"/>
      <c r="DQ51" s="1226"/>
      <c r="DR51" s="1226"/>
      <c r="DS51" s="1226"/>
      <c r="DT51" s="1226"/>
      <c r="DU51" s="1226"/>
      <c r="DV51" s="1226">
        <f>COUNTIFS(ШТАТ!$AN:$AN,"Урал-4320-31",ШТАТ!AL:AL,"Управление")</f>
        <v>0</v>
      </c>
      <c r="DW51" s="1226"/>
      <c r="DX51" s="1226"/>
      <c r="DY51" s="1226"/>
      <c r="DZ51" s="1226"/>
      <c r="EA51" s="1226"/>
      <c r="EB51" s="1226"/>
      <c r="EC51" s="1226"/>
      <c r="ED51" s="1226"/>
      <c r="EE51" s="1226"/>
      <c r="EF51" s="1226"/>
      <c r="EG51" s="1226"/>
      <c r="EH51" s="1226"/>
      <c r="EI51" s="1226"/>
      <c r="EJ51" s="1226"/>
      <c r="EK51" s="1226"/>
      <c r="EL51" s="1226"/>
      <c r="EM51" s="1226"/>
      <c r="EN51" s="1226"/>
      <c r="EO51" s="1226"/>
      <c r="EP51" s="1226"/>
      <c r="EQ51" s="1226"/>
      <c r="ER51" s="1226"/>
      <c r="ES51" s="1226"/>
      <c r="ET51" s="1226"/>
      <c r="EU51" s="1226"/>
      <c r="EV51" s="1226"/>
      <c r="EW51" s="1226"/>
      <c r="EX51" s="1226"/>
      <c r="EY51" s="1226"/>
      <c r="EZ51" s="1226"/>
      <c r="FA51" s="1226"/>
      <c r="FB51" s="1226"/>
      <c r="FC51" s="1226"/>
      <c r="FD51" s="1226"/>
      <c r="FE51" s="1226"/>
      <c r="FF51" s="1226"/>
      <c r="FG51" s="1226"/>
      <c r="FH51" s="1226"/>
      <c r="FI51" s="1226"/>
      <c r="FJ51" s="1226"/>
      <c r="FK51" s="1226"/>
      <c r="FL51" s="1226"/>
      <c r="FM51" s="1226"/>
      <c r="FN51" s="1226"/>
      <c r="FO51" s="1226"/>
      <c r="FP51" s="1226"/>
      <c r="FQ51" s="1226"/>
      <c r="FR51" s="1226"/>
    </row>
    <row r="52" spans="1:174" ht="33" x14ac:dyDescent="0.25">
      <c r="A52" s="1218" t="s">
        <v>508</v>
      </c>
      <c r="B52" s="1265" t="s">
        <v>4736</v>
      </c>
      <c r="C52" s="1265">
        <f>R52</f>
        <v>133</v>
      </c>
      <c r="D52" s="1265" t="s">
        <v>4804</v>
      </c>
      <c r="E52" s="1219">
        <f>SUM(E45:E51)</f>
        <v>20</v>
      </c>
      <c r="F52" s="1219">
        <f>SUM(F45:F51)</f>
        <v>5</v>
      </c>
      <c r="G52" s="1219">
        <f>SUM(G45:G51)</f>
        <v>29</v>
      </c>
      <c r="H52" s="1219">
        <f>SUM(H45:H51)</f>
        <v>94</v>
      </c>
      <c r="I52" s="1221">
        <f t="shared" si="3"/>
        <v>148</v>
      </c>
      <c r="J52" s="1219">
        <f>SUM(J45:J51)</f>
        <v>19</v>
      </c>
      <c r="K52" s="1219">
        <f>SUM(K45:K51)</f>
        <v>4</v>
      </c>
      <c r="L52" s="1219">
        <f>SUM(L45:L51)</f>
        <v>0</v>
      </c>
      <c r="M52" s="1219">
        <f>SUM(M45:M51)</f>
        <v>25</v>
      </c>
      <c r="N52" s="1222">
        <f t="shared" si="11"/>
        <v>25</v>
      </c>
      <c r="O52" s="1219">
        <f>SUM(O45:O51)</f>
        <v>0</v>
      </c>
      <c r="P52" s="1219">
        <f>SUM(P45:P51)</f>
        <v>85</v>
      </c>
      <c r="Q52" s="1222">
        <f t="shared" si="12"/>
        <v>85</v>
      </c>
      <c r="R52" s="1221">
        <f t="shared" si="13"/>
        <v>133</v>
      </c>
      <c r="S52" s="1223">
        <f t="shared" si="14"/>
        <v>0.89864864864864868</v>
      </c>
      <c r="T52" s="1219">
        <f>SUM(T45:T51)</f>
        <v>8</v>
      </c>
      <c r="U52" s="1219">
        <f>SUM(U45:U51)</f>
        <v>1</v>
      </c>
      <c r="V52" s="1219">
        <f>SUM(V45:V51)</f>
        <v>0</v>
      </c>
      <c r="W52" s="1219">
        <f>SUM(W45:W51)</f>
        <v>18</v>
      </c>
      <c r="X52" s="1222">
        <f t="shared" si="4"/>
        <v>18</v>
      </c>
      <c r="Y52" s="1219">
        <f>SUM(Y45:Y51)</f>
        <v>0</v>
      </c>
      <c r="Z52" s="1219">
        <f>SUM(Z45:Z51)</f>
        <v>65</v>
      </c>
      <c r="AA52" s="1222">
        <f t="shared" si="5"/>
        <v>65</v>
      </c>
      <c r="AB52" s="1221">
        <f t="shared" si="15"/>
        <v>92</v>
      </c>
      <c r="AC52" s="1224">
        <f>AB52/R52</f>
        <v>0.69172932330827064</v>
      </c>
      <c r="AD52" s="1219">
        <f>SUM(AD45:AD51)</f>
        <v>6</v>
      </c>
      <c r="AE52" s="1219">
        <f>SUM(AE45:AE51)</f>
        <v>1</v>
      </c>
      <c r="AF52" s="1219">
        <f>SUM(AF45:AF51)</f>
        <v>0</v>
      </c>
      <c r="AG52" s="1219">
        <f>SUM(AG45:AG51)</f>
        <v>5</v>
      </c>
      <c r="AH52" s="1222">
        <f t="shared" si="6"/>
        <v>5</v>
      </c>
      <c r="AI52" s="1219">
        <f>SUM(AI45:AI51)</f>
        <v>0</v>
      </c>
      <c r="AJ52" s="1219">
        <f>SUM(AJ45:AJ51)</f>
        <v>14</v>
      </c>
      <c r="AK52" s="1222">
        <f t="shared" si="7"/>
        <v>14</v>
      </c>
      <c r="AL52" s="1221">
        <f t="shared" si="16"/>
        <v>26</v>
      </c>
      <c r="AM52" s="1219">
        <f>SUM(AM45:AM51)</f>
        <v>3</v>
      </c>
      <c r="AN52" s="1219">
        <f>SUM(AN45:AN51)</f>
        <v>2</v>
      </c>
      <c r="AO52" s="1219">
        <f>SUM(AO45:AO51)</f>
        <v>0</v>
      </c>
      <c r="AP52" s="1219">
        <f>SUM(AP45:AP51)</f>
        <v>1</v>
      </c>
      <c r="AQ52" s="1222">
        <f t="shared" si="17"/>
        <v>1</v>
      </c>
      <c r="AR52" s="1219">
        <f>SUM(AR45:AR51)</f>
        <v>0</v>
      </c>
      <c r="AS52" s="1219">
        <f>SUM(AS45:AS51)</f>
        <v>1</v>
      </c>
      <c r="AT52" s="1222">
        <f t="shared" si="8"/>
        <v>1</v>
      </c>
      <c r="AU52" s="1221">
        <f t="shared" si="18"/>
        <v>7</v>
      </c>
      <c r="AV52" s="1219">
        <f>SUM(AV45:AV51)</f>
        <v>0</v>
      </c>
      <c r="AW52" s="1225">
        <f t="shared" si="9"/>
        <v>6</v>
      </c>
      <c r="AX52" s="1219">
        <f>SUM(AX45:AX51)</f>
        <v>0</v>
      </c>
      <c r="AY52" s="1219">
        <f>SUM(AY45:AY51)</f>
        <v>2</v>
      </c>
      <c r="AZ52" s="1219">
        <f>SUM(AZ45:AZ51)</f>
        <v>0</v>
      </c>
      <c r="BA52" s="1219">
        <f>SUM(BA45:BA51)</f>
        <v>0</v>
      </c>
      <c r="BB52" s="1226">
        <v>32</v>
      </c>
      <c r="BC52" s="1226"/>
      <c r="BD52" s="1219">
        <v>5</v>
      </c>
      <c r="BE52" s="1226"/>
      <c r="BF52" s="1226"/>
      <c r="BG52" s="1226"/>
      <c r="BH52" s="1226"/>
      <c r="BI52" s="1226"/>
      <c r="BJ52" s="1226"/>
      <c r="BK52" s="1226"/>
      <c r="BL52" s="1226"/>
      <c r="BM52" s="1226"/>
      <c r="BN52" s="1226"/>
      <c r="BO52" s="1226"/>
      <c r="BP52" s="1226"/>
      <c r="BQ52" s="1226"/>
      <c r="BR52" s="1226"/>
      <c r="BS52" s="1226"/>
      <c r="BT52" s="1226"/>
      <c r="BU52" s="1226"/>
      <c r="BV52" s="1226"/>
      <c r="BW52" s="1226"/>
      <c r="BX52" s="1226"/>
      <c r="BY52" s="1226"/>
      <c r="BZ52" s="1226"/>
      <c r="CA52" s="1226"/>
      <c r="CB52" s="1226"/>
      <c r="CC52" s="1226"/>
      <c r="CD52" s="1226"/>
      <c r="CE52" s="1226"/>
      <c r="CF52" s="1226"/>
      <c r="CG52" s="1226"/>
      <c r="CH52" s="1226"/>
      <c r="CI52" s="1226"/>
      <c r="CJ52" s="1226"/>
      <c r="CK52" s="1226"/>
      <c r="CL52" s="1226"/>
      <c r="CM52" s="1226"/>
      <c r="CN52" s="1226"/>
      <c r="CO52" s="1226"/>
      <c r="CP52" s="1226"/>
      <c r="CQ52" s="1226"/>
      <c r="CR52" s="1226"/>
      <c r="CS52" s="1226"/>
      <c r="CT52" s="1226"/>
      <c r="CU52" s="1226"/>
      <c r="CV52" s="1226"/>
      <c r="CW52" s="1226"/>
      <c r="CX52" s="1226"/>
      <c r="CY52" s="1226"/>
      <c r="CZ52" s="1226"/>
      <c r="DA52" s="1226"/>
      <c r="DB52" s="1226"/>
      <c r="DC52" s="1219">
        <f>SUM(DC45:DC51)</f>
        <v>0</v>
      </c>
      <c r="DD52" s="1219">
        <f t="shared" ref="DD52:FO52" si="27">SUM(DD45:DD51)</f>
        <v>0</v>
      </c>
      <c r="DE52" s="1219">
        <f t="shared" si="27"/>
        <v>0</v>
      </c>
      <c r="DF52" s="1219">
        <f t="shared" si="27"/>
        <v>0</v>
      </c>
      <c r="DG52" s="1219">
        <f t="shared" si="27"/>
        <v>31</v>
      </c>
      <c r="DH52" s="1219">
        <f t="shared" si="27"/>
        <v>0</v>
      </c>
      <c r="DI52" s="1219">
        <f t="shared" si="27"/>
        <v>0</v>
      </c>
      <c r="DJ52" s="1219">
        <f t="shared" si="27"/>
        <v>0</v>
      </c>
      <c r="DK52" s="1219">
        <f t="shared" si="27"/>
        <v>0</v>
      </c>
      <c r="DL52" s="1219">
        <f t="shared" si="27"/>
        <v>0</v>
      </c>
      <c r="DM52" s="1219">
        <f t="shared" si="27"/>
        <v>0</v>
      </c>
      <c r="DN52" s="1219">
        <f t="shared" si="27"/>
        <v>0</v>
      </c>
      <c r="DO52" s="1219">
        <f t="shared" si="27"/>
        <v>0</v>
      </c>
      <c r="DP52" s="1219">
        <f t="shared" si="27"/>
        <v>0</v>
      </c>
      <c r="DQ52" s="1219">
        <f t="shared" si="27"/>
        <v>0</v>
      </c>
      <c r="DR52" s="1219">
        <f t="shared" si="27"/>
        <v>0</v>
      </c>
      <c r="DS52" s="1219">
        <f t="shared" si="27"/>
        <v>0</v>
      </c>
      <c r="DT52" s="1219">
        <f t="shared" si="27"/>
        <v>0</v>
      </c>
      <c r="DU52" s="1219">
        <f t="shared" si="27"/>
        <v>0</v>
      </c>
      <c r="DV52" s="1219">
        <f t="shared" si="27"/>
        <v>0</v>
      </c>
      <c r="DW52" s="1219">
        <f t="shared" si="27"/>
        <v>0</v>
      </c>
      <c r="DX52" s="1219">
        <f t="shared" si="27"/>
        <v>0</v>
      </c>
      <c r="DY52" s="1219">
        <f t="shared" si="27"/>
        <v>0</v>
      </c>
      <c r="DZ52" s="1219">
        <f t="shared" si="27"/>
        <v>0</v>
      </c>
      <c r="EA52" s="1219">
        <f t="shared" si="27"/>
        <v>0</v>
      </c>
      <c r="EB52" s="1219">
        <f t="shared" si="27"/>
        <v>0</v>
      </c>
      <c r="EC52" s="1219">
        <f t="shared" si="27"/>
        <v>0</v>
      </c>
      <c r="ED52" s="1219">
        <f t="shared" si="27"/>
        <v>0</v>
      </c>
      <c r="EE52" s="1219">
        <f t="shared" si="27"/>
        <v>0</v>
      </c>
      <c r="EF52" s="1219">
        <f t="shared" si="27"/>
        <v>0</v>
      </c>
      <c r="EG52" s="1219">
        <f t="shared" si="27"/>
        <v>0</v>
      </c>
      <c r="EH52" s="1219">
        <f t="shared" si="27"/>
        <v>0</v>
      </c>
      <c r="EI52" s="1219">
        <f t="shared" si="27"/>
        <v>0</v>
      </c>
      <c r="EJ52" s="1219">
        <f t="shared" si="27"/>
        <v>0</v>
      </c>
      <c r="EK52" s="1219">
        <f t="shared" si="27"/>
        <v>0</v>
      </c>
      <c r="EL52" s="1219">
        <f t="shared" si="27"/>
        <v>0</v>
      </c>
      <c r="EM52" s="1219">
        <f t="shared" si="27"/>
        <v>0</v>
      </c>
      <c r="EN52" s="1219">
        <f t="shared" si="27"/>
        <v>0</v>
      </c>
      <c r="EO52" s="1219">
        <f t="shared" si="27"/>
        <v>0</v>
      </c>
      <c r="EP52" s="1219">
        <f t="shared" si="27"/>
        <v>0</v>
      </c>
      <c r="EQ52" s="1219">
        <f t="shared" si="27"/>
        <v>0</v>
      </c>
      <c r="ER52" s="1219">
        <f t="shared" si="27"/>
        <v>0</v>
      </c>
      <c r="ES52" s="1219">
        <f t="shared" si="27"/>
        <v>0</v>
      </c>
      <c r="ET52" s="1219">
        <f t="shared" si="27"/>
        <v>0</v>
      </c>
      <c r="EU52" s="1219">
        <f t="shared" si="27"/>
        <v>0</v>
      </c>
      <c r="EV52" s="1219">
        <f t="shared" si="27"/>
        <v>0</v>
      </c>
      <c r="EW52" s="1219">
        <f t="shared" si="27"/>
        <v>0</v>
      </c>
      <c r="EX52" s="1219">
        <f t="shared" si="27"/>
        <v>0</v>
      </c>
      <c r="EY52" s="1219">
        <f t="shared" si="27"/>
        <v>0</v>
      </c>
      <c r="EZ52" s="1219">
        <f t="shared" si="27"/>
        <v>0</v>
      </c>
      <c r="FA52" s="1219">
        <f t="shared" si="27"/>
        <v>0</v>
      </c>
      <c r="FB52" s="1219">
        <f t="shared" si="27"/>
        <v>0</v>
      </c>
      <c r="FC52" s="1219">
        <f t="shared" si="27"/>
        <v>0</v>
      </c>
      <c r="FD52" s="1219">
        <f t="shared" si="27"/>
        <v>0</v>
      </c>
      <c r="FE52" s="1219">
        <f t="shared" si="27"/>
        <v>0</v>
      </c>
      <c r="FF52" s="1219">
        <f t="shared" si="27"/>
        <v>0</v>
      </c>
      <c r="FG52" s="1219">
        <f t="shared" si="27"/>
        <v>0</v>
      </c>
      <c r="FH52" s="1219">
        <f t="shared" si="27"/>
        <v>0</v>
      </c>
      <c r="FI52" s="1219">
        <f t="shared" si="27"/>
        <v>0</v>
      </c>
      <c r="FJ52" s="1219">
        <f t="shared" si="27"/>
        <v>0</v>
      </c>
      <c r="FK52" s="1219">
        <f t="shared" si="27"/>
        <v>0</v>
      </c>
      <c r="FL52" s="1219">
        <f t="shared" si="27"/>
        <v>0</v>
      </c>
      <c r="FM52" s="1219">
        <f t="shared" si="27"/>
        <v>0</v>
      </c>
      <c r="FN52" s="1219">
        <f t="shared" si="27"/>
        <v>0</v>
      </c>
      <c r="FO52" s="1219">
        <f t="shared" si="27"/>
        <v>0</v>
      </c>
      <c r="FP52" s="1219">
        <f t="shared" ref="FP52:FR52" si="28">SUM(FP45:FP51)</f>
        <v>0</v>
      </c>
      <c r="FQ52" s="1219">
        <f t="shared" si="28"/>
        <v>0</v>
      </c>
      <c r="FR52" s="1219">
        <f t="shared" si="28"/>
        <v>0</v>
      </c>
    </row>
    <row r="53" spans="1:174" ht="33" x14ac:dyDescent="0.25">
      <c r="A53" s="1228" t="s">
        <v>4195</v>
      </c>
      <c r="B53" s="1228"/>
      <c r="C53" s="1275">
        <f>AU53</f>
        <v>2</v>
      </c>
      <c r="D53" s="1276" t="s">
        <v>4805</v>
      </c>
      <c r="E53" s="1219">
        <f>COUNTIFS(ШТАТ!$AL:$AL,'БЧС Дерябин'!$A53,ШТАТ!$AK:$AK,1)</f>
        <v>1</v>
      </c>
      <c r="F53" s="1219">
        <f>COUNTIFS(ШТАТ!$AL:$AL,'БЧС Дерябин'!$A53,ШТАТ!$AK:$AK,2)</f>
        <v>2</v>
      </c>
      <c r="G53" s="1219">
        <f>COUNTIFS(ШТАТ!$AL:$AL,'БЧС Дерябин'!$A53,ШТАТ!$AK:$AK,3)</f>
        <v>0</v>
      </c>
      <c r="H53" s="1219">
        <f>COUNTIFS(ШТАТ!$AL:$AL,'БЧС Дерябин'!$A53,ШТАТ!$AK:$AK,4)</f>
        <v>0</v>
      </c>
      <c r="I53" s="1221">
        <f t="shared" si="3"/>
        <v>3</v>
      </c>
      <c r="J53" s="1219">
        <f>COUNTIFS(ШТАТ!AL:AL,A53,ШТАТ!AJ:AJ,"о")</f>
        <v>1</v>
      </c>
      <c r="K53" s="1219">
        <f>COUNTIFS(ШТАТ!AL:AL,A53,ШТАТ!AJ:AJ,"п")</f>
        <v>2</v>
      </c>
      <c r="L53" s="1219">
        <f>COUNTIFS(ШТАТ!$AL:$AL,$A53,ШТАТ!AK:AK,3,ШТАТ!AJ:AJ,"с/с")</f>
        <v>0</v>
      </c>
      <c r="M53" s="1219">
        <f>COUNTIFS(ШТАТ!$AL:$AL,$A53,ШТАТ!AK:AK,3,ШТАТ!AJ:AJ,"к/с")</f>
        <v>0</v>
      </c>
      <c r="N53" s="1222">
        <f t="shared" si="11"/>
        <v>0</v>
      </c>
      <c r="O53" s="1220">
        <f>COUNTIFS(ШТАТ!$AL:$AL,$A53,ШТАТ!AK:AK,4,ШТАТ!AJ:AJ,"с/с")+1</f>
        <v>1</v>
      </c>
      <c r="P53" s="1220">
        <f>COUNTIFS(ШТАТ!$AL:$AL,$A53,ШТАТ!AK:AK,4,ШТАТ!AJ:AJ,"к/с")</f>
        <v>0</v>
      </c>
      <c r="Q53" s="1222">
        <f t="shared" si="12"/>
        <v>1</v>
      </c>
      <c r="R53" s="1221">
        <f t="shared" si="13"/>
        <v>4</v>
      </c>
      <c r="S53" s="1223">
        <f t="shared" si="14"/>
        <v>1.3333333333333333</v>
      </c>
      <c r="T53" s="1219">
        <f>COUNTIFS(ШТАТ!$AL:$AL,$A53,ШТАТ!$AJ:$AJ,"о",ШТАТ!$X:$X,"выполнение специальных задач")</f>
        <v>0</v>
      </c>
      <c r="U53" s="1219">
        <f>COUNTIFS(ШТАТ!$AL:$AL,$A53,ШТАТ!$AJ:$AJ,"п",ШТАТ!$X:$X,"выполнение специальных задач")</f>
        <v>0</v>
      </c>
      <c r="V53" s="1219">
        <f>COUNTIFS(ШТАТ!$AL:$AL,$A53,ШТАТ!$AK:$AK,3,ШТАТ!$AJ:$AJ,"с/с",ШТАТ!$X:$X,"выполнение специальных задач")</f>
        <v>0</v>
      </c>
      <c r="W53" s="1219">
        <f>COUNTIFS(ШТАТ!$AL:$AL,$A53,ШТАТ!$AK:$AK,3,ШТАТ!$AJ:$AJ,"к/с",ШТАТ!$X:$X,"выполнение специальных задач")</f>
        <v>0</v>
      </c>
      <c r="X53" s="1222">
        <f t="shared" si="4"/>
        <v>0</v>
      </c>
      <c r="Y53" s="1219">
        <f>COUNTIFS(ШТАТ!$AL:$AL,$A53,ШТАТ!$AK:$AK,4,ШТАТ!$AJ:$AJ,"с/с",ШТАТ!$X:$X,"выполнение специальных задач")</f>
        <v>0</v>
      </c>
      <c r="Z53" s="1219">
        <f>COUNTIFS(ШТАТ!$AL:$AL,$A53,ШТАТ!$AK:$AK,4,ШТАТ!$AJ:$AJ,"к/с",ШТАТ!$X:$X,"выполнение специальных задач")</f>
        <v>0</v>
      </c>
      <c r="AA53" s="1222">
        <f t="shared" si="5"/>
        <v>0</v>
      </c>
      <c r="AB53" s="1221">
        <f t="shared" si="15"/>
        <v>0</v>
      </c>
      <c r="AC53" s="1219"/>
      <c r="AD53" s="1219">
        <f>COUNTIFS(ШТАТ!$AL:$AL,$A53,ШТАТ!$AK:$AK,1,ШТАТ!$AJ:$AJ,"о",ШТАТ!$W:$W,"г. Белгород")</f>
        <v>0</v>
      </c>
      <c r="AE53" s="1219">
        <f>COUNTIFS(ШТАТ!$AL:$AL,$A53,ШТАТ!$AK:$AK,2,ШТАТ!$AJ:$AJ,"п",ШТАТ!$W:$W,"г. Белгород")</f>
        <v>0</v>
      </c>
      <c r="AF53" s="1219">
        <f>COUNTIFS(ШТАТ!$AL:$AL,$A53,ШТАТ!$AK:$AK,3,ШТАТ!$AJ:$AJ,"с/с",ШТАТ!$W:$W,"г. Белгород")</f>
        <v>0</v>
      </c>
      <c r="AG53" s="1219">
        <f>COUNTIFS(ШТАТ!$AL:$AL,$A53,ШТАТ!$AK:$AK,3,ШТАТ!$AJ:$AJ,"к/с",ШТАТ!$W:$W,"г. Белгород")</f>
        <v>0</v>
      </c>
      <c r="AH53" s="1222">
        <f t="shared" si="6"/>
        <v>0</v>
      </c>
      <c r="AI53" s="1219">
        <f>COUNTIFS(ШТАТ!$AL:$AL,$A53,ШТАТ!$AK:$AK,4,ШТАТ!$AJ:$AJ,"с/с",ШТАТ!$W:$W,"г. Белгород")</f>
        <v>0</v>
      </c>
      <c r="AJ53" s="1219">
        <f>COUNTIFS(ШТАТ!$AL:$AL,$A53,ШТАТ!$AK:$AK,4,ШТАТ!$AJ:$AJ,"к/с",ШТАТ!$W:$W,"г. Белгород")</f>
        <v>0</v>
      </c>
      <c r="AK53" s="1222">
        <f t="shared" si="7"/>
        <v>0</v>
      </c>
      <c r="AL53" s="1221">
        <f t="shared" si="16"/>
        <v>0</v>
      </c>
      <c r="AM53" s="1219">
        <f>COUNTIFS(ШТАТ!$AL:$AL,$A53,ШТАТ!$AK:$AK,1,ШТАТ!$AJ:$AJ,"о",ШТАТ!$U:$U,"")</f>
        <v>1</v>
      </c>
      <c r="AN53" s="1219">
        <f>COUNTIFS(ШТАТ!$AL:$AL,$A53,ШТАТ!$AK:$AK,2,ШТАТ!$AJ:$AJ,"п",ШТАТ!$U:$U,"")</f>
        <v>1</v>
      </c>
      <c r="AO53" s="1219">
        <f>COUNTIFS(ШТАТ!$AL:$AL,$A53,ШТАТ!$AK:$AK,3,ШТАТ!$AJ:$AJ,"с/с",ШТАТ!$U:$U,"")</f>
        <v>0</v>
      </c>
      <c r="AP53" s="1219">
        <f>COUNTIFS(ШТАТ!$AL:$AL,$A53,ШТАТ!$AK:$AK,3,ШТАТ!$AJ:$AJ,"к/с",ШТАТ!$U:$U,"")</f>
        <v>0</v>
      </c>
      <c r="AQ53" s="1222">
        <f t="shared" si="17"/>
        <v>0</v>
      </c>
      <c r="AR53" s="1219">
        <f>COUNTIFS(ШТАТ!$AL:$AL,$A53,ШТАТ!$AK:$AK,4,ШТАТ!$AJ:$AJ,"с/с",ШТАТ!$U:$U,"")</f>
        <v>0</v>
      </c>
      <c r="AS53" s="1219">
        <f>COUNTIFS(ШТАТ!$AL:$AL,$A53,ШТАТ!$AK:$AK,4,ШТАТ!$AJ:$AJ,"к/с",ШТАТ!$U:$U,"")</f>
        <v>0</v>
      </c>
      <c r="AT53" s="1222">
        <f t="shared" si="8"/>
        <v>0</v>
      </c>
      <c r="AU53" s="1221">
        <f t="shared" si="18"/>
        <v>2</v>
      </c>
      <c r="AV53" s="1219">
        <f>COUNTIFS(ШТАТ!$AL:$AL,$A53,ШТАТ!$U:$U,"госп")</f>
        <v>1</v>
      </c>
      <c r="AW53" s="1225">
        <f t="shared" si="9"/>
        <v>1</v>
      </c>
      <c r="AX53" s="1219">
        <f>COUNTIFS(ШТАТ!$AL:$AL,$A53,ШТАТ!$U:$U,"отпуск")</f>
        <v>0</v>
      </c>
      <c r="AY53" s="1219">
        <f>COUNTIFS(ШТАТ!$AL:$AL,$A53,ШТАТ!$U:$U,"соч")</f>
        <v>0</v>
      </c>
      <c r="AZ53" s="1219"/>
      <c r="BA53" s="1219">
        <f>COUNTIFS(ШТАТ!$AL:$AL,$A53,ШТАТ!$U:$U,"МП")</f>
        <v>0</v>
      </c>
      <c r="BB53" s="1226"/>
      <c r="BC53" s="1226"/>
      <c r="BD53" s="1219"/>
      <c r="BE53" s="1226"/>
      <c r="BF53" s="1226"/>
      <c r="BG53" s="1226"/>
      <c r="BH53" s="1226"/>
      <c r="BI53" s="1226"/>
      <c r="BJ53" s="1226"/>
      <c r="BK53" s="1226"/>
      <c r="BL53" s="1226"/>
      <c r="BM53" s="1226"/>
      <c r="BN53" s="1226"/>
      <c r="BO53" s="1226"/>
      <c r="BP53" s="1226"/>
      <c r="BQ53" s="1226"/>
      <c r="BR53" s="1226"/>
      <c r="BS53" s="1226"/>
      <c r="BT53" s="1226"/>
      <c r="BU53" s="1226"/>
      <c r="BV53" s="1226"/>
      <c r="BW53" s="1226"/>
      <c r="BX53" s="1226"/>
      <c r="BY53" s="1226"/>
      <c r="BZ53" s="1226"/>
      <c r="CA53" s="1226"/>
      <c r="CB53" s="1226"/>
      <c r="CC53" s="1226"/>
      <c r="CD53" s="1226"/>
      <c r="CE53" s="1226"/>
      <c r="CF53" s="1226"/>
      <c r="CG53" s="1226"/>
      <c r="CH53" s="1226"/>
      <c r="CI53" s="1226"/>
      <c r="CJ53" s="1226"/>
      <c r="CK53" s="1226"/>
      <c r="CL53" s="1226"/>
      <c r="CM53" s="1226"/>
      <c r="CN53" s="1226"/>
      <c r="CO53" s="1226"/>
      <c r="CP53" s="1226"/>
      <c r="CQ53" s="1226"/>
      <c r="CR53" s="1226"/>
      <c r="CS53" s="1226"/>
      <c r="CT53" s="1226"/>
      <c r="CU53" s="1226"/>
      <c r="CV53" s="1226"/>
      <c r="CW53" s="1226"/>
      <c r="CX53" s="1226"/>
      <c r="CY53" s="1226"/>
      <c r="CZ53" s="1226"/>
      <c r="DA53" s="1226"/>
      <c r="DB53" s="1226"/>
      <c r="DC53" s="1226"/>
      <c r="DD53" s="1226"/>
      <c r="DE53" s="1226"/>
      <c r="DF53" s="1226"/>
      <c r="DG53" s="1226"/>
      <c r="DH53" s="1226"/>
      <c r="DI53" s="1226"/>
      <c r="DJ53" s="1226"/>
      <c r="DK53" s="1226"/>
      <c r="DL53" s="1226"/>
      <c r="DM53" s="1226"/>
      <c r="DN53" s="1226"/>
      <c r="DO53" s="1226"/>
      <c r="DP53" s="1226"/>
      <c r="DQ53" s="1226"/>
      <c r="DR53" s="1226"/>
      <c r="DS53" s="1226"/>
      <c r="DT53" s="1226"/>
      <c r="DU53" s="1226"/>
      <c r="DV53" s="1226">
        <f>COUNTIFS(ШТАТ!$AN:$AN,"Урал-4320-31",ШТАТ!AL:AL,"Управление")</f>
        <v>0</v>
      </c>
      <c r="DW53" s="1226"/>
      <c r="DX53" s="1226"/>
      <c r="DY53" s="1226"/>
      <c r="DZ53" s="1226"/>
      <c r="EA53" s="1226"/>
      <c r="EB53" s="1226"/>
      <c r="EC53" s="1226"/>
      <c r="ED53" s="1226"/>
      <c r="EE53" s="1226"/>
      <c r="EF53" s="1226"/>
      <c r="EG53" s="1226"/>
      <c r="EH53" s="1226"/>
      <c r="EI53" s="1226"/>
      <c r="EJ53" s="1226"/>
      <c r="EK53" s="1226"/>
      <c r="EL53" s="1226"/>
      <c r="EM53" s="1226"/>
      <c r="EN53" s="1226"/>
      <c r="EO53" s="1226"/>
      <c r="EP53" s="1226"/>
      <c r="EQ53" s="1226"/>
      <c r="ER53" s="1226"/>
      <c r="ES53" s="1226"/>
      <c r="ET53" s="1226"/>
      <c r="EU53" s="1226"/>
      <c r="EV53" s="1226"/>
      <c r="EW53" s="1226"/>
      <c r="EX53" s="1226"/>
      <c r="EY53" s="1226"/>
      <c r="EZ53" s="1226"/>
      <c r="FA53" s="1226"/>
      <c r="FB53" s="1226"/>
      <c r="FC53" s="1226"/>
      <c r="FD53" s="1226"/>
      <c r="FE53" s="1226"/>
      <c r="FF53" s="1226"/>
      <c r="FG53" s="1226"/>
      <c r="FH53" s="1226"/>
      <c r="FI53" s="1226"/>
      <c r="FJ53" s="1226"/>
      <c r="FK53" s="1226"/>
      <c r="FL53" s="1226"/>
      <c r="FM53" s="1226"/>
      <c r="FN53" s="1226"/>
      <c r="FO53" s="1226"/>
      <c r="FP53" s="1226"/>
      <c r="FQ53" s="1226"/>
      <c r="FR53" s="1226"/>
    </row>
    <row r="54" spans="1:174" ht="33" x14ac:dyDescent="0.25">
      <c r="A54" s="1228" t="s">
        <v>4196</v>
      </c>
      <c r="B54" s="1228"/>
      <c r="C54" s="1275">
        <f>AU54</f>
        <v>8</v>
      </c>
      <c r="D54" s="1276" t="s">
        <v>4805</v>
      </c>
      <c r="E54" s="1219">
        <f>COUNTIFS(ШТАТ!$AL:$AL,'БЧС Дерябин'!$A54,ШТАТ!$AK:$AK,1)</f>
        <v>1</v>
      </c>
      <c r="F54" s="1219">
        <f>COUNTIFS(ШТАТ!$AL:$AL,'БЧС Дерябин'!$A54,ШТАТ!$AK:$AK,2)</f>
        <v>0</v>
      </c>
      <c r="G54" s="1219">
        <f>COUNTIFS(ШТАТ!$AL:$AL,'БЧС Дерябин'!$A54,ШТАТ!$AK:$AK,3)</f>
        <v>4</v>
      </c>
      <c r="H54" s="1219">
        <f>COUNTIFS(ШТАТ!$AL:$AL,'БЧС Дерябин'!$A54,ШТАТ!$AK:$AK,4)</f>
        <v>14</v>
      </c>
      <c r="I54" s="1221">
        <f t="shared" si="3"/>
        <v>19</v>
      </c>
      <c r="J54" s="1219">
        <f>COUNTIFS(ШТАТ!AL:AL,A54,ШТАТ!AJ:AJ,"о")</f>
        <v>1</v>
      </c>
      <c r="K54" s="1219">
        <f>COUNTIFS(ШТАТ!AL:AL,A54,ШТАТ!AJ:AJ,"п")</f>
        <v>0</v>
      </c>
      <c r="L54" s="1219">
        <f>COUNTIFS(ШТАТ!$AL:$AL,$A54,ШТАТ!AK:AK,3,ШТАТ!AJ:AJ,"с/с")</f>
        <v>0</v>
      </c>
      <c r="M54" s="1219">
        <f>COUNTIFS(ШТАТ!$AL:$AL,$A54,ШТАТ!AK:AK,3,ШТАТ!AJ:AJ,"к/с")</f>
        <v>4</v>
      </c>
      <c r="N54" s="1222">
        <f t="shared" si="11"/>
        <v>4</v>
      </c>
      <c r="O54" s="1220">
        <f>COUNTIFS(ШТАТ!$AL:$AL,$A54,ШТАТ!AK:AK,4,ШТАТ!AJ:AJ,"с/с")</f>
        <v>5</v>
      </c>
      <c r="P54" s="1220">
        <f>COUNTIFS(ШТАТ!$AL:$AL,$A54,ШТАТ!AK:AK,4,ШТАТ!AJ:AJ,"к/с")</f>
        <v>9</v>
      </c>
      <c r="Q54" s="1222">
        <f t="shared" si="12"/>
        <v>14</v>
      </c>
      <c r="R54" s="1221">
        <f t="shared" si="13"/>
        <v>19</v>
      </c>
      <c r="S54" s="1223">
        <f t="shared" si="14"/>
        <v>1</v>
      </c>
      <c r="T54" s="1219">
        <f>COUNTIFS(ШТАТ!$AL:$AL,$A54,ШТАТ!$AJ:$AJ,"о",ШТАТ!$X:$X,"выполнение специальных задач")</f>
        <v>0</v>
      </c>
      <c r="U54" s="1219">
        <f>COUNTIFS(ШТАТ!$AL:$AL,$A54,ШТАТ!$AJ:$AJ,"п",ШТАТ!$X:$X,"выполнение специальных задач")</f>
        <v>0</v>
      </c>
      <c r="V54" s="1219">
        <f>COUNTIFS(ШТАТ!$AL:$AL,$A54,ШТАТ!$AK:$AK,3,ШТАТ!$AJ:$AJ,"с/с",ШТАТ!$X:$X,"выполнение специальных задач")</f>
        <v>0</v>
      </c>
      <c r="W54" s="1219">
        <f>COUNTIFS(ШТАТ!$AL:$AL,$A54,ШТАТ!$AK:$AK,3,ШТАТ!$AJ:$AJ,"к/с",ШТАТ!$X:$X,"выполнение специальных задач")</f>
        <v>0</v>
      </c>
      <c r="X54" s="1222">
        <f t="shared" si="4"/>
        <v>0</v>
      </c>
      <c r="Y54" s="1219">
        <f>COUNTIFS(ШТАТ!$AL:$AL,$A54,ШТАТ!$AK:$AK,4,ШТАТ!$AJ:$AJ,"с/с",ШТАТ!$X:$X,"выполнение специальных задач")</f>
        <v>0</v>
      </c>
      <c r="Z54" s="1219">
        <f>COUNTIFS(ШТАТ!$AL:$AL,$A54,ШТАТ!$AK:$AK,4,ШТАТ!$AJ:$AJ,"к/с",ШТАТ!$X:$X,"выполнение специальных задач")</f>
        <v>2</v>
      </c>
      <c r="AA54" s="1222">
        <f t="shared" si="5"/>
        <v>2</v>
      </c>
      <c r="AB54" s="1221">
        <f t="shared" si="15"/>
        <v>2</v>
      </c>
      <c r="AC54" s="1219"/>
      <c r="AD54" s="1219">
        <f>COUNTIFS(ШТАТ!$AL:$AL,$A54,ШТАТ!$AK:$AK,1,ШТАТ!$AJ:$AJ,"о",ШТАТ!$W:$W,"г. Белгород")</f>
        <v>0</v>
      </c>
      <c r="AE54" s="1219">
        <f>COUNTIFS(ШТАТ!$AL:$AL,$A54,ШТАТ!$AK:$AK,2,ШТАТ!$AJ:$AJ,"п",ШТАТ!$W:$W,"г. Белгород")</f>
        <v>0</v>
      </c>
      <c r="AF54" s="1219">
        <f>COUNTIFS(ШТАТ!$AL:$AL,$A54,ШТАТ!$AK:$AK,3,ШТАТ!$AJ:$AJ,"с/с",ШТАТ!$W:$W,"г. Белгород")</f>
        <v>0</v>
      </c>
      <c r="AG54" s="1219">
        <f>COUNTIFS(ШТАТ!$AL:$AL,$A54,ШТАТ!$AK:$AK,3,ШТАТ!$AJ:$AJ,"к/с",ШТАТ!$W:$W,"г. Белгород")</f>
        <v>0</v>
      </c>
      <c r="AH54" s="1222">
        <f t="shared" si="6"/>
        <v>0</v>
      </c>
      <c r="AI54" s="1219">
        <f>COUNTIFS(ШТАТ!$AL:$AL,$A54,ШТАТ!$AK:$AK,4,ШТАТ!$AJ:$AJ,"с/с",ШТАТ!$W:$W,"г. Белгород")</f>
        <v>0</v>
      </c>
      <c r="AJ54" s="1219">
        <f>COUNTIFS(ШТАТ!$AL:$AL,$A54,ШТАТ!$AK:$AK,4,ШТАТ!$AJ:$AJ,"к/с",ШТАТ!$W:$W,"г. Белгород")</f>
        <v>5</v>
      </c>
      <c r="AK54" s="1222">
        <f t="shared" si="7"/>
        <v>5</v>
      </c>
      <c r="AL54" s="1221">
        <f t="shared" si="16"/>
        <v>5</v>
      </c>
      <c r="AM54" s="1219">
        <f>COUNTIFS(ШТАТ!$AL:$AL,$A54,ШТАТ!$AK:$AK,1,ШТАТ!$AJ:$AJ,"о",ШТАТ!$U:$U,"")</f>
        <v>1</v>
      </c>
      <c r="AN54" s="1219">
        <f>COUNTIFS(ШТАТ!$AL:$AL,$A54,ШТАТ!$AK:$AK,2,ШТАТ!$AJ:$AJ,"п",ШТАТ!$U:$U,"")</f>
        <v>0</v>
      </c>
      <c r="AO54" s="1219">
        <f>COUNTIFS(ШТАТ!$AL:$AL,$A54,ШТАТ!$AK:$AK,3,ШТАТ!$AJ:$AJ,"с/с",ШТАТ!$U:$U,"")</f>
        <v>0</v>
      </c>
      <c r="AP54" s="1219">
        <f>COUNTIFS(ШТАТ!$AL:$AL,$A54,ШТАТ!$AK:$AK,3,ШТАТ!$AJ:$AJ,"к/с",ШТАТ!$U:$U,"")</f>
        <v>2</v>
      </c>
      <c r="AQ54" s="1222">
        <f t="shared" si="17"/>
        <v>2</v>
      </c>
      <c r="AR54" s="1219">
        <f>COUNTIFS(ШТАТ!$AL:$AL,$A54,ШТАТ!$AK:$AK,4,ШТАТ!$AJ:$AJ,"с/с",ШТАТ!$U:$U,"")</f>
        <v>4</v>
      </c>
      <c r="AS54" s="1219">
        <f>COUNTIFS(ШТАТ!$AL:$AL,$A54,ШТАТ!$AK:$AK,4,ШТАТ!$AJ:$AJ,"к/с",ШТАТ!$U:$U,"")</f>
        <v>1</v>
      </c>
      <c r="AT54" s="1222">
        <f t="shared" si="8"/>
        <v>5</v>
      </c>
      <c r="AU54" s="1221">
        <f t="shared" si="18"/>
        <v>8</v>
      </c>
      <c r="AV54" s="1219">
        <f>COUNTIFS(ШТАТ!$AL:$AL,$A54,ШТАТ!$U:$U,"госп")</f>
        <v>1</v>
      </c>
      <c r="AW54" s="1225">
        <f t="shared" si="9"/>
        <v>1</v>
      </c>
      <c r="AX54" s="1219">
        <f>COUNTIFS(ШТАТ!$AL:$AL,$A54,ШТАТ!$U:$U,"отпуск")</f>
        <v>1</v>
      </c>
      <c r="AY54" s="1219">
        <f>COUNTIFS(ШТАТ!$AL:$AL,$A54,ШТАТ!$U:$U,"соч")</f>
        <v>1</v>
      </c>
      <c r="AZ54" s="1219"/>
      <c r="BA54" s="1219">
        <f>COUNTIFS(ШТАТ!$AL:$AL,$A54,ШТАТ!$U:$U,"МП")</f>
        <v>0</v>
      </c>
      <c r="BB54" s="1226"/>
      <c r="BC54" s="1226"/>
      <c r="BD54" s="1219"/>
      <c r="BE54" s="1226"/>
      <c r="BF54" s="1226"/>
      <c r="BG54" s="1226"/>
      <c r="BH54" s="1226"/>
      <c r="BI54" s="1226"/>
      <c r="BJ54" s="1226"/>
      <c r="BK54" s="1226"/>
      <c r="BL54" s="1226"/>
      <c r="BM54" s="1226"/>
      <c r="BN54" s="1226"/>
      <c r="BO54" s="1226"/>
      <c r="BP54" s="1226"/>
      <c r="BQ54" s="1226"/>
      <c r="BR54" s="1226"/>
      <c r="BS54" s="1226"/>
      <c r="BT54" s="1226"/>
      <c r="BU54" s="1226"/>
      <c r="BV54" s="1226"/>
      <c r="BW54" s="1226"/>
      <c r="BX54" s="1226"/>
      <c r="BY54" s="1226"/>
      <c r="BZ54" s="1226"/>
      <c r="CA54" s="1226"/>
      <c r="CB54" s="1226"/>
      <c r="CC54" s="1226"/>
      <c r="CD54" s="1226"/>
      <c r="CE54" s="1226"/>
      <c r="CF54" s="1226"/>
      <c r="CG54" s="1226"/>
      <c r="CH54" s="1226"/>
      <c r="CI54" s="1226"/>
      <c r="CJ54" s="1226"/>
      <c r="CK54" s="1226"/>
      <c r="CL54" s="1226"/>
      <c r="CM54" s="1226"/>
      <c r="CN54" s="1226"/>
      <c r="CO54" s="1226"/>
      <c r="CP54" s="1226"/>
      <c r="CQ54" s="1226"/>
      <c r="CR54" s="1226"/>
      <c r="CS54" s="1226"/>
      <c r="CT54" s="1226"/>
      <c r="CU54" s="1226"/>
      <c r="CV54" s="1226"/>
      <c r="CW54" s="1226"/>
      <c r="CX54" s="1226"/>
      <c r="CY54" s="1226"/>
      <c r="CZ54" s="1226"/>
      <c r="DA54" s="1226"/>
      <c r="DB54" s="1226"/>
      <c r="DC54" s="1226"/>
      <c r="DD54" s="1226"/>
      <c r="DE54" s="1226"/>
      <c r="DF54" s="1226"/>
      <c r="DG54" s="1226"/>
      <c r="DH54" s="1226">
        <v>4</v>
      </c>
      <c r="DI54" s="1226"/>
      <c r="DJ54" s="1226"/>
      <c r="DK54" s="1226"/>
      <c r="DL54" s="1226"/>
      <c r="DM54" s="1226"/>
      <c r="DN54" s="1226"/>
      <c r="DO54" s="1226"/>
      <c r="DP54" s="1226"/>
      <c r="DQ54" s="1226"/>
      <c r="DR54" s="1226"/>
      <c r="DS54" s="1226"/>
      <c r="DT54" s="1226"/>
      <c r="DU54" s="1226"/>
      <c r="DV54" s="1226">
        <f>COUNTIFS(ШТАТ!$AN:$AN,"Урал-4320-31",ШТАТ!AL:AL,"Управление")</f>
        <v>0</v>
      </c>
      <c r="DW54" s="1226"/>
      <c r="DX54" s="1226"/>
      <c r="DY54" s="1226"/>
      <c r="DZ54" s="1226"/>
      <c r="EA54" s="1226"/>
      <c r="EB54" s="1226"/>
      <c r="EC54" s="1226"/>
      <c r="ED54" s="1226"/>
      <c r="EE54" s="1226"/>
      <c r="EF54" s="1226"/>
      <c r="EG54" s="1226"/>
      <c r="EH54" s="1226"/>
      <c r="EI54" s="1226"/>
      <c r="EJ54" s="1226"/>
      <c r="EK54" s="1226"/>
      <c r="EL54" s="1226"/>
      <c r="EM54" s="1226"/>
      <c r="EN54" s="1226"/>
      <c r="EO54" s="1226"/>
      <c r="EP54" s="1226"/>
      <c r="EQ54" s="1226"/>
      <c r="ER54" s="1226"/>
      <c r="ES54" s="1226"/>
      <c r="ET54" s="1226"/>
      <c r="EU54" s="1226"/>
      <c r="EV54" s="1226"/>
      <c r="EW54" s="1226"/>
      <c r="EX54" s="1226"/>
      <c r="EY54" s="1226"/>
      <c r="EZ54" s="1226"/>
      <c r="FA54" s="1226"/>
      <c r="FB54" s="1226"/>
      <c r="FC54" s="1226"/>
      <c r="FD54" s="1226"/>
      <c r="FE54" s="1226"/>
      <c r="FF54" s="1226"/>
      <c r="FG54" s="1226"/>
      <c r="FH54" s="1226">
        <v>1</v>
      </c>
      <c r="FI54" s="1226"/>
      <c r="FJ54" s="1226"/>
      <c r="FK54" s="1226"/>
      <c r="FL54" s="1226"/>
      <c r="FM54" s="1226"/>
      <c r="FN54" s="1226"/>
      <c r="FO54" s="1226"/>
      <c r="FP54" s="1226"/>
      <c r="FQ54" s="1226"/>
      <c r="FR54" s="1226"/>
    </row>
    <row r="55" spans="1:174" ht="33" x14ac:dyDescent="0.25">
      <c r="A55" s="1228" t="s">
        <v>4197</v>
      </c>
      <c r="B55" s="1228"/>
      <c r="C55" s="1275">
        <f>AU55</f>
        <v>4</v>
      </c>
      <c r="D55" s="1276" t="s">
        <v>4805</v>
      </c>
      <c r="E55" s="1219">
        <f>COUNTIFS(ШТАТ!$AL:$AL,'БЧС Дерябин'!$A55,ШТАТ!$AK:$AK,1)</f>
        <v>1</v>
      </c>
      <c r="F55" s="1219">
        <f>COUNTIFS(ШТАТ!$AL:$AL,'БЧС Дерябин'!$A55,ШТАТ!$AK:$AK,2)</f>
        <v>0</v>
      </c>
      <c r="G55" s="1219">
        <f>COUNTIFS(ШТАТ!$AL:$AL,'БЧС Дерябин'!$A55,ШТАТ!$AK:$AK,3)</f>
        <v>3</v>
      </c>
      <c r="H55" s="1219">
        <f>COUNTIFS(ШТАТ!$AL:$AL,'БЧС Дерябин'!$A55,ШТАТ!$AK:$AK,4)</f>
        <v>12</v>
      </c>
      <c r="I55" s="1221">
        <f t="shared" si="3"/>
        <v>16</v>
      </c>
      <c r="J55" s="1219">
        <f>COUNTIFS(ШТАТ!AL:AL,A55,ШТАТ!AJ:AJ,"о")</f>
        <v>1</v>
      </c>
      <c r="K55" s="1219">
        <f>COUNTIFS(ШТАТ!AL:AL,A55,ШТАТ!AJ:AJ,"п")</f>
        <v>0</v>
      </c>
      <c r="L55" s="1219">
        <f>COUNTIFS(ШТАТ!$AL:$AL,$A55,ШТАТ!AK:AK,3,ШТАТ!AJ:AJ,"с/с")</f>
        <v>0</v>
      </c>
      <c r="M55" s="1219">
        <f>COUNTIFS(ШТАТ!$AL:$AL,$A55,ШТАТ!AK:AK,3,ШТАТ!AJ:AJ,"к/с")</f>
        <v>2</v>
      </c>
      <c r="N55" s="1222">
        <f t="shared" si="11"/>
        <v>2</v>
      </c>
      <c r="O55" s="1220">
        <f>COUNTIFS(ШТАТ!$AL:$AL,$A55,ШТАТ!AK:AK,4,ШТАТ!AJ:AJ,"с/с")</f>
        <v>5</v>
      </c>
      <c r="P55" s="1220">
        <f>COUNTIFS(ШТАТ!$AL:$AL,$A55,ШТАТ!AK:AK,4,ШТАТ!AJ:AJ,"к/с")</f>
        <v>4</v>
      </c>
      <c r="Q55" s="1222">
        <f t="shared" si="12"/>
        <v>9</v>
      </c>
      <c r="R55" s="1221">
        <f t="shared" si="13"/>
        <v>12</v>
      </c>
      <c r="S55" s="1223">
        <f t="shared" si="14"/>
        <v>0.75</v>
      </c>
      <c r="T55" s="1219">
        <f>COUNTIFS(ШТАТ!$AL:$AL,$A55,ШТАТ!$AJ:$AJ,"о",ШТАТ!$X:$X,"выполнение специальных задач")</f>
        <v>0</v>
      </c>
      <c r="U55" s="1219">
        <f>COUNTIFS(ШТАТ!$AL:$AL,$A55,ШТАТ!$AJ:$AJ,"п",ШТАТ!$X:$X,"выполнение специальных задач")</f>
        <v>0</v>
      </c>
      <c r="V55" s="1219">
        <f>COUNTIFS(ШТАТ!$AL:$AL,$A55,ШТАТ!$AK:$AK,3,ШТАТ!$AJ:$AJ,"с/с",ШТАТ!$X:$X,"выполнение специальных задач")</f>
        <v>0</v>
      </c>
      <c r="W55" s="1219">
        <f>COUNTIFS(ШТАТ!$AL:$AL,$A55,ШТАТ!$AK:$AK,3,ШТАТ!$AJ:$AJ,"к/с",ШТАТ!$X:$X,"выполнение специальных задач")</f>
        <v>0</v>
      </c>
      <c r="X55" s="1222">
        <f t="shared" si="4"/>
        <v>0</v>
      </c>
      <c r="Y55" s="1219">
        <f>COUNTIFS(ШТАТ!$AL:$AL,$A55,ШТАТ!$AK:$AK,4,ШТАТ!$AJ:$AJ,"с/с",ШТАТ!$X:$X,"выполнение специальных задач")</f>
        <v>0</v>
      </c>
      <c r="Z55" s="1219">
        <f>COUNTIFS(ШТАТ!$AL:$AL,$A55,ШТАТ!$AK:$AK,4,ШТАТ!$AJ:$AJ,"к/с",ШТАТ!$X:$X,"выполнение специальных задач")</f>
        <v>3</v>
      </c>
      <c r="AA55" s="1222">
        <f t="shared" si="5"/>
        <v>3</v>
      </c>
      <c r="AB55" s="1221">
        <f t="shared" si="15"/>
        <v>3</v>
      </c>
      <c r="AC55" s="1219"/>
      <c r="AD55" s="1219">
        <f>COUNTIFS(ШТАТ!$AL:$AL,$A55,ШТАТ!$AK:$AK,1,ШТАТ!$AJ:$AJ,"о",ШТАТ!$W:$W,"г. Белгород")</f>
        <v>0</v>
      </c>
      <c r="AE55" s="1219">
        <f>COUNTIFS(ШТАТ!$AL:$AL,$A55,ШТАТ!$AK:$AK,2,ШТАТ!$AJ:$AJ,"п",ШТАТ!$W:$W,"г. Белгород")</f>
        <v>0</v>
      </c>
      <c r="AF55" s="1219">
        <f>COUNTIFS(ШТАТ!$AL:$AL,$A55,ШТАТ!$AK:$AK,3,ШТАТ!$AJ:$AJ,"с/с",ШТАТ!$W:$W,"г. Белгород")</f>
        <v>0</v>
      </c>
      <c r="AG55" s="1219">
        <f>COUNTIFS(ШТАТ!$AL:$AL,$A55,ШТАТ!$AK:$AK,3,ШТАТ!$AJ:$AJ,"к/с",ШТАТ!$W:$W,"г. Белгород")</f>
        <v>0</v>
      </c>
      <c r="AH55" s="1222">
        <f t="shared" si="6"/>
        <v>0</v>
      </c>
      <c r="AI55" s="1219">
        <f>COUNTIFS(ШТАТ!$AL:$AL,$A55,ШТАТ!$AK:$AK,4,ШТАТ!$AJ:$AJ,"с/с",ШТАТ!$W:$W,"г. Белгород")</f>
        <v>0</v>
      </c>
      <c r="AJ55" s="1219">
        <f>COUNTIFS(ШТАТ!$AL:$AL,$A55,ШТАТ!$AK:$AK,4,ШТАТ!$AJ:$AJ,"к/с",ШТАТ!$W:$W,"г. Белгород")</f>
        <v>1</v>
      </c>
      <c r="AK55" s="1222">
        <f t="shared" si="7"/>
        <v>1</v>
      </c>
      <c r="AL55" s="1221">
        <f t="shared" si="16"/>
        <v>1</v>
      </c>
      <c r="AM55" s="1219">
        <f>COUNTIFS(ШТАТ!$AL:$AL,$A55,ШТАТ!$AK:$AK,1,ШТАТ!$AJ:$AJ,"о",ШТАТ!$U:$U,"")</f>
        <v>1</v>
      </c>
      <c r="AN55" s="1219">
        <f>COUNTIFS(ШТАТ!$AL:$AL,$A55,ШТАТ!$AK:$AK,2,ШТАТ!$AJ:$AJ,"п",ШТАТ!$U:$U,"")</f>
        <v>0</v>
      </c>
      <c r="AO55" s="1219">
        <f>COUNTIFS(ШТАТ!$AL:$AL,$A55,ШТАТ!$AK:$AK,3,ШТАТ!$AJ:$AJ,"с/с",ШТАТ!$U:$U,"")</f>
        <v>0</v>
      </c>
      <c r="AP55" s="1219">
        <f>COUNTIFS(ШТАТ!$AL:$AL,$A55,ШТАТ!$AK:$AK,3,ШТАТ!$AJ:$AJ,"к/с",ШТАТ!$U:$U,"")</f>
        <v>0</v>
      </c>
      <c r="AQ55" s="1222">
        <f t="shared" si="17"/>
        <v>0</v>
      </c>
      <c r="AR55" s="1219">
        <f>COUNTIFS(ШТАТ!$AL:$AL,$A55,ШТАТ!$AK:$AK,4,ШТАТ!$AJ:$AJ,"с/с",ШТАТ!$U:$U,"")</f>
        <v>3</v>
      </c>
      <c r="AS55" s="1219">
        <f>COUNTIFS(ШТАТ!$AL:$AL,$A55,ШТАТ!$AK:$AK,4,ШТАТ!$AJ:$AJ,"к/с",ШТАТ!$U:$U,"")</f>
        <v>0</v>
      </c>
      <c r="AT55" s="1222">
        <f t="shared" si="8"/>
        <v>3</v>
      </c>
      <c r="AU55" s="1221">
        <f t="shared" si="18"/>
        <v>4</v>
      </c>
      <c r="AV55" s="1219">
        <f>COUNTIFS(ШТАТ!$AL:$AL,$A55,ШТАТ!$U:$U,"госп")</f>
        <v>0</v>
      </c>
      <c r="AW55" s="1225">
        <f t="shared" si="9"/>
        <v>2</v>
      </c>
      <c r="AX55" s="1219">
        <f>COUNTIFS(ШТАТ!$AL:$AL,$A55,ШТАТ!$U:$U,"отпуск")</f>
        <v>0</v>
      </c>
      <c r="AY55" s="1219">
        <f>COUNTIFS(ШТАТ!$AL:$AL,$A55,ШТАТ!$U:$U,"соч")</f>
        <v>2</v>
      </c>
      <c r="AZ55" s="1219"/>
      <c r="BA55" s="1219">
        <f>COUNTIFS(ШТАТ!$AL:$AL,$A55,ШТАТ!$U:$U,"МП")</f>
        <v>0</v>
      </c>
      <c r="BB55" s="1226"/>
      <c r="BC55" s="1226"/>
      <c r="BD55" s="1219"/>
      <c r="BE55" s="1226"/>
      <c r="BF55" s="1226"/>
      <c r="BG55" s="1226"/>
      <c r="BH55" s="1226"/>
      <c r="BI55" s="1226"/>
      <c r="BJ55" s="1226"/>
      <c r="BK55" s="1226"/>
      <c r="BL55" s="1226"/>
      <c r="BM55" s="1226"/>
      <c r="BN55" s="1226"/>
      <c r="BO55" s="1226"/>
      <c r="BP55" s="1226"/>
      <c r="BQ55" s="1226"/>
      <c r="BR55" s="1226"/>
      <c r="BS55" s="1226"/>
      <c r="BT55" s="1226"/>
      <c r="BU55" s="1226"/>
      <c r="BV55" s="1226"/>
      <c r="BW55" s="1226"/>
      <c r="BX55" s="1226"/>
      <c r="BY55" s="1226"/>
      <c r="BZ55" s="1226"/>
      <c r="CA55" s="1226"/>
      <c r="CB55" s="1226"/>
      <c r="CC55" s="1226"/>
      <c r="CD55" s="1226"/>
      <c r="CE55" s="1226"/>
      <c r="CF55" s="1226"/>
      <c r="CG55" s="1226"/>
      <c r="CH55" s="1226"/>
      <c r="CI55" s="1226"/>
      <c r="CJ55" s="1226"/>
      <c r="CK55" s="1226"/>
      <c r="CL55" s="1226"/>
      <c r="CM55" s="1226"/>
      <c r="CN55" s="1226"/>
      <c r="CO55" s="1226"/>
      <c r="CP55" s="1226"/>
      <c r="CQ55" s="1226"/>
      <c r="CR55" s="1226"/>
      <c r="CS55" s="1226"/>
      <c r="CT55" s="1226"/>
      <c r="CU55" s="1226"/>
      <c r="CV55" s="1226"/>
      <c r="CW55" s="1226"/>
      <c r="CX55" s="1226"/>
      <c r="CY55" s="1226"/>
      <c r="CZ55" s="1226"/>
      <c r="DA55" s="1226"/>
      <c r="DB55" s="1226"/>
      <c r="DC55" s="1226"/>
      <c r="DD55" s="1226"/>
      <c r="DE55" s="1226"/>
      <c r="DF55" s="1226"/>
      <c r="DG55" s="1226"/>
      <c r="DH55" s="1226">
        <v>1</v>
      </c>
      <c r="DI55" s="1226"/>
      <c r="DJ55" s="1226"/>
      <c r="DK55" s="1226"/>
      <c r="DL55" s="1226"/>
      <c r="DM55" s="1226"/>
      <c r="DN55" s="1226"/>
      <c r="DO55" s="1226"/>
      <c r="DP55" s="1226"/>
      <c r="DQ55" s="1226"/>
      <c r="DR55" s="1226"/>
      <c r="DS55" s="1226"/>
      <c r="DT55" s="1226"/>
      <c r="DU55" s="1226"/>
      <c r="DV55" s="1226">
        <f>COUNTIFS(ШТАТ!$AN:$AN,"Урал-4320-31",ШТАТ!AL:AL,"Управление")</f>
        <v>0</v>
      </c>
      <c r="DW55" s="1226"/>
      <c r="DX55" s="1226"/>
      <c r="DY55" s="1226"/>
      <c r="DZ55" s="1226"/>
      <c r="EA55" s="1226"/>
      <c r="EB55" s="1226"/>
      <c r="EC55" s="1226"/>
      <c r="ED55" s="1226"/>
      <c r="EE55" s="1226"/>
      <c r="EF55" s="1226"/>
      <c r="EG55" s="1226"/>
      <c r="EH55" s="1226"/>
      <c r="EI55" s="1226"/>
      <c r="EJ55" s="1226"/>
      <c r="EK55" s="1226"/>
      <c r="EL55" s="1226"/>
      <c r="EM55" s="1226"/>
      <c r="EN55" s="1226"/>
      <c r="EO55" s="1226"/>
      <c r="EP55" s="1226"/>
      <c r="EQ55" s="1226"/>
      <c r="ER55" s="1226"/>
      <c r="ES55" s="1226"/>
      <c r="ET55" s="1226"/>
      <c r="EU55" s="1226"/>
      <c r="EV55" s="1226"/>
      <c r="EW55" s="1226"/>
      <c r="EX55" s="1226"/>
      <c r="EY55" s="1226"/>
      <c r="EZ55" s="1226"/>
      <c r="FA55" s="1226"/>
      <c r="FB55" s="1226"/>
      <c r="FC55" s="1226"/>
      <c r="FD55" s="1226"/>
      <c r="FE55" s="1226"/>
      <c r="FF55" s="1226"/>
      <c r="FG55" s="1226"/>
      <c r="FH55" s="1226">
        <v>1</v>
      </c>
      <c r="FI55" s="1226"/>
      <c r="FJ55" s="1226"/>
      <c r="FK55" s="1226"/>
      <c r="FL55" s="1226"/>
      <c r="FM55" s="1226"/>
      <c r="FN55" s="1226"/>
      <c r="FO55" s="1226"/>
      <c r="FP55" s="1226"/>
      <c r="FQ55" s="1226"/>
      <c r="FR55" s="1226"/>
    </row>
    <row r="56" spans="1:174" ht="33" x14ac:dyDescent="0.25">
      <c r="A56" s="1228" t="s">
        <v>4207</v>
      </c>
      <c r="B56" s="1228"/>
      <c r="C56" s="1275">
        <f>AU56</f>
        <v>5</v>
      </c>
      <c r="D56" s="1276" t="s">
        <v>4805</v>
      </c>
      <c r="E56" s="1219">
        <f>COUNTIFS(ШТАТ!$AL:$AL,'БЧС Дерябин'!$A56,ШТАТ!$AK:$AK,1)</f>
        <v>1</v>
      </c>
      <c r="F56" s="1219">
        <f>COUNTIFS(ШТАТ!$AL:$AL,'БЧС Дерябин'!$A56,ШТАТ!$AK:$AK,2)</f>
        <v>0</v>
      </c>
      <c r="G56" s="1219">
        <f>COUNTIFS(ШТАТ!$AL:$AL,'БЧС Дерябин'!$A56,ШТАТ!$AK:$AK,3)</f>
        <v>2</v>
      </c>
      <c r="H56" s="1219">
        <f>COUNTIFS(ШТАТ!$AL:$AL,'БЧС Дерябин'!$A56,ШТАТ!$AK:$AK,4)</f>
        <v>6</v>
      </c>
      <c r="I56" s="1221">
        <f t="shared" si="3"/>
        <v>9</v>
      </c>
      <c r="J56" s="1219">
        <f>COUNTIFS(ШТАТ!AL:AL,A56,ШТАТ!AJ:AJ,"о")</f>
        <v>1</v>
      </c>
      <c r="K56" s="1219">
        <f>COUNTIFS(ШТАТ!AL:AL,A56,ШТАТ!AJ:AJ,"п")</f>
        <v>0</v>
      </c>
      <c r="L56" s="1219">
        <f>COUNTIFS(ШТАТ!$AL:$AL,$A56,ШТАТ!AK:AK,3,ШТАТ!AJ:AJ,"с/с")</f>
        <v>0</v>
      </c>
      <c r="M56" s="1219">
        <f>COUNTIFS(ШТАТ!$AL:$AL,$A56,ШТАТ!AK:AK,3,ШТАТ!AJ:AJ,"к/с")</f>
        <v>0</v>
      </c>
      <c r="N56" s="1222">
        <f t="shared" si="11"/>
        <v>0</v>
      </c>
      <c r="O56" s="1220">
        <f>COUNTIFS(ШТАТ!$AL:$AL,$A56,ШТАТ!AK:AK,4,ШТАТ!AJ:AJ,"с/с")</f>
        <v>6</v>
      </c>
      <c r="P56" s="1220">
        <f>COUNTIFS(ШТАТ!$AL:$AL,$A56,ШТАТ!AK:AK,4,ШТАТ!AJ:AJ,"к/с")</f>
        <v>0</v>
      </c>
      <c r="Q56" s="1222">
        <f t="shared" si="12"/>
        <v>6</v>
      </c>
      <c r="R56" s="1221">
        <f t="shared" si="13"/>
        <v>7</v>
      </c>
      <c r="S56" s="1223">
        <f t="shared" si="14"/>
        <v>0.77777777777777779</v>
      </c>
      <c r="T56" s="1219">
        <f>COUNTIFS(ШТАТ!$AL:$AL,$A56,ШТАТ!$AJ:$AJ,"о",ШТАТ!$X:$X,"выполнение специальных задач")</f>
        <v>0</v>
      </c>
      <c r="U56" s="1219">
        <f>COUNTIFS(ШТАТ!$AL:$AL,$A56,ШТАТ!$AJ:$AJ,"п",ШТАТ!$X:$X,"выполнение специальных задач")</f>
        <v>0</v>
      </c>
      <c r="V56" s="1219">
        <f>COUNTIFS(ШТАТ!$AL:$AL,$A56,ШТАТ!$AK:$AK,3,ШТАТ!$AJ:$AJ,"с/с",ШТАТ!$X:$X,"выполнение специальных задач")</f>
        <v>0</v>
      </c>
      <c r="W56" s="1219">
        <f>COUNTIFS(ШТАТ!$AL:$AL,$A56,ШТАТ!$AK:$AK,3,ШТАТ!$AJ:$AJ,"к/с",ШТАТ!$X:$X,"выполнение специальных задач")</f>
        <v>0</v>
      </c>
      <c r="X56" s="1222">
        <f t="shared" si="4"/>
        <v>0</v>
      </c>
      <c r="Y56" s="1219">
        <f>COUNTIFS(ШТАТ!$AL:$AL,$A56,ШТАТ!$AK:$AK,4,ШТАТ!$AJ:$AJ,"с/с",ШТАТ!$X:$X,"выполнение специальных задач")</f>
        <v>0</v>
      </c>
      <c r="Z56" s="1219">
        <f>COUNTIFS(ШТАТ!$AL:$AL,$A56,ШТАТ!$AK:$AK,4,ШТАТ!$AJ:$AJ,"к/с",ШТАТ!$X:$X,"выполнение специальных задач")</f>
        <v>0</v>
      </c>
      <c r="AA56" s="1222">
        <f t="shared" si="5"/>
        <v>0</v>
      </c>
      <c r="AB56" s="1221">
        <f t="shared" si="15"/>
        <v>0</v>
      </c>
      <c r="AC56" s="1219"/>
      <c r="AD56" s="1219">
        <f>COUNTIFS(ШТАТ!$AL:$AL,$A56,ШТАТ!$AK:$AK,1,ШТАТ!$AJ:$AJ,"о",ШТАТ!$W:$W,"г. Белгород")</f>
        <v>1</v>
      </c>
      <c r="AE56" s="1219">
        <f>COUNTIFS(ШТАТ!$AL:$AL,$A56,ШТАТ!$AK:$AK,2,ШТАТ!$AJ:$AJ,"п",ШТАТ!$W:$W,"г. Белгород")</f>
        <v>0</v>
      </c>
      <c r="AF56" s="1219">
        <f>COUNTIFS(ШТАТ!$AL:$AL,$A56,ШТАТ!$AK:$AK,3,ШТАТ!$AJ:$AJ,"с/с",ШТАТ!$W:$W,"г. Белгород")</f>
        <v>0</v>
      </c>
      <c r="AG56" s="1219">
        <f>COUNTIFS(ШТАТ!$AL:$AL,$A56,ШТАТ!$AK:$AK,3,ШТАТ!$AJ:$AJ,"к/с",ШТАТ!$W:$W,"г. Белгород")</f>
        <v>0</v>
      </c>
      <c r="AH56" s="1222">
        <f t="shared" si="6"/>
        <v>0</v>
      </c>
      <c r="AI56" s="1219">
        <f>COUNTIFS(ШТАТ!$AL:$AL,$A56,ШТАТ!$AK:$AK,4,ШТАТ!$AJ:$AJ,"с/с",ШТАТ!$W:$W,"г. Белгород")</f>
        <v>0</v>
      </c>
      <c r="AJ56" s="1219">
        <f>COUNTIFS(ШТАТ!$AL:$AL,$A56,ШТАТ!$AK:$AK,4,ШТАТ!$AJ:$AJ,"к/с",ШТАТ!$W:$W,"г. Белгород")</f>
        <v>0</v>
      </c>
      <c r="AK56" s="1222">
        <f t="shared" si="7"/>
        <v>0</v>
      </c>
      <c r="AL56" s="1221">
        <f t="shared" si="16"/>
        <v>1</v>
      </c>
      <c r="AM56" s="1219">
        <f>COUNTIFS(ШТАТ!$AL:$AL,$A56,ШТАТ!$AK:$AK,1,ШТАТ!$AJ:$AJ,"о",ШТАТ!$U:$U,"")</f>
        <v>0</v>
      </c>
      <c r="AN56" s="1219">
        <f>COUNTIFS(ШТАТ!$AL:$AL,$A56,ШТАТ!$AK:$AK,2,ШТАТ!$AJ:$AJ,"п",ШТАТ!$U:$U,"")</f>
        <v>0</v>
      </c>
      <c r="AO56" s="1219">
        <f>COUNTIFS(ШТАТ!$AL:$AL,$A56,ШТАТ!$AK:$AK,3,ШТАТ!$AJ:$AJ,"с/с",ШТАТ!$U:$U,"")</f>
        <v>0</v>
      </c>
      <c r="AP56" s="1219">
        <f>COUNTIFS(ШТАТ!$AL:$AL,$A56,ШТАТ!$AK:$AK,3,ШТАТ!$AJ:$AJ,"к/с",ШТАТ!$U:$U,"")</f>
        <v>0</v>
      </c>
      <c r="AQ56" s="1222">
        <f t="shared" si="17"/>
        <v>0</v>
      </c>
      <c r="AR56" s="1219">
        <f>COUNTIFS(ШТАТ!$AL:$AL,$A56,ШТАТ!$AK:$AK,4,ШТАТ!$AJ:$AJ,"с/с",ШТАТ!$U:$U,"")</f>
        <v>5</v>
      </c>
      <c r="AS56" s="1219">
        <f>COUNTIFS(ШТАТ!$AL:$AL,$A56,ШТАТ!$AK:$AK,4,ШТАТ!$AJ:$AJ,"к/с",ШТАТ!$U:$U,"")</f>
        <v>0</v>
      </c>
      <c r="AT56" s="1222">
        <f t="shared" si="8"/>
        <v>5</v>
      </c>
      <c r="AU56" s="1221">
        <f t="shared" si="18"/>
        <v>5</v>
      </c>
      <c r="AV56" s="1219">
        <f>COUNTIFS(ШТАТ!$AL:$AL,$A56,ШТАТ!$U:$U,"госп")</f>
        <v>0</v>
      </c>
      <c r="AW56" s="1225">
        <f t="shared" si="9"/>
        <v>0</v>
      </c>
      <c r="AX56" s="1219">
        <f>COUNTIFS(ШТАТ!$AL:$AL,$A56,ШТАТ!$U:$U,"отпуск")</f>
        <v>1</v>
      </c>
      <c r="AY56" s="1219">
        <f>COUNTIFS(ШТАТ!$AL:$AL,$A56,ШТАТ!$U:$U,"соч")</f>
        <v>0</v>
      </c>
      <c r="AZ56" s="1219"/>
      <c r="BA56" s="1219">
        <f>COUNTIFS(ШТАТ!$AL:$AL,$A56,ШТАТ!$U:$U,"МП")</f>
        <v>0</v>
      </c>
      <c r="BB56" s="1226"/>
      <c r="BC56" s="1226"/>
      <c r="BD56" s="1219"/>
      <c r="BE56" s="1226"/>
      <c r="BF56" s="1226"/>
      <c r="BG56" s="1226"/>
      <c r="BH56" s="1226"/>
      <c r="BI56" s="1226"/>
      <c r="BJ56" s="1226"/>
      <c r="BK56" s="1226"/>
      <c r="BL56" s="1226"/>
      <c r="BM56" s="1226"/>
      <c r="BN56" s="1226"/>
      <c r="BO56" s="1226"/>
      <c r="BP56" s="1226"/>
      <c r="BQ56" s="1226"/>
      <c r="BR56" s="1226"/>
      <c r="BS56" s="1226"/>
      <c r="BT56" s="1226"/>
      <c r="BU56" s="1226"/>
      <c r="BV56" s="1226"/>
      <c r="BW56" s="1226"/>
      <c r="BX56" s="1226"/>
      <c r="BY56" s="1226"/>
      <c r="BZ56" s="1226"/>
      <c r="CA56" s="1226"/>
      <c r="CB56" s="1226"/>
      <c r="CC56" s="1226"/>
      <c r="CD56" s="1226"/>
      <c r="CE56" s="1226"/>
      <c r="CF56" s="1226"/>
      <c r="CG56" s="1226"/>
      <c r="CH56" s="1226"/>
      <c r="CI56" s="1226"/>
      <c r="CJ56" s="1226"/>
      <c r="CK56" s="1226"/>
      <c r="CL56" s="1226"/>
      <c r="CM56" s="1226"/>
      <c r="CN56" s="1226"/>
      <c r="CO56" s="1226"/>
      <c r="CP56" s="1226"/>
      <c r="CQ56" s="1226"/>
      <c r="CR56" s="1226"/>
      <c r="CS56" s="1226"/>
      <c r="CT56" s="1226"/>
      <c r="CU56" s="1226"/>
      <c r="CV56" s="1226"/>
      <c r="CW56" s="1226"/>
      <c r="CX56" s="1226"/>
      <c r="CY56" s="1226"/>
      <c r="CZ56" s="1226"/>
      <c r="DA56" s="1226"/>
      <c r="DB56" s="1226"/>
      <c r="DC56" s="1226"/>
      <c r="DD56" s="1226"/>
      <c r="DE56" s="1226"/>
      <c r="DF56" s="1226"/>
      <c r="DG56" s="1226"/>
      <c r="DH56" s="1226">
        <v>1</v>
      </c>
      <c r="DI56" s="1226"/>
      <c r="DJ56" s="1226"/>
      <c r="DK56" s="1226"/>
      <c r="DL56" s="1226"/>
      <c r="DM56" s="1226"/>
      <c r="DN56" s="1226"/>
      <c r="DO56" s="1226"/>
      <c r="DP56" s="1226"/>
      <c r="DQ56" s="1226"/>
      <c r="DR56" s="1226"/>
      <c r="DS56" s="1226"/>
      <c r="DT56" s="1226"/>
      <c r="DU56" s="1226"/>
      <c r="DV56" s="1226">
        <f>COUNTIFS(ШТАТ!$AN:$AN,"Урал-4320-31",ШТАТ!AL:AL,"Управление")</f>
        <v>0</v>
      </c>
      <c r="DW56" s="1226"/>
      <c r="DX56" s="1226"/>
      <c r="DY56" s="1226"/>
      <c r="DZ56" s="1226"/>
      <c r="EA56" s="1226"/>
      <c r="EB56" s="1226"/>
      <c r="EC56" s="1226"/>
      <c r="ED56" s="1226"/>
      <c r="EE56" s="1226"/>
      <c r="EF56" s="1226"/>
      <c r="EG56" s="1226"/>
      <c r="EH56" s="1226"/>
      <c r="EI56" s="1226"/>
      <c r="EJ56" s="1226"/>
      <c r="EK56" s="1226"/>
      <c r="EL56" s="1226"/>
      <c r="EM56" s="1226"/>
      <c r="EN56" s="1226"/>
      <c r="EO56" s="1226"/>
      <c r="EP56" s="1226"/>
      <c r="EQ56" s="1226"/>
      <c r="ER56" s="1226"/>
      <c r="ES56" s="1226"/>
      <c r="ET56" s="1226"/>
      <c r="EU56" s="1226"/>
      <c r="EV56" s="1226"/>
      <c r="EW56" s="1226"/>
      <c r="EX56" s="1226"/>
      <c r="EY56" s="1226"/>
      <c r="EZ56" s="1226"/>
      <c r="FA56" s="1226"/>
      <c r="FB56" s="1226"/>
      <c r="FC56" s="1226"/>
      <c r="FD56" s="1226"/>
      <c r="FE56" s="1226"/>
      <c r="FF56" s="1226"/>
      <c r="FG56" s="1226"/>
      <c r="FH56" s="1226">
        <v>1</v>
      </c>
      <c r="FI56" s="1226"/>
      <c r="FJ56" s="1226"/>
      <c r="FK56" s="1226"/>
      <c r="FL56" s="1226"/>
      <c r="FM56" s="1226"/>
      <c r="FN56" s="1226"/>
      <c r="FO56" s="1226"/>
      <c r="FP56" s="1226"/>
      <c r="FQ56" s="1226"/>
      <c r="FR56" s="1226"/>
    </row>
    <row r="57" spans="1:174" ht="33" x14ac:dyDescent="0.25">
      <c r="A57" s="1218" t="s">
        <v>547</v>
      </c>
      <c r="B57" s="1265" t="s">
        <v>4735</v>
      </c>
      <c r="C57" s="1265">
        <f>AU57</f>
        <v>19</v>
      </c>
      <c r="D57" s="1265" t="s">
        <v>4805</v>
      </c>
      <c r="E57" s="1219">
        <f>SUM(E53:E56)</f>
        <v>4</v>
      </c>
      <c r="F57" s="1219">
        <f>SUM(F53:F56)</f>
        <v>2</v>
      </c>
      <c r="G57" s="1219">
        <f>SUM(G53:G56)</f>
        <v>9</v>
      </c>
      <c r="H57" s="1219">
        <f>SUM(H53:H56)</f>
        <v>32</v>
      </c>
      <c r="I57" s="1221">
        <f t="shared" si="3"/>
        <v>47</v>
      </c>
      <c r="J57" s="1219">
        <f>SUM(J53:J56)</f>
        <v>4</v>
      </c>
      <c r="K57" s="1219">
        <f>SUM(K53:K56)</f>
        <v>2</v>
      </c>
      <c r="L57" s="1219">
        <f>SUM(L53:L56)</f>
        <v>0</v>
      </c>
      <c r="M57" s="1219">
        <f>SUM(M53:M56)</f>
        <v>6</v>
      </c>
      <c r="N57" s="1222">
        <f t="shared" si="11"/>
        <v>6</v>
      </c>
      <c r="O57" s="1219">
        <f>SUM(O53:O56)</f>
        <v>17</v>
      </c>
      <c r="P57" s="1219">
        <f>SUM(P53:P56)</f>
        <v>13</v>
      </c>
      <c r="Q57" s="1222">
        <f t="shared" si="12"/>
        <v>30</v>
      </c>
      <c r="R57" s="1221">
        <f t="shared" si="13"/>
        <v>42</v>
      </c>
      <c r="S57" s="1223">
        <f t="shared" si="14"/>
        <v>0.8936170212765957</v>
      </c>
      <c r="T57" s="1219">
        <f>SUM(T53:T56)</f>
        <v>0</v>
      </c>
      <c r="U57" s="1219">
        <f>SUM(U53:U56)</f>
        <v>0</v>
      </c>
      <c r="V57" s="1219">
        <f>SUM(V53:V56)</f>
        <v>0</v>
      </c>
      <c r="W57" s="1219">
        <f>SUM(W53:W56)</f>
        <v>0</v>
      </c>
      <c r="X57" s="1222">
        <f t="shared" si="4"/>
        <v>0</v>
      </c>
      <c r="Y57" s="1219">
        <f>SUM(Y53:Y56)</f>
        <v>0</v>
      </c>
      <c r="Z57" s="1219">
        <f>SUM(Z53:Z56)</f>
        <v>5</v>
      </c>
      <c r="AA57" s="1222">
        <f t="shared" si="5"/>
        <v>5</v>
      </c>
      <c r="AB57" s="1221">
        <f t="shared" si="15"/>
        <v>5</v>
      </c>
      <c r="AC57" s="1224">
        <f>AB57/R57</f>
        <v>0.11904761904761904</v>
      </c>
      <c r="AD57" s="1219">
        <f>SUM(AD53:AD56)</f>
        <v>1</v>
      </c>
      <c r="AE57" s="1219">
        <f>SUM(AE53:AE56)</f>
        <v>0</v>
      </c>
      <c r="AF57" s="1219">
        <f>SUM(AF53:AF56)</f>
        <v>0</v>
      </c>
      <c r="AG57" s="1219">
        <f>SUM(AG53:AG56)</f>
        <v>0</v>
      </c>
      <c r="AH57" s="1222">
        <f t="shared" si="6"/>
        <v>0</v>
      </c>
      <c r="AI57" s="1219">
        <f>SUM(AI53:AI56)</f>
        <v>0</v>
      </c>
      <c r="AJ57" s="1219">
        <f>SUM(AJ53:AJ56)</f>
        <v>6</v>
      </c>
      <c r="AK57" s="1222">
        <f t="shared" si="7"/>
        <v>6</v>
      </c>
      <c r="AL57" s="1221">
        <f t="shared" si="16"/>
        <v>7</v>
      </c>
      <c r="AM57" s="1219">
        <f>SUM(AM53:AM56)</f>
        <v>3</v>
      </c>
      <c r="AN57" s="1219">
        <f>SUM(AN53:AN56)</f>
        <v>1</v>
      </c>
      <c r="AO57" s="1219">
        <f>SUM(AO53:AO56)</f>
        <v>0</v>
      </c>
      <c r="AP57" s="1219">
        <f>SUM(AP53:AP56)</f>
        <v>2</v>
      </c>
      <c r="AQ57" s="1222">
        <f t="shared" si="17"/>
        <v>2</v>
      </c>
      <c r="AR57" s="1219">
        <f>SUM(AR53:AR56)</f>
        <v>12</v>
      </c>
      <c r="AS57" s="1219">
        <f>SUM(AS53:AS56)</f>
        <v>1</v>
      </c>
      <c r="AT57" s="1222">
        <f t="shared" si="8"/>
        <v>13</v>
      </c>
      <c r="AU57" s="1221">
        <f t="shared" si="18"/>
        <v>19</v>
      </c>
      <c r="AV57" s="1219">
        <f>SUM(AV53:AV56)</f>
        <v>2</v>
      </c>
      <c r="AW57" s="1225">
        <f t="shared" si="9"/>
        <v>4</v>
      </c>
      <c r="AX57" s="1219">
        <f>SUM(AX53:AX56)</f>
        <v>2</v>
      </c>
      <c r="AY57" s="1219">
        <f>SUM(AY53:AY56)</f>
        <v>3</v>
      </c>
      <c r="AZ57" s="1219">
        <f>SUM(AZ53:AZ56)</f>
        <v>0</v>
      </c>
      <c r="BA57" s="1219">
        <f>SUM(BA53:BA56)</f>
        <v>0</v>
      </c>
      <c r="BB57" s="1226">
        <v>5</v>
      </c>
      <c r="BC57" s="1226"/>
      <c r="BD57" s="1219">
        <v>0</v>
      </c>
      <c r="BE57" s="1226"/>
      <c r="BF57" s="1226"/>
      <c r="BG57" s="1226"/>
      <c r="BH57" s="1226"/>
      <c r="BI57" s="1226"/>
      <c r="BJ57" s="1226"/>
      <c r="BK57" s="1226"/>
      <c r="BL57" s="1226"/>
      <c r="BM57" s="1226"/>
      <c r="BN57" s="1226"/>
      <c r="BO57" s="1226"/>
      <c r="BP57" s="1226"/>
      <c r="BQ57" s="1226"/>
      <c r="BR57" s="1226"/>
      <c r="BS57" s="1226"/>
      <c r="BT57" s="1226"/>
      <c r="BU57" s="1226"/>
      <c r="BV57" s="1226"/>
      <c r="BW57" s="1226"/>
      <c r="BX57" s="1226"/>
      <c r="BY57" s="1226"/>
      <c r="BZ57" s="1226"/>
      <c r="CA57" s="1226"/>
      <c r="CB57" s="1226"/>
      <c r="CC57" s="1226"/>
      <c r="CD57" s="1226"/>
      <c r="CE57" s="1226"/>
      <c r="CF57" s="1226"/>
      <c r="CG57" s="1226"/>
      <c r="CH57" s="1226"/>
      <c r="CI57" s="1226"/>
      <c r="CJ57" s="1226"/>
      <c r="CK57" s="1226"/>
      <c r="CL57" s="1226"/>
      <c r="CM57" s="1226"/>
      <c r="CN57" s="1226"/>
      <c r="CO57" s="1226"/>
      <c r="CP57" s="1226"/>
      <c r="CQ57" s="1226">
        <v>6</v>
      </c>
      <c r="CR57" s="1226"/>
      <c r="CS57" s="1226"/>
      <c r="CT57" s="1226"/>
      <c r="CU57" s="1226"/>
      <c r="CV57" s="1226"/>
      <c r="CW57" s="1226"/>
      <c r="CX57" s="1226"/>
      <c r="CY57" s="1226"/>
      <c r="CZ57" s="1226"/>
      <c r="DA57" s="1226"/>
      <c r="DB57" s="1226"/>
      <c r="DC57" s="1219">
        <f>SUM(DC53:DC56)</f>
        <v>0</v>
      </c>
      <c r="DD57" s="1219">
        <f t="shared" ref="DD57:FO57" si="29">SUM(DD53:DD56)</f>
        <v>0</v>
      </c>
      <c r="DE57" s="1219">
        <f t="shared" si="29"/>
        <v>0</v>
      </c>
      <c r="DF57" s="1219">
        <f t="shared" si="29"/>
        <v>0</v>
      </c>
      <c r="DG57" s="1219">
        <f t="shared" si="29"/>
        <v>0</v>
      </c>
      <c r="DH57" s="1219">
        <f t="shared" si="29"/>
        <v>6</v>
      </c>
      <c r="DI57" s="1219">
        <f t="shared" si="29"/>
        <v>0</v>
      </c>
      <c r="DJ57" s="1219">
        <f t="shared" si="29"/>
        <v>0</v>
      </c>
      <c r="DK57" s="1219">
        <f t="shared" si="29"/>
        <v>0</v>
      </c>
      <c r="DL57" s="1219">
        <f t="shared" si="29"/>
        <v>0</v>
      </c>
      <c r="DM57" s="1219">
        <f t="shared" si="29"/>
        <v>0</v>
      </c>
      <c r="DN57" s="1219">
        <f t="shared" si="29"/>
        <v>0</v>
      </c>
      <c r="DO57" s="1219">
        <f t="shared" si="29"/>
        <v>0</v>
      </c>
      <c r="DP57" s="1219">
        <f t="shared" si="29"/>
        <v>0</v>
      </c>
      <c r="DQ57" s="1219">
        <f t="shared" si="29"/>
        <v>0</v>
      </c>
      <c r="DR57" s="1219">
        <f t="shared" si="29"/>
        <v>0</v>
      </c>
      <c r="DS57" s="1219">
        <f t="shared" si="29"/>
        <v>0</v>
      </c>
      <c r="DT57" s="1219">
        <f t="shared" si="29"/>
        <v>0</v>
      </c>
      <c r="DU57" s="1219">
        <f t="shared" si="29"/>
        <v>0</v>
      </c>
      <c r="DV57" s="1219">
        <f t="shared" si="29"/>
        <v>0</v>
      </c>
      <c r="DW57" s="1219">
        <f t="shared" si="29"/>
        <v>0</v>
      </c>
      <c r="DX57" s="1219">
        <f t="shared" si="29"/>
        <v>0</v>
      </c>
      <c r="DY57" s="1219">
        <f t="shared" si="29"/>
        <v>0</v>
      </c>
      <c r="DZ57" s="1219">
        <f t="shared" si="29"/>
        <v>0</v>
      </c>
      <c r="EA57" s="1219">
        <f t="shared" si="29"/>
        <v>0</v>
      </c>
      <c r="EB57" s="1219">
        <f t="shared" si="29"/>
        <v>0</v>
      </c>
      <c r="EC57" s="1219">
        <f t="shared" si="29"/>
        <v>0</v>
      </c>
      <c r="ED57" s="1219">
        <f t="shared" si="29"/>
        <v>0</v>
      </c>
      <c r="EE57" s="1219">
        <f t="shared" si="29"/>
        <v>0</v>
      </c>
      <c r="EF57" s="1219">
        <f t="shared" si="29"/>
        <v>0</v>
      </c>
      <c r="EG57" s="1219">
        <f t="shared" si="29"/>
        <v>0</v>
      </c>
      <c r="EH57" s="1219">
        <f t="shared" si="29"/>
        <v>0</v>
      </c>
      <c r="EI57" s="1219">
        <f t="shared" si="29"/>
        <v>0</v>
      </c>
      <c r="EJ57" s="1219">
        <f t="shared" si="29"/>
        <v>0</v>
      </c>
      <c r="EK57" s="1219">
        <f t="shared" si="29"/>
        <v>0</v>
      </c>
      <c r="EL57" s="1219">
        <f t="shared" si="29"/>
        <v>0</v>
      </c>
      <c r="EM57" s="1219">
        <f t="shared" si="29"/>
        <v>0</v>
      </c>
      <c r="EN57" s="1219">
        <f t="shared" si="29"/>
        <v>0</v>
      </c>
      <c r="EO57" s="1219">
        <f t="shared" si="29"/>
        <v>0</v>
      </c>
      <c r="EP57" s="1219">
        <f t="shared" si="29"/>
        <v>0</v>
      </c>
      <c r="EQ57" s="1219">
        <f t="shared" si="29"/>
        <v>0</v>
      </c>
      <c r="ER57" s="1219">
        <f t="shared" si="29"/>
        <v>0</v>
      </c>
      <c r="ES57" s="1219">
        <f t="shared" si="29"/>
        <v>0</v>
      </c>
      <c r="ET57" s="1219">
        <f t="shared" si="29"/>
        <v>0</v>
      </c>
      <c r="EU57" s="1219">
        <f t="shared" si="29"/>
        <v>0</v>
      </c>
      <c r="EV57" s="1219">
        <f t="shared" si="29"/>
        <v>0</v>
      </c>
      <c r="EW57" s="1219">
        <f t="shared" si="29"/>
        <v>0</v>
      </c>
      <c r="EX57" s="1219">
        <f t="shared" si="29"/>
        <v>0</v>
      </c>
      <c r="EY57" s="1219">
        <f t="shared" si="29"/>
        <v>0</v>
      </c>
      <c r="EZ57" s="1219">
        <f t="shared" si="29"/>
        <v>0</v>
      </c>
      <c r="FA57" s="1219">
        <f t="shared" si="29"/>
        <v>0</v>
      </c>
      <c r="FB57" s="1219">
        <f t="shared" si="29"/>
        <v>0</v>
      </c>
      <c r="FC57" s="1219">
        <f t="shared" si="29"/>
        <v>0</v>
      </c>
      <c r="FD57" s="1219">
        <f t="shared" si="29"/>
        <v>0</v>
      </c>
      <c r="FE57" s="1219">
        <f t="shared" si="29"/>
        <v>0</v>
      </c>
      <c r="FF57" s="1219">
        <f t="shared" si="29"/>
        <v>0</v>
      </c>
      <c r="FG57" s="1219">
        <f t="shared" si="29"/>
        <v>0</v>
      </c>
      <c r="FH57" s="1219">
        <f t="shared" si="29"/>
        <v>3</v>
      </c>
      <c r="FI57" s="1219">
        <f t="shared" si="29"/>
        <v>0</v>
      </c>
      <c r="FJ57" s="1219">
        <f t="shared" si="29"/>
        <v>0</v>
      </c>
      <c r="FK57" s="1219">
        <f t="shared" si="29"/>
        <v>0</v>
      </c>
      <c r="FL57" s="1219">
        <f t="shared" si="29"/>
        <v>0</v>
      </c>
      <c r="FM57" s="1219">
        <f t="shared" si="29"/>
        <v>0</v>
      </c>
      <c r="FN57" s="1219">
        <f t="shared" si="29"/>
        <v>0</v>
      </c>
      <c r="FO57" s="1219">
        <f t="shared" si="29"/>
        <v>0</v>
      </c>
      <c r="FP57" s="1219">
        <f t="shared" ref="FP57:FR57" si="30">SUM(FP53:FP56)</f>
        <v>0</v>
      </c>
      <c r="FQ57" s="1219">
        <f t="shared" si="30"/>
        <v>0</v>
      </c>
      <c r="FR57" s="1219">
        <f t="shared" si="30"/>
        <v>0</v>
      </c>
    </row>
    <row r="58" spans="1:174" ht="33" x14ac:dyDescent="0.25">
      <c r="A58" s="1228" t="s">
        <v>4198</v>
      </c>
      <c r="B58" s="1228"/>
      <c r="C58" s="1275">
        <f t="shared" ref="C58:C63" si="31">AL58</f>
        <v>2</v>
      </c>
      <c r="D58" s="1275" t="s">
        <v>56</v>
      </c>
      <c r="E58" s="1219">
        <f>COUNTIFS(ШТАТ!$AL:$AL,'БЧС Дерябин'!$A58,ШТАТ!$AK:$AK,1)</f>
        <v>1</v>
      </c>
      <c r="F58" s="1219">
        <f>COUNTIFS(ШТАТ!$AL:$AL,'БЧС Дерябин'!$A58,ШТАТ!$AK:$AK,2)</f>
        <v>1</v>
      </c>
      <c r="G58" s="1219">
        <f>COUNTIFS(ШТАТ!$AL:$AL,'БЧС Дерябин'!$A58,ШТАТ!$AK:$AK,3)</f>
        <v>0</v>
      </c>
      <c r="H58" s="1219">
        <f>COUNTIFS(ШТАТ!$AL:$AL,'БЧС Дерябин'!$A58,ШТАТ!$AK:$AK,4)</f>
        <v>0</v>
      </c>
      <c r="I58" s="1221">
        <f t="shared" si="3"/>
        <v>2</v>
      </c>
      <c r="J58" s="1219">
        <f>COUNTIFS(ШТАТ!AL:AL,A58,ШТАТ!AJ:AJ,"о")</f>
        <v>1</v>
      </c>
      <c r="K58" s="1219">
        <f>COUNTIFS(ШТАТ!AL:AL,A58,ШТАТ!AJ:AJ,"п")</f>
        <v>1</v>
      </c>
      <c r="L58" s="1219">
        <f>COUNTIFS(ШТАТ!$AL:$AL,$A58,ШТАТ!AK:AK,3,ШТАТ!AJ:AJ,"с/с")</f>
        <v>0</v>
      </c>
      <c r="M58" s="1219">
        <f>COUNTIFS(ШТАТ!$AL:$AL,$A58,ШТАТ!AK:AK,3,ШТАТ!AJ:AJ,"к/с")</f>
        <v>0</v>
      </c>
      <c r="N58" s="1222">
        <f t="shared" si="11"/>
        <v>0</v>
      </c>
      <c r="O58" s="1220">
        <f>COUNTIFS(ШТАТ!$AL:$AL,$A58,ШТАТ!AK:AK,4,ШТАТ!AJ:AJ,"с/с")</f>
        <v>0</v>
      </c>
      <c r="P58" s="1220">
        <f>COUNTIFS(ШТАТ!$AL:$AL,$A58,ШТАТ!AK:AK,4,ШТАТ!AJ:AJ,"к/с")</f>
        <v>0</v>
      </c>
      <c r="Q58" s="1222">
        <f t="shared" si="12"/>
        <v>0</v>
      </c>
      <c r="R58" s="1221">
        <f t="shared" si="13"/>
        <v>2</v>
      </c>
      <c r="S58" s="1223">
        <f t="shared" si="14"/>
        <v>1</v>
      </c>
      <c r="T58" s="1219">
        <f>COUNTIFS(ШТАТ!$AL:$AL,$A58,ШТАТ!$AJ:$AJ,"о",ШТАТ!$X:$X,"выполнение специальных задач")</f>
        <v>0</v>
      </c>
      <c r="U58" s="1219">
        <f>COUNTIFS(ШТАТ!$AL:$AL,$A58,ШТАТ!$AJ:$AJ,"п",ШТАТ!$X:$X,"выполнение специальных задач")</f>
        <v>0</v>
      </c>
      <c r="V58" s="1219">
        <f>COUNTIFS(ШТАТ!$AL:$AL,$A58,ШТАТ!$AK:$AK,3,ШТАТ!$AJ:$AJ,"с/с",ШТАТ!$X:$X,"выполнение специальных задач")</f>
        <v>0</v>
      </c>
      <c r="W58" s="1219">
        <f>COUNTIFS(ШТАТ!$AL:$AL,$A58,ШТАТ!$AK:$AK,3,ШТАТ!$AJ:$AJ,"к/с",ШТАТ!$X:$X,"выполнение специальных задач")</f>
        <v>0</v>
      </c>
      <c r="X58" s="1222">
        <f t="shared" si="4"/>
        <v>0</v>
      </c>
      <c r="Y58" s="1219">
        <f>COUNTIFS(ШТАТ!$AL:$AL,$A58,ШТАТ!$AK:$AK,4,ШТАТ!$AJ:$AJ,"с/с",ШТАТ!$X:$X,"выполнение специальных задач")</f>
        <v>0</v>
      </c>
      <c r="Z58" s="1219">
        <f>COUNTIFS(ШТАТ!$AL:$AL,$A58,ШТАТ!$AK:$AK,4,ШТАТ!$AJ:$AJ,"к/с",ШТАТ!$X:$X,"выполнение специальных задач")</f>
        <v>0</v>
      </c>
      <c r="AA58" s="1222">
        <f t="shared" si="5"/>
        <v>0</v>
      </c>
      <c r="AB58" s="1221">
        <f t="shared" si="15"/>
        <v>0</v>
      </c>
      <c r="AC58" s="1224"/>
      <c r="AD58" s="1219">
        <f>COUNTIFS(ШТАТ!$AL:$AL,$A58,ШТАТ!$AK:$AK,1,ШТАТ!$AJ:$AJ,"о",ШТАТ!$W:$W,"г. Белгород")</f>
        <v>1</v>
      </c>
      <c r="AE58" s="1219">
        <f>COUNTIFS(ШТАТ!$AL:$AL,$A58,ШТАТ!$AK:$AK,2,ШТАТ!$AJ:$AJ,"п",ШТАТ!$W:$W,"г. Белгород")</f>
        <v>1</v>
      </c>
      <c r="AF58" s="1219">
        <f>COUNTIFS(ШТАТ!$AL:$AL,$A58,ШТАТ!$AK:$AK,3,ШТАТ!$AJ:$AJ,"с/с",ШТАТ!$W:$W,"г. Белгород")</f>
        <v>0</v>
      </c>
      <c r="AG58" s="1219">
        <f>COUNTIFS(ШТАТ!$AL:$AL,$A58,ШТАТ!$AK:$AK,3,ШТАТ!$AJ:$AJ,"к/с",ШТАТ!$W:$W,"г. Белгород")</f>
        <v>0</v>
      </c>
      <c r="AH58" s="1222">
        <f t="shared" si="6"/>
        <v>0</v>
      </c>
      <c r="AI58" s="1219">
        <f>COUNTIFS(ШТАТ!$AL:$AL,$A58,ШТАТ!$AK:$AK,4,ШТАТ!$AJ:$AJ,"с/с",ШТАТ!$W:$W,"г. Белгород")</f>
        <v>0</v>
      </c>
      <c r="AJ58" s="1219">
        <f>COUNTIFS(ШТАТ!$AL:$AL,$A58,ШТАТ!$AK:$AK,4,ШТАТ!$AJ:$AJ,"к/с",ШТАТ!$W:$W,"г. Белгород")</f>
        <v>0</v>
      </c>
      <c r="AK58" s="1222">
        <f t="shared" si="7"/>
        <v>0</v>
      </c>
      <c r="AL58" s="1221">
        <f t="shared" si="16"/>
        <v>2</v>
      </c>
      <c r="AM58" s="1219">
        <f>COUNTIFS(ШТАТ!$AL:$AL,$A58,ШТАТ!$AK:$AK,1,ШТАТ!$AJ:$AJ,"о",ШТАТ!$U:$U,"")</f>
        <v>0</v>
      </c>
      <c r="AN58" s="1219">
        <f>COUNTIFS(ШТАТ!$AL:$AL,$A58,ШТАТ!$AK:$AK,2,ШТАТ!$AJ:$AJ,"п",ШТАТ!$U:$U,"")</f>
        <v>0</v>
      </c>
      <c r="AO58" s="1219">
        <f>COUNTIFS(ШТАТ!$AL:$AL,$A58,ШТАТ!$AK:$AK,3,ШТАТ!$AJ:$AJ,"с/с",ШТАТ!$U:$U,"")</f>
        <v>0</v>
      </c>
      <c r="AP58" s="1219">
        <f>COUNTIFS(ШТАТ!$AL:$AL,$A58,ШТАТ!$AK:$AK,3,ШТАТ!$AJ:$AJ,"к/с",ШТАТ!$U:$U,"")</f>
        <v>0</v>
      </c>
      <c r="AQ58" s="1222">
        <f t="shared" si="17"/>
        <v>0</v>
      </c>
      <c r="AR58" s="1219">
        <f>COUNTIFS(ШТАТ!$AL:$AL,$A58,ШТАТ!$AK:$AK,4,ШТАТ!$AJ:$AJ,"с/с",ШТАТ!$U:$U,"")</f>
        <v>0</v>
      </c>
      <c r="AS58" s="1219">
        <f>COUNTIFS(ШТАТ!$AL:$AL,$A58,ШТАТ!$AK:$AK,4,ШТАТ!$AJ:$AJ,"к/с",ШТАТ!$U:$U,"")</f>
        <v>0</v>
      </c>
      <c r="AT58" s="1222">
        <f t="shared" si="8"/>
        <v>0</v>
      </c>
      <c r="AU58" s="1221">
        <f t="shared" si="18"/>
        <v>0</v>
      </c>
      <c r="AV58" s="1219">
        <f>COUNTIFS(ШТАТ!$AL:$AL,$A58,ШТАТ!$U:$U,"госп")</f>
        <v>0</v>
      </c>
      <c r="AW58" s="1225">
        <f t="shared" si="9"/>
        <v>0</v>
      </c>
      <c r="AX58" s="1219">
        <f>COUNTIFS(ШТАТ!$AL:$AL,$A58,ШТАТ!$U:$U,"отпуск")</f>
        <v>0</v>
      </c>
      <c r="AY58" s="1219">
        <f>COUNTIFS(ШТАТ!$AL:$AL,$A58,ШТАТ!$U:$U,"соч")</f>
        <v>0</v>
      </c>
      <c r="AZ58" s="1225"/>
      <c r="BA58" s="1219">
        <f>COUNTIFS(ШТАТ!$AL:$AL,$A58,ШТАТ!$U:$U,"МП")</f>
        <v>0</v>
      </c>
      <c r="BB58" s="1226"/>
      <c r="BC58" s="1226"/>
      <c r="BD58" s="1219"/>
      <c r="BE58" s="1226"/>
      <c r="BF58" s="1226"/>
      <c r="BG58" s="1226"/>
      <c r="BH58" s="1226"/>
      <c r="BI58" s="1226"/>
      <c r="BJ58" s="1226"/>
      <c r="BK58" s="1226"/>
      <c r="BL58" s="1226"/>
      <c r="BM58" s="1226"/>
      <c r="BN58" s="1226"/>
      <c r="BO58" s="1226"/>
      <c r="BP58" s="1226"/>
      <c r="BQ58" s="1226"/>
      <c r="BR58" s="1226"/>
      <c r="BS58" s="1226"/>
      <c r="BT58" s="1226"/>
      <c r="BU58" s="1226"/>
      <c r="BV58" s="1226"/>
      <c r="BW58" s="1226"/>
      <c r="BX58" s="1226"/>
      <c r="BY58" s="1226"/>
      <c r="BZ58" s="1226"/>
      <c r="CA58" s="1226"/>
      <c r="CB58" s="1226"/>
      <c r="CC58" s="1226"/>
      <c r="CD58" s="1226"/>
      <c r="CE58" s="1226"/>
      <c r="CF58" s="1226"/>
      <c r="CG58" s="1226"/>
      <c r="CH58" s="1226"/>
      <c r="CI58" s="1226"/>
      <c r="CJ58" s="1226"/>
      <c r="CK58" s="1226"/>
      <c r="CL58" s="1226"/>
      <c r="CM58" s="1226"/>
      <c r="CN58" s="1226"/>
      <c r="CO58" s="1226"/>
      <c r="CP58" s="1226"/>
      <c r="CQ58" s="1226"/>
      <c r="CR58" s="1226"/>
      <c r="CS58" s="1226"/>
      <c r="CT58" s="1226"/>
      <c r="CU58" s="1226"/>
      <c r="CV58" s="1226"/>
      <c r="CW58" s="1226"/>
      <c r="CX58" s="1226"/>
      <c r="CY58" s="1226"/>
      <c r="CZ58" s="1226"/>
      <c r="DA58" s="1226"/>
      <c r="DB58" s="1226"/>
      <c r="DC58" s="1226"/>
      <c r="DD58" s="1226"/>
      <c r="DE58" s="1226"/>
      <c r="DF58" s="1226"/>
      <c r="DG58" s="1226"/>
      <c r="DH58" s="1226"/>
      <c r="DI58" s="1226"/>
      <c r="DJ58" s="1226"/>
      <c r="DK58" s="1226"/>
      <c r="DL58" s="1226"/>
      <c r="DM58" s="1226"/>
      <c r="DN58" s="1226"/>
      <c r="DO58" s="1226"/>
      <c r="DP58" s="1226"/>
      <c r="DQ58" s="1226"/>
      <c r="DR58" s="1226"/>
      <c r="DS58" s="1226"/>
      <c r="DT58" s="1226"/>
      <c r="DU58" s="1226"/>
      <c r="DV58" s="1226">
        <f>COUNTIFS(ШТАТ!$AN:$AN,"Урал-4320-31",ШТАТ!AL:AL,"Управление")</f>
        <v>0</v>
      </c>
      <c r="DW58" s="1226"/>
      <c r="DX58" s="1226"/>
      <c r="DY58" s="1226"/>
      <c r="DZ58" s="1226"/>
      <c r="EA58" s="1226"/>
      <c r="EB58" s="1226"/>
      <c r="EC58" s="1226"/>
      <c r="ED58" s="1226"/>
      <c r="EE58" s="1226"/>
      <c r="EF58" s="1226"/>
      <c r="EG58" s="1226"/>
      <c r="EH58" s="1226"/>
      <c r="EI58" s="1226"/>
      <c r="EJ58" s="1226"/>
      <c r="EK58" s="1226"/>
      <c r="EL58" s="1226"/>
      <c r="EM58" s="1226"/>
      <c r="EN58" s="1226"/>
      <c r="EO58" s="1226"/>
      <c r="EP58" s="1226"/>
      <c r="EQ58" s="1226"/>
      <c r="ER58" s="1226"/>
      <c r="ES58" s="1226"/>
      <c r="ET58" s="1226"/>
      <c r="EU58" s="1226"/>
      <c r="EV58" s="1226"/>
      <c r="EW58" s="1226"/>
      <c r="EX58" s="1226"/>
      <c r="EY58" s="1226"/>
      <c r="EZ58" s="1226"/>
      <c r="FA58" s="1226"/>
      <c r="FB58" s="1226"/>
      <c r="FC58" s="1226"/>
      <c r="FD58" s="1226"/>
      <c r="FE58" s="1226"/>
      <c r="FF58" s="1226"/>
      <c r="FG58" s="1226"/>
      <c r="FH58" s="1226"/>
      <c r="FI58" s="1226"/>
      <c r="FJ58" s="1226"/>
      <c r="FK58" s="1226"/>
      <c r="FL58" s="1226"/>
      <c r="FM58" s="1226"/>
      <c r="FN58" s="1226"/>
      <c r="FO58" s="1226"/>
      <c r="FP58" s="1226"/>
      <c r="FQ58" s="1226"/>
      <c r="FR58" s="1226"/>
    </row>
    <row r="59" spans="1:174" ht="33" x14ac:dyDescent="0.25">
      <c r="A59" s="1228" t="s">
        <v>4199</v>
      </c>
      <c r="B59" s="1228"/>
      <c r="C59" s="1275">
        <f t="shared" si="31"/>
        <v>13</v>
      </c>
      <c r="D59" s="1275" t="s">
        <v>56</v>
      </c>
      <c r="E59" s="1219">
        <f>COUNTIFS(ШТАТ!$AL:$AL,'БЧС Дерябин'!$A59,ШТАТ!$AK:$AK,1)</f>
        <v>1</v>
      </c>
      <c r="F59" s="1219">
        <f>COUNTIFS(ШТАТ!$AL:$AL,'БЧС Дерябин'!$A59,ШТАТ!$AK:$AK,2)</f>
        <v>0</v>
      </c>
      <c r="G59" s="1219">
        <f>COUNTIFS(ШТАТ!$AL:$AL,'БЧС Дерябин'!$A59,ШТАТ!$AK:$AK,3)</f>
        <v>3</v>
      </c>
      <c r="H59" s="1219">
        <f>COUNTIFS(ШТАТ!$AL:$AL,'БЧС Дерябин'!$A59,ШТАТ!$AK:$AK,4)</f>
        <v>9</v>
      </c>
      <c r="I59" s="1221">
        <f t="shared" si="3"/>
        <v>13</v>
      </c>
      <c r="J59" s="1219">
        <f>COUNTIFS(ШТАТ!AL:AL,A59,ШТАТ!AJ:AJ,"о")</f>
        <v>1</v>
      </c>
      <c r="K59" s="1219">
        <f>COUNTIFS(ШТАТ!AL:AL,A59,ШТАТ!AJ:AJ,"п")</f>
        <v>0</v>
      </c>
      <c r="L59" s="1219">
        <f>COUNTIFS(ШТАТ!$AL:$AL,$A59,ШТАТ!AK:AK,3,ШТАТ!AJ:AJ,"с/с")</f>
        <v>0</v>
      </c>
      <c r="M59" s="1219">
        <f>COUNTIFS(ШТАТ!$AL:$AL,$A59,ШТАТ!AK:AK,3,ШТАТ!AJ:AJ,"к/с")</f>
        <v>3</v>
      </c>
      <c r="N59" s="1222">
        <f t="shared" si="11"/>
        <v>3</v>
      </c>
      <c r="O59" s="1220">
        <f>COUNTIFS(ШТАТ!$AL:$AL,$A59,ШТАТ!AK:AK,4,ШТАТ!AJ:AJ,"с/с")</f>
        <v>0</v>
      </c>
      <c r="P59" s="1220">
        <f>COUNTIFS(ШТАТ!$AL:$AL,$A59,ШТАТ!AK:AK,4,ШТАТ!AJ:AJ,"к/с")</f>
        <v>9</v>
      </c>
      <c r="Q59" s="1222">
        <f t="shared" si="12"/>
        <v>9</v>
      </c>
      <c r="R59" s="1221">
        <f t="shared" si="13"/>
        <v>13</v>
      </c>
      <c r="S59" s="1223">
        <f t="shared" si="14"/>
        <v>1</v>
      </c>
      <c r="T59" s="1219">
        <f>COUNTIFS(ШТАТ!$AL:$AL,$A59,ШТАТ!$AJ:$AJ,"о",ШТАТ!$X:$X,"выполнение специальных задач")</f>
        <v>0</v>
      </c>
      <c r="U59" s="1219">
        <f>COUNTIFS(ШТАТ!$AL:$AL,$A59,ШТАТ!$AJ:$AJ,"п",ШТАТ!$X:$X,"выполнение специальных задач")</f>
        <v>0</v>
      </c>
      <c r="V59" s="1219">
        <f>COUNTIFS(ШТАТ!$AL:$AL,$A59,ШТАТ!$AK:$AK,3,ШТАТ!$AJ:$AJ,"с/с",ШТАТ!$X:$X,"выполнение специальных задач")</f>
        <v>0</v>
      </c>
      <c r="W59" s="1219">
        <f>COUNTIFS(ШТАТ!$AL:$AL,$A59,ШТАТ!$AK:$AK,3,ШТАТ!$AJ:$AJ,"к/с",ШТАТ!$X:$X,"выполнение специальных задач")</f>
        <v>0</v>
      </c>
      <c r="X59" s="1222">
        <f t="shared" si="4"/>
        <v>0</v>
      </c>
      <c r="Y59" s="1219">
        <f>COUNTIFS(ШТАТ!$AL:$AL,$A59,ШТАТ!$AK:$AK,4,ШТАТ!$AJ:$AJ,"с/с",ШТАТ!$X:$X,"выполнение специальных задач")</f>
        <v>0</v>
      </c>
      <c r="Z59" s="1219">
        <f>COUNTIFS(ШТАТ!$AL:$AL,$A59,ШТАТ!$AK:$AK,4,ШТАТ!$AJ:$AJ,"к/с",ШТАТ!$X:$X,"выполнение специальных задач")</f>
        <v>0</v>
      </c>
      <c r="AA59" s="1222">
        <f t="shared" si="5"/>
        <v>0</v>
      </c>
      <c r="AB59" s="1221">
        <f t="shared" si="15"/>
        <v>0</v>
      </c>
      <c r="AC59" s="1224"/>
      <c r="AD59" s="1219">
        <f>COUNTIFS(ШТАТ!$AL:$AL,$A59,ШТАТ!$AK:$AK,1,ШТАТ!$AJ:$AJ,"о",ШТАТ!$W:$W,"г. Белгород")</f>
        <v>1</v>
      </c>
      <c r="AE59" s="1219">
        <f>COUNTIFS(ШТАТ!$AL:$AL,$A59,ШТАТ!$AK:$AK,2,ШТАТ!$AJ:$AJ,"п",ШТАТ!$W:$W,"г. Белгород")</f>
        <v>0</v>
      </c>
      <c r="AF59" s="1219">
        <f>COUNTIFS(ШТАТ!$AL:$AL,$A59,ШТАТ!$AK:$AK,3,ШТАТ!$AJ:$AJ,"с/с",ШТАТ!$W:$W,"г. Белгород")</f>
        <v>0</v>
      </c>
      <c r="AG59" s="1219">
        <f>COUNTIFS(ШТАТ!$AL:$AL,$A59,ШТАТ!$AK:$AK,3,ШТАТ!$AJ:$AJ,"к/с",ШТАТ!$W:$W,"г. Белгород")</f>
        <v>3</v>
      </c>
      <c r="AH59" s="1222">
        <f t="shared" si="6"/>
        <v>3</v>
      </c>
      <c r="AI59" s="1219">
        <f>COUNTIFS(ШТАТ!$AL:$AL,$A59,ШТАТ!$AK:$AK,4,ШТАТ!$AJ:$AJ,"с/с",ШТАТ!$W:$W,"г. Белгород")</f>
        <v>0</v>
      </c>
      <c r="AJ59" s="1219">
        <f>COUNTIFS(ШТАТ!$AL:$AL,$A59,ШТАТ!$AK:$AK,4,ШТАТ!$AJ:$AJ,"к/с",ШТАТ!$W:$W,"г. Белгород")</f>
        <v>9</v>
      </c>
      <c r="AK59" s="1222">
        <f t="shared" si="7"/>
        <v>9</v>
      </c>
      <c r="AL59" s="1221">
        <f t="shared" si="16"/>
        <v>13</v>
      </c>
      <c r="AM59" s="1219">
        <f>COUNTIFS(ШТАТ!$AL:$AL,$A59,ШТАТ!$AK:$AK,1,ШТАТ!$AJ:$AJ,"о",ШТАТ!$U:$U,"")</f>
        <v>0</v>
      </c>
      <c r="AN59" s="1219">
        <f>COUNTIFS(ШТАТ!$AL:$AL,$A59,ШТАТ!$AK:$AK,2,ШТАТ!$AJ:$AJ,"п",ШТАТ!$U:$U,"")</f>
        <v>0</v>
      </c>
      <c r="AO59" s="1219">
        <f>COUNTIFS(ШТАТ!$AL:$AL,$A59,ШТАТ!$AK:$AK,3,ШТАТ!$AJ:$AJ,"с/с",ШТАТ!$U:$U,"")</f>
        <v>0</v>
      </c>
      <c r="AP59" s="1219">
        <f>COUNTIFS(ШТАТ!$AL:$AL,$A59,ШТАТ!$AK:$AK,3,ШТАТ!$AJ:$AJ,"к/с",ШТАТ!$U:$U,"")</f>
        <v>0</v>
      </c>
      <c r="AQ59" s="1222">
        <f t="shared" si="17"/>
        <v>0</v>
      </c>
      <c r="AR59" s="1219">
        <f>COUNTIFS(ШТАТ!$AL:$AL,$A59,ШТАТ!$AK:$AK,4,ШТАТ!$AJ:$AJ,"с/с",ШТАТ!$U:$U,"")</f>
        <v>0</v>
      </c>
      <c r="AS59" s="1219">
        <f>COUNTIFS(ШТАТ!$AL:$AL,$A59,ШТАТ!$AK:$AK,4,ШТАТ!$AJ:$AJ,"к/с",ШТАТ!$U:$U,"")</f>
        <v>0</v>
      </c>
      <c r="AT59" s="1222">
        <f t="shared" si="8"/>
        <v>0</v>
      </c>
      <c r="AU59" s="1221">
        <f t="shared" si="18"/>
        <v>0</v>
      </c>
      <c r="AV59" s="1219">
        <f>COUNTIFS(ШТАТ!$AL:$AL,$A59,ШТАТ!$U:$U,"госп")</f>
        <v>0</v>
      </c>
      <c r="AW59" s="1225">
        <f t="shared" si="9"/>
        <v>0</v>
      </c>
      <c r="AX59" s="1219">
        <f>COUNTIFS(ШТАТ!$AL:$AL,$A59,ШТАТ!$U:$U,"отпуск")</f>
        <v>0</v>
      </c>
      <c r="AY59" s="1219">
        <f>COUNTIFS(ШТАТ!$AL:$AL,$A59,ШТАТ!$U:$U,"соч")</f>
        <v>0</v>
      </c>
      <c r="AZ59" s="1225"/>
      <c r="BA59" s="1219">
        <f>COUNTIFS(ШТАТ!$AL:$AL,$A59,ШТАТ!$U:$U,"МП")</f>
        <v>0</v>
      </c>
      <c r="BB59" s="1226"/>
      <c r="BC59" s="1226"/>
      <c r="BD59" s="1219"/>
      <c r="BE59" s="1226"/>
      <c r="BF59" s="1226"/>
      <c r="BG59" s="1226"/>
      <c r="BH59" s="1226"/>
      <c r="BI59" s="1226"/>
      <c r="BJ59" s="1226"/>
      <c r="BK59" s="1226"/>
      <c r="BL59" s="1226"/>
      <c r="BM59" s="1226"/>
      <c r="BN59" s="1226"/>
      <c r="BO59" s="1226"/>
      <c r="BP59" s="1226"/>
      <c r="BQ59" s="1226"/>
      <c r="BR59" s="1226"/>
      <c r="BS59" s="1226"/>
      <c r="BT59" s="1226"/>
      <c r="BU59" s="1226"/>
      <c r="BV59" s="1226"/>
      <c r="BW59" s="1226"/>
      <c r="BX59" s="1226"/>
      <c r="BY59" s="1226"/>
      <c r="BZ59" s="1226"/>
      <c r="CA59" s="1226"/>
      <c r="CB59" s="1226"/>
      <c r="CC59" s="1226"/>
      <c r="CD59" s="1226"/>
      <c r="CE59" s="1226"/>
      <c r="CF59" s="1226"/>
      <c r="CG59" s="1226"/>
      <c r="CH59" s="1226"/>
      <c r="CI59" s="1226"/>
      <c r="CJ59" s="1226"/>
      <c r="CK59" s="1226"/>
      <c r="CL59" s="1226"/>
      <c r="CM59" s="1226"/>
      <c r="CN59" s="1226"/>
      <c r="CO59" s="1226"/>
      <c r="CP59" s="1226"/>
      <c r="CQ59" s="1226"/>
      <c r="CR59" s="1226"/>
      <c r="CS59" s="1226"/>
      <c r="CT59" s="1226"/>
      <c r="CU59" s="1226"/>
      <c r="CV59" s="1226"/>
      <c r="CW59" s="1226"/>
      <c r="CX59" s="1226"/>
      <c r="CY59" s="1226"/>
      <c r="CZ59" s="1226"/>
      <c r="DA59" s="1226"/>
      <c r="DB59" s="1226"/>
      <c r="DC59" s="1226"/>
      <c r="DD59" s="1226"/>
      <c r="DE59" s="1226"/>
      <c r="DF59" s="1226"/>
      <c r="DG59" s="1226"/>
      <c r="DH59" s="1226"/>
      <c r="DI59" s="1226"/>
      <c r="DJ59" s="1226">
        <v>3</v>
      </c>
      <c r="DK59" s="1226"/>
      <c r="DL59" s="1226"/>
      <c r="DM59" s="1226"/>
      <c r="DN59" s="1226"/>
      <c r="DO59" s="1226"/>
      <c r="DP59" s="1226"/>
      <c r="DQ59" s="1226"/>
      <c r="DR59" s="1226"/>
      <c r="DS59" s="1226"/>
      <c r="DT59" s="1226"/>
      <c r="DU59" s="1226"/>
      <c r="DV59" s="1226">
        <f>COUNTIFS(ШТАТ!$AN:$AN,"Урал-4320-31",ШТАТ!AL:AL,"Управление")</f>
        <v>0</v>
      </c>
      <c r="DW59" s="1226"/>
      <c r="DX59" s="1226"/>
      <c r="DY59" s="1226"/>
      <c r="DZ59" s="1226"/>
      <c r="EA59" s="1226"/>
      <c r="EB59" s="1226"/>
      <c r="EC59" s="1226"/>
      <c r="ED59" s="1226"/>
      <c r="EE59" s="1226"/>
      <c r="EF59" s="1226"/>
      <c r="EG59" s="1226"/>
      <c r="EH59" s="1226"/>
      <c r="EI59" s="1226"/>
      <c r="EJ59" s="1226"/>
      <c r="EK59" s="1226"/>
      <c r="EL59" s="1226"/>
      <c r="EM59" s="1226"/>
      <c r="EN59" s="1226"/>
      <c r="EO59" s="1226"/>
      <c r="EP59" s="1226"/>
      <c r="EQ59" s="1226"/>
      <c r="ER59" s="1226"/>
      <c r="ES59" s="1226"/>
      <c r="ET59" s="1226"/>
      <c r="EU59" s="1226"/>
      <c r="EV59" s="1226"/>
      <c r="EW59" s="1226"/>
      <c r="EX59" s="1226"/>
      <c r="EY59" s="1226"/>
      <c r="EZ59" s="1226"/>
      <c r="FA59" s="1226"/>
      <c r="FB59" s="1226"/>
      <c r="FC59" s="1226"/>
      <c r="FD59" s="1226"/>
      <c r="FE59" s="1226"/>
      <c r="FF59" s="1226"/>
      <c r="FG59" s="1226"/>
      <c r="FH59" s="1226"/>
      <c r="FI59" s="1226"/>
      <c r="FJ59" s="1226"/>
      <c r="FK59" s="1226"/>
      <c r="FL59" s="1226"/>
      <c r="FM59" s="1226"/>
      <c r="FN59" s="1226"/>
      <c r="FO59" s="1226"/>
      <c r="FP59" s="1226"/>
      <c r="FQ59" s="1226"/>
      <c r="FR59" s="1226"/>
    </row>
    <row r="60" spans="1:174" ht="33" x14ac:dyDescent="0.25">
      <c r="A60" s="1228" t="s">
        <v>4200</v>
      </c>
      <c r="B60" s="1228"/>
      <c r="C60" s="1275">
        <f t="shared" si="31"/>
        <v>13</v>
      </c>
      <c r="D60" s="1275" t="s">
        <v>56</v>
      </c>
      <c r="E60" s="1219">
        <f>COUNTIFS(ШТАТ!$AL:$AL,'БЧС Дерябин'!$A60,ШТАТ!$AK:$AK,1)</f>
        <v>1</v>
      </c>
      <c r="F60" s="1219">
        <f>COUNTIFS(ШТАТ!$AL:$AL,'БЧС Дерябин'!$A60,ШТАТ!$AK:$AK,2)</f>
        <v>0</v>
      </c>
      <c r="G60" s="1219">
        <f>COUNTIFS(ШТАТ!$AL:$AL,'БЧС Дерябин'!$A60,ШТАТ!$AK:$AK,3)</f>
        <v>3</v>
      </c>
      <c r="H60" s="1219">
        <f>COUNTIFS(ШТАТ!$AL:$AL,'БЧС Дерябин'!$A60,ШТАТ!$AK:$AK,4)</f>
        <v>9</v>
      </c>
      <c r="I60" s="1221">
        <f t="shared" si="3"/>
        <v>13</v>
      </c>
      <c r="J60" s="1219">
        <f>COUNTIFS(ШТАТ!AL:AL,A60,ШТАТ!AJ:AJ,"о")</f>
        <v>1</v>
      </c>
      <c r="K60" s="1219">
        <f>COUNTIFS(ШТАТ!AL:AL,A60,ШТАТ!AJ:AJ,"п")</f>
        <v>0</v>
      </c>
      <c r="L60" s="1219">
        <f>COUNTIFS(ШТАТ!$AL:$AL,$A60,ШТАТ!AK:AK,3,ШТАТ!AJ:AJ,"с/с")</f>
        <v>0</v>
      </c>
      <c r="M60" s="1219">
        <f>COUNTIFS(ШТАТ!$AL:$AL,$A60,ШТАТ!AK:AK,3,ШТАТ!AJ:AJ,"к/с")</f>
        <v>3</v>
      </c>
      <c r="N60" s="1222">
        <f t="shared" si="11"/>
        <v>3</v>
      </c>
      <c r="O60" s="1220">
        <f>COUNTIFS(ШТАТ!$AL:$AL,$A60,ШТАТ!AK:AK,4,ШТАТ!AJ:AJ,"с/с")</f>
        <v>0</v>
      </c>
      <c r="P60" s="1220">
        <f>COUNTIFS(ШТАТ!$AL:$AL,$A60,ШТАТ!AK:AK,4,ШТАТ!AJ:AJ,"к/с")</f>
        <v>9</v>
      </c>
      <c r="Q60" s="1222">
        <f t="shared" si="12"/>
        <v>9</v>
      </c>
      <c r="R60" s="1221">
        <f t="shared" si="13"/>
        <v>13</v>
      </c>
      <c r="S60" s="1223">
        <f t="shared" si="14"/>
        <v>1</v>
      </c>
      <c r="T60" s="1219">
        <f>COUNTIFS(ШТАТ!$AL:$AL,$A60,ШТАТ!$AJ:$AJ,"о",ШТАТ!$X:$X,"выполнение специальных задач")</f>
        <v>0</v>
      </c>
      <c r="U60" s="1219">
        <f>COUNTIFS(ШТАТ!$AL:$AL,$A60,ШТАТ!$AJ:$AJ,"п",ШТАТ!$X:$X,"выполнение специальных задач")</f>
        <v>0</v>
      </c>
      <c r="V60" s="1219">
        <f>COUNTIFS(ШТАТ!$AL:$AL,$A60,ШТАТ!$AK:$AK,3,ШТАТ!$AJ:$AJ,"с/с",ШТАТ!$X:$X,"выполнение специальных задач")</f>
        <v>0</v>
      </c>
      <c r="W60" s="1219">
        <f>COUNTIFS(ШТАТ!$AL:$AL,$A60,ШТАТ!$AK:$AK,3,ШТАТ!$AJ:$AJ,"к/с",ШТАТ!$X:$X,"выполнение специальных задач")</f>
        <v>0</v>
      </c>
      <c r="X60" s="1222">
        <f t="shared" si="4"/>
        <v>0</v>
      </c>
      <c r="Y60" s="1219">
        <f>COUNTIFS(ШТАТ!$AL:$AL,$A60,ШТАТ!$AK:$AK,4,ШТАТ!$AJ:$AJ,"с/с",ШТАТ!$X:$X,"выполнение специальных задач")</f>
        <v>0</v>
      </c>
      <c r="Z60" s="1219">
        <f>COUNTIFS(ШТАТ!$AL:$AL,$A60,ШТАТ!$AK:$AK,4,ШТАТ!$AJ:$AJ,"к/с",ШТАТ!$X:$X,"выполнение специальных задач")</f>
        <v>0</v>
      </c>
      <c r="AA60" s="1222">
        <f t="shared" si="5"/>
        <v>0</v>
      </c>
      <c r="AB60" s="1221">
        <f t="shared" si="15"/>
        <v>0</v>
      </c>
      <c r="AC60" s="1224"/>
      <c r="AD60" s="1219">
        <f>COUNTIFS(ШТАТ!$AL:$AL,$A60,ШТАТ!$AK:$AK,1,ШТАТ!$AJ:$AJ,"о",ШТАТ!$W:$W,"г. Белгород")</f>
        <v>1</v>
      </c>
      <c r="AE60" s="1219">
        <f>COUNTIFS(ШТАТ!$AL:$AL,$A60,ШТАТ!$AK:$AK,2,ШТАТ!$AJ:$AJ,"п",ШТАТ!$W:$W,"г. Белгород")</f>
        <v>0</v>
      </c>
      <c r="AF60" s="1219">
        <f>COUNTIFS(ШТАТ!$AL:$AL,$A60,ШТАТ!$AK:$AK,3,ШТАТ!$AJ:$AJ,"с/с",ШТАТ!$W:$W,"г. Белгород")</f>
        <v>0</v>
      </c>
      <c r="AG60" s="1219">
        <f>COUNTIFS(ШТАТ!$AL:$AL,$A60,ШТАТ!$AK:$AK,3,ШТАТ!$AJ:$AJ,"к/с",ШТАТ!$W:$W,"г. Белгород")</f>
        <v>3</v>
      </c>
      <c r="AH60" s="1222">
        <f t="shared" si="6"/>
        <v>3</v>
      </c>
      <c r="AI60" s="1219">
        <f>COUNTIFS(ШТАТ!$AL:$AL,$A60,ШТАТ!$AK:$AK,4,ШТАТ!$AJ:$AJ,"с/с",ШТАТ!$W:$W,"г. Белгород")</f>
        <v>0</v>
      </c>
      <c r="AJ60" s="1219">
        <f>COUNTIFS(ШТАТ!$AL:$AL,$A60,ШТАТ!$AK:$AK,4,ШТАТ!$AJ:$AJ,"к/с",ШТАТ!$W:$W,"г. Белгород")</f>
        <v>9</v>
      </c>
      <c r="AK60" s="1222">
        <f t="shared" si="7"/>
        <v>9</v>
      </c>
      <c r="AL60" s="1221">
        <f t="shared" si="16"/>
        <v>13</v>
      </c>
      <c r="AM60" s="1219">
        <f>COUNTIFS(ШТАТ!$AL:$AL,$A60,ШТАТ!$AK:$AK,1,ШТАТ!$AJ:$AJ,"о",ШТАТ!$U:$U,"")</f>
        <v>0</v>
      </c>
      <c r="AN60" s="1219">
        <f>COUNTIFS(ШТАТ!$AL:$AL,$A60,ШТАТ!$AK:$AK,2,ШТАТ!$AJ:$AJ,"п",ШТАТ!$U:$U,"")</f>
        <v>0</v>
      </c>
      <c r="AO60" s="1219">
        <f>COUNTIFS(ШТАТ!$AL:$AL,$A60,ШТАТ!$AK:$AK,3,ШТАТ!$AJ:$AJ,"с/с",ШТАТ!$U:$U,"")</f>
        <v>0</v>
      </c>
      <c r="AP60" s="1219">
        <f>COUNTIFS(ШТАТ!$AL:$AL,$A60,ШТАТ!$AK:$AK,3,ШТАТ!$AJ:$AJ,"к/с",ШТАТ!$U:$U,"")</f>
        <v>0</v>
      </c>
      <c r="AQ60" s="1222">
        <f t="shared" si="17"/>
        <v>0</v>
      </c>
      <c r="AR60" s="1219">
        <f>COUNTIFS(ШТАТ!$AL:$AL,$A60,ШТАТ!$AK:$AK,4,ШТАТ!$AJ:$AJ,"с/с",ШТАТ!$U:$U,"")</f>
        <v>0</v>
      </c>
      <c r="AS60" s="1219">
        <f>COUNTIFS(ШТАТ!$AL:$AL,$A60,ШТАТ!$AK:$AK,4,ШТАТ!$AJ:$AJ,"к/с",ШТАТ!$U:$U,"")</f>
        <v>0</v>
      </c>
      <c r="AT60" s="1222">
        <f t="shared" si="8"/>
        <v>0</v>
      </c>
      <c r="AU60" s="1221">
        <f t="shared" si="18"/>
        <v>0</v>
      </c>
      <c r="AV60" s="1219">
        <f>COUNTIFS(ШТАТ!$AL:$AL,$A60,ШТАТ!$U:$U,"госп")</f>
        <v>0</v>
      </c>
      <c r="AW60" s="1225">
        <f t="shared" si="9"/>
        <v>0</v>
      </c>
      <c r="AX60" s="1219">
        <f>COUNTIFS(ШТАТ!$AL:$AL,$A60,ШТАТ!$U:$U,"отпуск")</f>
        <v>0</v>
      </c>
      <c r="AY60" s="1219">
        <f>COUNTIFS(ШТАТ!$AL:$AL,$A60,ШТАТ!$U:$U,"соч")</f>
        <v>0</v>
      </c>
      <c r="AZ60" s="1225"/>
      <c r="BA60" s="1219">
        <f>COUNTIFS(ШТАТ!$AL:$AL,$A60,ШТАТ!$U:$U,"МП")</f>
        <v>0</v>
      </c>
      <c r="BB60" s="1226"/>
      <c r="BC60" s="1226"/>
      <c r="BD60" s="1219"/>
      <c r="BE60" s="1226"/>
      <c r="BF60" s="1226"/>
      <c r="BG60" s="1226"/>
      <c r="BH60" s="1226"/>
      <c r="BI60" s="1226"/>
      <c r="BJ60" s="1226"/>
      <c r="BK60" s="1226"/>
      <c r="BL60" s="1226"/>
      <c r="BM60" s="1226"/>
      <c r="BN60" s="1226"/>
      <c r="BO60" s="1226"/>
      <c r="BP60" s="1226"/>
      <c r="BQ60" s="1226"/>
      <c r="BR60" s="1226"/>
      <c r="BS60" s="1226"/>
      <c r="BT60" s="1226"/>
      <c r="BU60" s="1226"/>
      <c r="BV60" s="1226"/>
      <c r="BW60" s="1226"/>
      <c r="BX60" s="1226"/>
      <c r="BY60" s="1226"/>
      <c r="BZ60" s="1226"/>
      <c r="CA60" s="1226"/>
      <c r="CB60" s="1226"/>
      <c r="CC60" s="1226"/>
      <c r="CD60" s="1226"/>
      <c r="CE60" s="1226"/>
      <c r="CF60" s="1226"/>
      <c r="CG60" s="1226"/>
      <c r="CH60" s="1226"/>
      <c r="CI60" s="1226"/>
      <c r="CJ60" s="1226"/>
      <c r="CK60" s="1226"/>
      <c r="CL60" s="1226"/>
      <c r="CM60" s="1226"/>
      <c r="CN60" s="1226"/>
      <c r="CO60" s="1226"/>
      <c r="CP60" s="1226"/>
      <c r="CQ60" s="1226"/>
      <c r="CR60" s="1226"/>
      <c r="CS60" s="1226"/>
      <c r="CT60" s="1226"/>
      <c r="CU60" s="1226"/>
      <c r="CV60" s="1226"/>
      <c r="CW60" s="1226"/>
      <c r="CX60" s="1226"/>
      <c r="CY60" s="1226"/>
      <c r="CZ60" s="1226"/>
      <c r="DA60" s="1226"/>
      <c r="DB60" s="1226"/>
      <c r="DC60" s="1226"/>
      <c r="DD60" s="1226"/>
      <c r="DE60" s="1226"/>
      <c r="DF60" s="1226"/>
      <c r="DG60" s="1226"/>
      <c r="DH60" s="1226"/>
      <c r="DI60" s="1226"/>
      <c r="DJ60" s="1226">
        <v>3</v>
      </c>
      <c r="DK60" s="1226"/>
      <c r="DL60" s="1226"/>
      <c r="DM60" s="1226"/>
      <c r="DN60" s="1226"/>
      <c r="DO60" s="1226"/>
      <c r="DP60" s="1226"/>
      <c r="DQ60" s="1226"/>
      <c r="DR60" s="1226"/>
      <c r="DS60" s="1226"/>
      <c r="DT60" s="1226"/>
      <c r="DU60" s="1226"/>
      <c r="DV60" s="1226">
        <f>COUNTIFS(ШТАТ!$AN:$AN,"Урал-4320-31",ШТАТ!AL:AL,"Управление")</f>
        <v>0</v>
      </c>
      <c r="DW60" s="1226"/>
      <c r="DX60" s="1226"/>
      <c r="DY60" s="1226"/>
      <c r="DZ60" s="1226"/>
      <c r="EA60" s="1226"/>
      <c r="EB60" s="1226"/>
      <c r="EC60" s="1226"/>
      <c r="ED60" s="1226"/>
      <c r="EE60" s="1226"/>
      <c r="EF60" s="1226"/>
      <c r="EG60" s="1226"/>
      <c r="EH60" s="1226"/>
      <c r="EI60" s="1226"/>
      <c r="EJ60" s="1226"/>
      <c r="EK60" s="1226"/>
      <c r="EL60" s="1226"/>
      <c r="EM60" s="1226"/>
      <c r="EN60" s="1226"/>
      <c r="EO60" s="1226"/>
      <c r="EP60" s="1226"/>
      <c r="EQ60" s="1226"/>
      <c r="ER60" s="1226"/>
      <c r="ES60" s="1226"/>
      <c r="ET60" s="1226"/>
      <c r="EU60" s="1226"/>
      <c r="EV60" s="1226"/>
      <c r="EW60" s="1226"/>
      <c r="EX60" s="1226"/>
      <c r="EY60" s="1226"/>
      <c r="EZ60" s="1226"/>
      <c r="FA60" s="1226"/>
      <c r="FB60" s="1226"/>
      <c r="FC60" s="1226"/>
      <c r="FD60" s="1226"/>
      <c r="FE60" s="1226"/>
      <c r="FF60" s="1226"/>
      <c r="FG60" s="1226"/>
      <c r="FH60" s="1226"/>
      <c r="FI60" s="1226"/>
      <c r="FJ60" s="1226"/>
      <c r="FK60" s="1226"/>
      <c r="FL60" s="1226"/>
      <c r="FM60" s="1226"/>
      <c r="FN60" s="1226"/>
      <c r="FO60" s="1226"/>
      <c r="FP60" s="1226"/>
      <c r="FQ60" s="1226"/>
      <c r="FR60" s="1226"/>
    </row>
    <row r="61" spans="1:174" ht="33" x14ac:dyDescent="0.25">
      <c r="A61" s="1228" t="s">
        <v>4201</v>
      </c>
      <c r="B61" s="1228"/>
      <c r="C61" s="1275">
        <f t="shared" si="31"/>
        <v>13</v>
      </c>
      <c r="D61" s="1275" t="s">
        <v>56</v>
      </c>
      <c r="E61" s="1219">
        <f>COUNTIFS(ШТАТ!$AL:$AL,'БЧС Дерябин'!$A61,ШТАТ!$AK:$AK,1)</f>
        <v>1</v>
      </c>
      <c r="F61" s="1219">
        <f>COUNTIFS(ШТАТ!$AL:$AL,'БЧС Дерябин'!$A61,ШТАТ!$AK:$AK,2)</f>
        <v>0</v>
      </c>
      <c r="G61" s="1219">
        <f>COUNTIFS(ШТАТ!$AL:$AL,'БЧС Дерябин'!$A61,ШТАТ!$AK:$AK,3)</f>
        <v>3</v>
      </c>
      <c r="H61" s="1219">
        <f>COUNTIFS(ШТАТ!$AL:$AL,'БЧС Дерябин'!$A61,ШТАТ!$AK:$AK,4)</f>
        <v>9</v>
      </c>
      <c r="I61" s="1221">
        <f t="shared" si="3"/>
        <v>13</v>
      </c>
      <c r="J61" s="1219">
        <f>COUNTIFS(ШТАТ!AL:AL,A61,ШТАТ!AJ:AJ,"о")</f>
        <v>1</v>
      </c>
      <c r="K61" s="1219">
        <f>COUNTIFS(ШТАТ!AL:AL,A61,ШТАТ!AJ:AJ,"п")</f>
        <v>0</v>
      </c>
      <c r="L61" s="1219">
        <f>COUNTIFS(ШТАТ!$AL:$AL,$A61,ШТАТ!AK:AK,3,ШТАТ!AJ:AJ,"с/с")</f>
        <v>0</v>
      </c>
      <c r="M61" s="1219">
        <f>COUNTIFS(ШТАТ!$AL:$AL,$A61,ШТАТ!AK:AK,3,ШТАТ!AJ:AJ,"к/с")</f>
        <v>3</v>
      </c>
      <c r="N61" s="1222">
        <f t="shared" si="11"/>
        <v>3</v>
      </c>
      <c r="O61" s="1220">
        <f>COUNTIFS(ШТАТ!$AL:$AL,$A61,ШТАТ!AK:AK,4,ШТАТ!AJ:AJ,"с/с")</f>
        <v>0</v>
      </c>
      <c r="P61" s="1220">
        <f>COUNTIFS(ШТАТ!$AL:$AL,$A61,ШТАТ!AK:AK,4,ШТАТ!AJ:AJ,"к/с")</f>
        <v>9</v>
      </c>
      <c r="Q61" s="1222">
        <f t="shared" si="12"/>
        <v>9</v>
      </c>
      <c r="R61" s="1221">
        <f t="shared" si="13"/>
        <v>13</v>
      </c>
      <c r="S61" s="1223">
        <f t="shared" si="14"/>
        <v>1</v>
      </c>
      <c r="T61" s="1219">
        <f>COUNTIFS(ШТАТ!$AL:$AL,$A61,ШТАТ!$AJ:$AJ,"о",ШТАТ!$X:$X,"выполнение специальных задач")</f>
        <v>0</v>
      </c>
      <c r="U61" s="1219">
        <f>COUNTIFS(ШТАТ!$AL:$AL,$A61,ШТАТ!$AJ:$AJ,"п",ШТАТ!$X:$X,"выполнение специальных задач")</f>
        <v>0</v>
      </c>
      <c r="V61" s="1219">
        <f>COUNTIFS(ШТАТ!$AL:$AL,$A61,ШТАТ!$AK:$AK,3,ШТАТ!$AJ:$AJ,"с/с",ШТАТ!$X:$X,"выполнение специальных задач")</f>
        <v>0</v>
      </c>
      <c r="W61" s="1219">
        <f>COUNTIFS(ШТАТ!$AL:$AL,$A61,ШТАТ!$AK:$AK,3,ШТАТ!$AJ:$AJ,"к/с",ШТАТ!$X:$X,"выполнение специальных задач")</f>
        <v>0</v>
      </c>
      <c r="X61" s="1222">
        <f t="shared" si="4"/>
        <v>0</v>
      </c>
      <c r="Y61" s="1219">
        <f>COUNTIFS(ШТАТ!$AL:$AL,$A61,ШТАТ!$AK:$AK,4,ШТАТ!$AJ:$AJ,"с/с",ШТАТ!$X:$X,"выполнение специальных задач")</f>
        <v>0</v>
      </c>
      <c r="Z61" s="1219">
        <f>COUNTIFS(ШТАТ!$AL:$AL,$A61,ШТАТ!$AK:$AK,4,ШТАТ!$AJ:$AJ,"к/с",ШТАТ!$X:$X,"выполнение специальных задач")</f>
        <v>0</v>
      </c>
      <c r="AA61" s="1222">
        <f t="shared" si="5"/>
        <v>0</v>
      </c>
      <c r="AB61" s="1221">
        <f t="shared" si="15"/>
        <v>0</v>
      </c>
      <c r="AC61" s="1224"/>
      <c r="AD61" s="1219">
        <f>COUNTIFS(ШТАТ!$AL:$AL,$A61,ШТАТ!$AK:$AK,1,ШТАТ!$AJ:$AJ,"о",ШТАТ!$W:$W,"г. Белгород")</f>
        <v>1</v>
      </c>
      <c r="AE61" s="1219">
        <f>COUNTIFS(ШТАТ!$AL:$AL,$A61,ШТАТ!$AK:$AK,2,ШТАТ!$AJ:$AJ,"п",ШТАТ!$W:$W,"г. Белгород")</f>
        <v>0</v>
      </c>
      <c r="AF61" s="1219">
        <f>COUNTIFS(ШТАТ!$AL:$AL,$A61,ШТАТ!$AK:$AK,3,ШТАТ!$AJ:$AJ,"с/с",ШТАТ!$W:$W,"г. Белгород")</f>
        <v>0</v>
      </c>
      <c r="AG61" s="1219">
        <f>COUNTIFS(ШТАТ!$AL:$AL,$A61,ШТАТ!$AK:$AK,3,ШТАТ!$AJ:$AJ,"к/с",ШТАТ!$W:$W,"г. Белгород")</f>
        <v>3</v>
      </c>
      <c r="AH61" s="1222">
        <f t="shared" si="6"/>
        <v>3</v>
      </c>
      <c r="AI61" s="1219">
        <f>COUNTIFS(ШТАТ!$AL:$AL,$A61,ШТАТ!$AK:$AK,4,ШТАТ!$AJ:$AJ,"с/с",ШТАТ!$W:$W,"г. Белгород")</f>
        <v>0</v>
      </c>
      <c r="AJ61" s="1219">
        <f>COUNTIFS(ШТАТ!$AL:$AL,$A61,ШТАТ!$AK:$AK,4,ШТАТ!$AJ:$AJ,"к/с",ШТАТ!$W:$W,"г. Белгород")</f>
        <v>9</v>
      </c>
      <c r="AK61" s="1222">
        <f t="shared" si="7"/>
        <v>9</v>
      </c>
      <c r="AL61" s="1221">
        <f t="shared" si="16"/>
        <v>13</v>
      </c>
      <c r="AM61" s="1219">
        <f>COUNTIFS(ШТАТ!$AL:$AL,$A61,ШТАТ!$AK:$AK,1,ШТАТ!$AJ:$AJ,"о",ШТАТ!$U:$U,"")</f>
        <v>0</v>
      </c>
      <c r="AN61" s="1219">
        <f>COUNTIFS(ШТАТ!$AL:$AL,$A61,ШТАТ!$AK:$AK,2,ШТАТ!$AJ:$AJ,"п",ШТАТ!$U:$U,"")</f>
        <v>0</v>
      </c>
      <c r="AO61" s="1219">
        <f>COUNTIFS(ШТАТ!$AL:$AL,$A61,ШТАТ!$AK:$AK,3,ШТАТ!$AJ:$AJ,"с/с",ШТАТ!$U:$U,"")</f>
        <v>0</v>
      </c>
      <c r="AP61" s="1219">
        <f>COUNTIFS(ШТАТ!$AL:$AL,$A61,ШТАТ!$AK:$AK,3,ШТАТ!$AJ:$AJ,"к/с",ШТАТ!$U:$U,"")</f>
        <v>0</v>
      </c>
      <c r="AQ61" s="1222">
        <f t="shared" si="17"/>
        <v>0</v>
      </c>
      <c r="AR61" s="1219">
        <f>COUNTIFS(ШТАТ!$AL:$AL,$A61,ШТАТ!$AK:$AK,4,ШТАТ!$AJ:$AJ,"с/с",ШТАТ!$U:$U,"")</f>
        <v>0</v>
      </c>
      <c r="AS61" s="1219">
        <f>COUNTIFS(ШТАТ!$AL:$AL,$A61,ШТАТ!$AK:$AK,4,ШТАТ!$AJ:$AJ,"к/с",ШТАТ!$U:$U,"")</f>
        <v>0</v>
      </c>
      <c r="AT61" s="1222">
        <f t="shared" si="8"/>
        <v>0</v>
      </c>
      <c r="AU61" s="1221">
        <f t="shared" si="18"/>
        <v>0</v>
      </c>
      <c r="AV61" s="1219">
        <f>COUNTIFS(ШТАТ!$AL:$AL,$A61,ШТАТ!$U:$U,"госп")</f>
        <v>0</v>
      </c>
      <c r="AW61" s="1225">
        <f t="shared" si="9"/>
        <v>0</v>
      </c>
      <c r="AX61" s="1219">
        <f>COUNTIFS(ШТАТ!$AL:$AL,$A61,ШТАТ!$U:$U,"отпуск")</f>
        <v>0</v>
      </c>
      <c r="AY61" s="1219">
        <f>COUNTIFS(ШТАТ!$AL:$AL,$A61,ШТАТ!$U:$U,"соч")</f>
        <v>0</v>
      </c>
      <c r="AZ61" s="1225"/>
      <c r="BA61" s="1219">
        <f>COUNTIFS(ШТАТ!$AL:$AL,$A61,ШТАТ!$U:$U,"МП")</f>
        <v>0</v>
      </c>
      <c r="BB61" s="1226"/>
      <c r="BC61" s="1226"/>
      <c r="BD61" s="1219"/>
      <c r="BE61" s="1226"/>
      <c r="BF61" s="1226"/>
      <c r="BG61" s="1226"/>
      <c r="BH61" s="1226"/>
      <c r="BI61" s="1226"/>
      <c r="BJ61" s="1226"/>
      <c r="BK61" s="1226"/>
      <c r="BL61" s="1226"/>
      <c r="BM61" s="1226"/>
      <c r="BN61" s="1226"/>
      <c r="BO61" s="1226"/>
      <c r="BP61" s="1226"/>
      <c r="BQ61" s="1226"/>
      <c r="BR61" s="1226"/>
      <c r="BS61" s="1226"/>
      <c r="BT61" s="1226"/>
      <c r="BU61" s="1226"/>
      <c r="BV61" s="1226"/>
      <c r="BW61" s="1226"/>
      <c r="BX61" s="1226"/>
      <c r="BY61" s="1226"/>
      <c r="BZ61" s="1226"/>
      <c r="CA61" s="1226"/>
      <c r="CB61" s="1226"/>
      <c r="CC61" s="1226"/>
      <c r="CD61" s="1226"/>
      <c r="CE61" s="1226"/>
      <c r="CF61" s="1226"/>
      <c r="CG61" s="1226"/>
      <c r="CH61" s="1226"/>
      <c r="CI61" s="1226"/>
      <c r="CJ61" s="1226"/>
      <c r="CK61" s="1226"/>
      <c r="CL61" s="1226"/>
      <c r="CM61" s="1226"/>
      <c r="CN61" s="1226"/>
      <c r="CO61" s="1226"/>
      <c r="CP61" s="1226"/>
      <c r="CQ61" s="1226"/>
      <c r="CR61" s="1226"/>
      <c r="CS61" s="1226"/>
      <c r="CT61" s="1226"/>
      <c r="CU61" s="1226"/>
      <c r="CV61" s="1226"/>
      <c r="CW61" s="1226"/>
      <c r="CX61" s="1226"/>
      <c r="CY61" s="1226"/>
      <c r="CZ61" s="1226"/>
      <c r="DA61" s="1226"/>
      <c r="DB61" s="1226"/>
      <c r="DC61" s="1226"/>
      <c r="DD61" s="1226"/>
      <c r="DE61" s="1226"/>
      <c r="DF61" s="1226"/>
      <c r="DG61" s="1226"/>
      <c r="DH61" s="1226"/>
      <c r="DI61" s="1226"/>
      <c r="DJ61" s="1226"/>
      <c r="DK61" s="1226"/>
      <c r="DL61" s="1226"/>
      <c r="DM61" s="1226"/>
      <c r="DN61" s="1226"/>
      <c r="DO61" s="1226"/>
      <c r="DP61" s="1226"/>
      <c r="DQ61" s="1226"/>
      <c r="DR61" s="1226"/>
      <c r="DS61" s="1226"/>
      <c r="DT61" s="1226"/>
      <c r="DU61" s="1226"/>
      <c r="DV61" s="1226">
        <f>COUNTIFS(ШТАТ!$AN:$AN,"Урал-4320-31",ШТАТ!AL:AL,"Управление")</f>
        <v>0</v>
      </c>
      <c r="DW61" s="1226"/>
      <c r="DX61" s="1226"/>
      <c r="DY61" s="1226"/>
      <c r="DZ61" s="1226"/>
      <c r="EA61" s="1226"/>
      <c r="EB61" s="1226"/>
      <c r="EC61" s="1226"/>
      <c r="ED61" s="1226"/>
      <c r="EE61" s="1226"/>
      <c r="EF61" s="1226"/>
      <c r="EG61" s="1226"/>
      <c r="EH61" s="1226"/>
      <c r="EI61" s="1226"/>
      <c r="EJ61" s="1226"/>
      <c r="EK61" s="1226"/>
      <c r="EL61" s="1226"/>
      <c r="EM61" s="1226"/>
      <c r="EN61" s="1226"/>
      <c r="EO61" s="1226"/>
      <c r="EP61" s="1226"/>
      <c r="EQ61" s="1226"/>
      <c r="ER61" s="1226"/>
      <c r="ES61" s="1226"/>
      <c r="ET61" s="1226"/>
      <c r="EU61" s="1226"/>
      <c r="EV61" s="1226"/>
      <c r="EW61" s="1226"/>
      <c r="EX61" s="1226"/>
      <c r="EY61" s="1226"/>
      <c r="EZ61" s="1226"/>
      <c r="FA61" s="1226"/>
      <c r="FB61" s="1226"/>
      <c r="FC61" s="1226"/>
      <c r="FD61" s="1226"/>
      <c r="FE61" s="1226"/>
      <c r="FF61" s="1226"/>
      <c r="FG61" s="1226"/>
      <c r="FH61" s="1226"/>
      <c r="FI61" s="1226"/>
      <c r="FJ61" s="1226"/>
      <c r="FK61" s="1226"/>
      <c r="FL61" s="1226"/>
      <c r="FM61" s="1226"/>
      <c r="FN61" s="1226"/>
      <c r="FO61" s="1226"/>
      <c r="FP61" s="1226"/>
      <c r="FQ61" s="1226"/>
      <c r="FR61" s="1226"/>
    </row>
    <row r="62" spans="1:174" ht="33" x14ac:dyDescent="0.25">
      <c r="A62" s="1228" t="s">
        <v>4202</v>
      </c>
      <c r="B62" s="1228"/>
      <c r="C62" s="1275">
        <f t="shared" si="31"/>
        <v>2</v>
      </c>
      <c r="D62" s="1275" t="s">
        <v>56</v>
      </c>
      <c r="E62" s="1219">
        <f>COUNTIFS(ШТАТ!$AL:$AL,'БЧС Дерябин'!$A62,ШТАТ!$AK:$AK,1)</f>
        <v>0</v>
      </c>
      <c r="F62" s="1219">
        <f>COUNTIFS(ШТАТ!$AL:$AL,'БЧС Дерябин'!$A62,ШТАТ!$AK:$AK,2)</f>
        <v>0</v>
      </c>
      <c r="G62" s="1219">
        <f>COUNTIFS(ШТАТ!$AL:$AL,'БЧС Дерябин'!$A62,ШТАТ!$AK:$AK,3)</f>
        <v>1</v>
      </c>
      <c r="H62" s="1219">
        <f>COUNTIFS(ШТАТ!$AL:$AL,'БЧС Дерябин'!$A62,ШТАТ!$AK:$AK,4)</f>
        <v>3</v>
      </c>
      <c r="I62" s="1221">
        <f t="shared" si="3"/>
        <v>4</v>
      </c>
      <c r="J62" s="1219">
        <f>COUNTIFS(ШТАТ!AL:AL,A62,ШТАТ!AJ:AJ,"о")</f>
        <v>0</v>
      </c>
      <c r="K62" s="1219">
        <f>COUNTIFS(ШТАТ!AL:AL,A62,ШТАТ!AJ:AJ,"п")</f>
        <v>0</v>
      </c>
      <c r="L62" s="1219">
        <f>COUNTIFS(ШТАТ!$AL:$AL,$A62,ШТАТ!AK:AK,3,ШТАТ!AJ:AJ,"с/с")</f>
        <v>0</v>
      </c>
      <c r="M62" s="1219">
        <f>COUNTIFS(ШТАТ!$AL:$AL,$A62,ШТАТ!AK:AK,3,ШТАТ!AJ:AJ,"к/с")</f>
        <v>0</v>
      </c>
      <c r="N62" s="1222">
        <f t="shared" si="11"/>
        <v>0</v>
      </c>
      <c r="O62" s="1220">
        <f>COUNTIFS(ШТАТ!$AL:$AL,$A62,ШТАТ!AK:AK,4,ШТАТ!AJ:AJ,"с/с")</f>
        <v>0</v>
      </c>
      <c r="P62" s="1220">
        <f>COUNTIFS(ШТАТ!$AL:$AL,$A62,ШТАТ!AK:AK,4,ШТАТ!AJ:AJ,"к/с")</f>
        <v>3</v>
      </c>
      <c r="Q62" s="1222">
        <f t="shared" si="12"/>
        <v>3</v>
      </c>
      <c r="R62" s="1221">
        <f t="shared" si="13"/>
        <v>3</v>
      </c>
      <c r="S62" s="1223">
        <f t="shared" si="14"/>
        <v>0.75</v>
      </c>
      <c r="T62" s="1219">
        <f>COUNTIFS(ШТАТ!$AL:$AL,$A62,ШТАТ!$AJ:$AJ,"о",ШТАТ!$X:$X,"выполнение специальных задач")</f>
        <v>0</v>
      </c>
      <c r="U62" s="1219">
        <f>COUNTIFS(ШТАТ!$AL:$AL,$A62,ШТАТ!$AJ:$AJ,"п",ШТАТ!$X:$X,"выполнение специальных задач")</f>
        <v>0</v>
      </c>
      <c r="V62" s="1219">
        <f>COUNTIFS(ШТАТ!$AL:$AL,$A62,ШТАТ!$AK:$AK,3,ШТАТ!$AJ:$AJ,"с/с",ШТАТ!$X:$X,"выполнение специальных задач")</f>
        <v>0</v>
      </c>
      <c r="W62" s="1219">
        <f>COUNTIFS(ШТАТ!$AL:$AL,$A62,ШТАТ!$AK:$AK,3,ШТАТ!$AJ:$AJ,"к/с",ШТАТ!$X:$X,"выполнение специальных задач")</f>
        <v>0</v>
      </c>
      <c r="X62" s="1222">
        <f t="shared" si="4"/>
        <v>0</v>
      </c>
      <c r="Y62" s="1219">
        <f>COUNTIFS(ШТАТ!$AL:$AL,$A62,ШТАТ!$AK:$AK,4,ШТАТ!$AJ:$AJ,"с/с",ШТАТ!$X:$X,"выполнение специальных задач")</f>
        <v>0</v>
      </c>
      <c r="Z62" s="1219">
        <f>COUNTIFS(ШТАТ!$AL:$AL,$A62,ШТАТ!$AK:$AK,4,ШТАТ!$AJ:$AJ,"к/с",ШТАТ!$X:$X,"выполнение специальных задач")</f>
        <v>0</v>
      </c>
      <c r="AA62" s="1222">
        <f t="shared" si="5"/>
        <v>0</v>
      </c>
      <c r="AB62" s="1221">
        <f t="shared" si="15"/>
        <v>0</v>
      </c>
      <c r="AC62" s="1224"/>
      <c r="AD62" s="1219">
        <f>COUNTIFS(ШТАТ!$AL:$AL,$A62,ШТАТ!$AK:$AK,1,ШТАТ!$AJ:$AJ,"о",ШТАТ!$W:$W,"г. Белгород")</f>
        <v>0</v>
      </c>
      <c r="AE62" s="1219">
        <f>COUNTIFS(ШТАТ!$AL:$AL,$A62,ШТАТ!$AK:$AK,2,ШТАТ!$AJ:$AJ,"п",ШТАТ!$W:$W,"г. Белгород")</f>
        <v>0</v>
      </c>
      <c r="AF62" s="1219">
        <f>COUNTIFS(ШТАТ!$AL:$AL,$A62,ШТАТ!$AK:$AK,3,ШТАТ!$AJ:$AJ,"с/с",ШТАТ!$W:$W,"г. Белгород")</f>
        <v>0</v>
      </c>
      <c r="AG62" s="1219">
        <f>COUNTIFS(ШТАТ!$AL:$AL,$A62,ШТАТ!$AK:$AK,3,ШТАТ!$AJ:$AJ,"к/с",ШТАТ!$W:$W,"г. Белгород")</f>
        <v>0</v>
      </c>
      <c r="AH62" s="1222">
        <f t="shared" si="6"/>
        <v>0</v>
      </c>
      <c r="AI62" s="1219">
        <f>COUNTIFS(ШТАТ!$AL:$AL,$A62,ШТАТ!$AK:$AK,4,ШТАТ!$AJ:$AJ,"с/с",ШТАТ!$W:$W,"г. Белгород")</f>
        <v>0</v>
      </c>
      <c r="AJ62" s="1219">
        <f>COUNTIFS(ШТАТ!$AL:$AL,$A62,ШТАТ!$AK:$AK,4,ШТАТ!$AJ:$AJ,"к/с",ШТАТ!$W:$W,"г. Белгород")</f>
        <v>2</v>
      </c>
      <c r="AK62" s="1222">
        <f t="shared" si="7"/>
        <v>2</v>
      </c>
      <c r="AL62" s="1221">
        <f t="shared" si="16"/>
        <v>2</v>
      </c>
      <c r="AM62" s="1219">
        <f>COUNTIFS(ШТАТ!$AL:$AL,$A62,ШТАТ!$AK:$AK,1,ШТАТ!$AJ:$AJ,"о",ШТАТ!$U:$U,"")</f>
        <v>0</v>
      </c>
      <c r="AN62" s="1219">
        <f>COUNTIFS(ШТАТ!$AL:$AL,$A62,ШТАТ!$AK:$AK,2,ШТАТ!$AJ:$AJ,"п",ШТАТ!$U:$U,"")</f>
        <v>0</v>
      </c>
      <c r="AO62" s="1219">
        <f>COUNTIFS(ШТАТ!$AL:$AL,$A62,ШТАТ!$AK:$AK,3,ШТАТ!$AJ:$AJ,"с/с",ШТАТ!$U:$U,"")</f>
        <v>0</v>
      </c>
      <c r="AP62" s="1219">
        <f>COUNTIFS(ШТАТ!$AL:$AL,$A62,ШТАТ!$AK:$AK,3,ШТАТ!$AJ:$AJ,"к/с",ШТАТ!$U:$U,"")</f>
        <v>0</v>
      </c>
      <c r="AQ62" s="1222">
        <f t="shared" si="17"/>
        <v>0</v>
      </c>
      <c r="AR62" s="1219">
        <f>COUNTIFS(ШТАТ!$AL:$AL,$A62,ШТАТ!$AK:$AK,4,ШТАТ!$AJ:$AJ,"с/с",ШТАТ!$U:$U,"")</f>
        <v>0</v>
      </c>
      <c r="AS62" s="1219">
        <f>COUNTIFS(ШТАТ!$AL:$AL,$A62,ШТАТ!$AK:$AK,4,ШТАТ!$AJ:$AJ,"к/с",ШТАТ!$U:$U,"")</f>
        <v>1</v>
      </c>
      <c r="AT62" s="1222">
        <f t="shared" si="8"/>
        <v>1</v>
      </c>
      <c r="AU62" s="1221">
        <f t="shared" si="18"/>
        <v>1</v>
      </c>
      <c r="AV62" s="1219">
        <f>COUNTIFS(ШТАТ!$AL:$AL,$A62,ШТАТ!$U:$U,"госп")</f>
        <v>0</v>
      </c>
      <c r="AW62" s="1225">
        <f t="shared" si="9"/>
        <v>0</v>
      </c>
      <c r="AX62" s="1219">
        <f>COUNTIFS(ШТАТ!$AL:$AL,$A62,ШТАТ!$U:$U,"отпуск")</f>
        <v>0</v>
      </c>
      <c r="AY62" s="1219">
        <f>COUNTIFS(ШТАТ!$AL:$AL,$A62,ШТАТ!$U:$U,"соч")</f>
        <v>0</v>
      </c>
      <c r="AZ62" s="1225"/>
      <c r="BA62" s="1219">
        <f>COUNTIFS(ШТАТ!$AL:$AL,$A62,ШТАТ!$U:$U,"МП")</f>
        <v>0</v>
      </c>
      <c r="BB62" s="1226"/>
      <c r="BC62" s="1226"/>
      <c r="BD62" s="1219"/>
      <c r="BE62" s="1226"/>
      <c r="BF62" s="1226"/>
      <c r="BG62" s="1226"/>
      <c r="BH62" s="1226"/>
      <c r="BI62" s="1226"/>
      <c r="BJ62" s="1226"/>
      <c r="BK62" s="1226"/>
      <c r="BL62" s="1226"/>
      <c r="BM62" s="1226"/>
      <c r="BN62" s="1226"/>
      <c r="BO62" s="1226"/>
      <c r="BP62" s="1226"/>
      <c r="BQ62" s="1226"/>
      <c r="BR62" s="1226"/>
      <c r="BS62" s="1226"/>
      <c r="BT62" s="1226"/>
      <c r="BU62" s="1226"/>
      <c r="BV62" s="1226"/>
      <c r="BW62" s="1226"/>
      <c r="BX62" s="1226"/>
      <c r="BY62" s="1226"/>
      <c r="BZ62" s="1226"/>
      <c r="CA62" s="1226"/>
      <c r="CB62" s="1226"/>
      <c r="CC62" s="1226"/>
      <c r="CD62" s="1226"/>
      <c r="CE62" s="1226"/>
      <c r="CF62" s="1226"/>
      <c r="CG62" s="1226"/>
      <c r="CH62" s="1226"/>
      <c r="CI62" s="1226"/>
      <c r="CJ62" s="1226"/>
      <c r="CK62" s="1226"/>
      <c r="CL62" s="1226"/>
      <c r="CM62" s="1226"/>
      <c r="CN62" s="1226"/>
      <c r="CO62" s="1226"/>
      <c r="CP62" s="1226"/>
      <c r="CQ62" s="1226"/>
      <c r="CR62" s="1226"/>
      <c r="CS62" s="1226"/>
      <c r="CT62" s="1226"/>
      <c r="CU62" s="1226"/>
      <c r="CV62" s="1226"/>
      <c r="CW62" s="1226"/>
      <c r="CX62" s="1226"/>
      <c r="CY62" s="1226"/>
      <c r="CZ62" s="1226"/>
      <c r="DA62" s="1226"/>
      <c r="DB62" s="1226"/>
      <c r="DC62" s="1226"/>
      <c r="DD62" s="1226"/>
      <c r="DE62" s="1226"/>
      <c r="DF62" s="1226"/>
      <c r="DG62" s="1226"/>
      <c r="DH62" s="1226"/>
      <c r="DI62" s="1226"/>
      <c r="DJ62" s="1226"/>
      <c r="DK62" s="1226"/>
      <c r="DL62" s="1226">
        <v>1</v>
      </c>
      <c r="DM62" s="1226"/>
      <c r="DN62" s="1226"/>
      <c r="DO62" s="1226"/>
      <c r="DP62" s="1226"/>
      <c r="DQ62" s="1226"/>
      <c r="DR62" s="1226"/>
      <c r="DS62" s="1226"/>
      <c r="DT62" s="1226"/>
      <c r="DU62" s="1226"/>
      <c r="DV62" s="1226">
        <f>COUNTIFS(ШТАТ!$AN:$AN,"Урал-4320-31",ШТАТ!AL:AL,"Управление")</f>
        <v>0</v>
      </c>
      <c r="DW62" s="1226"/>
      <c r="DX62" s="1226"/>
      <c r="DY62" s="1226"/>
      <c r="DZ62" s="1226"/>
      <c r="EA62" s="1226"/>
      <c r="EB62" s="1226"/>
      <c r="EC62" s="1226"/>
      <c r="ED62" s="1226"/>
      <c r="EE62" s="1226"/>
      <c r="EF62" s="1226"/>
      <c r="EG62" s="1226"/>
      <c r="EH62" s="1226"/>
      <c r="EI62" s="1226"/>
      <c r="EJ62" s="1226"/>
      <c r="EK62" s="1226"/>
      <c r="EL62" s="1226"/>
      <c r="EM62" s="1226"/>
      <c r="EN62" s="1226"/>
      <c r="EO62" s="1226"/>
      <c r="EP62" s="1226"/>
      <c r="EQ62" s="1226"/>
      <c r="ER62" s="1226"/>
      <c r="ES62" s="1226"/>
      <c r="ET62" s="1226"/>
      <c r="EU62" s="1226"/>
      <c r="EV62" s="1226"/>
      <c r="EW62" s="1226"/>
      <c r="EX62" s="1226"/>
      <c r="EY62" s="1226"/>
      <c r="EZ62" s="1226"/>
      <c r="FA62" s="1226"/>
      <c r="FB62" s="1226"/>
      <c r="FC62" s="1226"/>
      <c r="FD62" s="1226"/>
      <c r="FE62" s="1226"/>
      <c r="FF62" s="1226"/>
      <c r="FG62" s="1226"/>
      <c r="FH62" s="1226"/>
      <c r="FI62" s="1226"/>
      <c r="FJ62" s="1226"/>
      <c r="FK62" s="1226"/>
      <c r="FL62" s="1226"/>
      <c r="FM62" s="1226"/>
      <c r="FN62" s="1226"/>
      <c r="FO62" s="1226"/>
      <c r="FP62" s="1226"/>
      <c r="FQ62" s="1226"/>
      <c r="FR62" s="1226"/>
    </row>
    <row r="63" spans="1:174" ht="33" x14ac:dyDescent="0.25">
      <c r="A63" s="1218" t="s">
        <v>646</v>
      </c>
      <c r="B63" s="1265" t="s">
        <v>4736</v>
      </c>
      <c r="C63" s="1265">
        <f t="shared" si="31"/>
        <v>43</v>
      </c>
      <c r="D63" s="1265" t="s">
        <v>56</v>
      </c>
      <c r="E63" s="1219">
        <f>SUM(E58:E62)</f>
        <v>4</v>
      </c>
      <c r="F63" s="1219">
        <f>SUM(F58:F62)</f>
        <v>1</v>
      </c>
      <c r="G63" s="1219">
        <f>SUM(G58:G62)</f>
        <v>10</v>
      </c>
      <c r="H63" s="1219">
        <f>SUM(H58:H62)</f>
        <v>30</v>
      </c>
      <c r="I63" s="1221">
        <f t="shared" si="3"/>
        <v>45</v>
      </c>
      <c r="J63" s="1219">
        <f>SUM(J58:J62)</f>
        <v>4</v>
      </c>
      <c r="K63" s="1219">
        <f>SUM(K58:K62)</f>
        <v>1</v>
      </c>
      <c r="L63" s="1219">
        <f>SUM(L58:L62)</f>
        <v>0</v>
      </c>
      <c r="M63" s="1219">
        <f>SUM(M58:M62)</f>
        <v>9</v>
      </c>
      <c r="N63" s="1222">
        <f t="shared" si="11"/>
        <v>9</v>
      </c>
      <c r="O63" s="1219">
        <f>SUM(O58:O62)</f>
        <v>0</v>
      </c>
      <c r="P63" s="1219">
        <f>SUM(P58:P62)</f>
        <v>30</v>
      </c>
      <c r="Q63" s="1222">
        <f t="shared" si="12"/>
        <v>30</v>
      </c>
      <c r="R63" s="1221">
        <f t="shared" si="13"/>
        <v>44</v>
      </c>
      <c r="S63" s="1223">
        <f t="shared" si="14"/>
        <v>0.97777777777777775</v>
      </c>
      <c r="T63" s="1219">
        <f>SUM(T58:T62)</f>
        <v>0</v>
      </c>
      <c r="U63" s="1219">
        <f>SUM(U58:U62)</f>
        <v>0</v>
      </c>
      <c r="V63" s="1219">
        <f>SUM(V58:V62)</f>
        <v>0</v>
      </c>
      <c r="W63" s="1219">
        <f>SUM(W58:W62)</f>
        <v>0</v>
      </c>
      <c r="X63" s="1222">
        <f t="shared" si="4"/>
        <v>0</v>
      </c>
      <c r="Y63" s="1219">
        <f>SUM(Y58:Y62)</f>
        <v>0</v>
      </c>
      <c r="Z63" s="1219">
        <f>SUM(Z58:Z62)</f>
        <v>0</v>
      </c>
      <c r="AA63" s="1222">
        <f t="shared" si="5"/>
        <v>0</v>
      </c>
      <c r="AB63" s="1221">
        <f t="shared" si="15"/>
        <v>0</v>
      </c>
      <c r="AC63" s="1224">
        <f>AB63/R63</f>
        <v>0</v>
      </c>
      <c r="AD63" s="1219">
        <f>SUM(AD58:AD62)</f>
        <v>4</v>
      </c>
      <c r="AE63" s="1219">
        <f>SUM(AE58:AE62)</f>
        <v>1</v>
      </c>
      <c r="AF63" s="1219">
        <f>SUM(AF58:AF62)</f>
        <v>0</v>
      </c>
      <c r="AG63" s="1219">
        <f>SUM(AG58:AG62)</f>
        <v>9</v>
      </c>
      <c r="AH63" s="1222">
        <f t="shared" si="6"/>
        <v>9</v>
      </c>
      <c r="AI63" s="1219">
        <f>SUM(AI58:AI62)</f>
        <v>0</v>
      </c>
      <c r="AJ63" s="1219">
        <f>SUM(AJ58:AJ62)</f>
        <v>29</v>
      </c>
      <c r="AK63" s="1222">
        <f t="shared" si="7"/>
        <v>29</v>
      </c>
      <c r="AL63" s="1221">
        <f t="shared" si="16"/>
        <v>43</v>
      </c>
      <c r="AM63" s="1219">
        <f>SUM(AM58:AM62)</f>
        <v>0</v>
      </c>
      <c r="AN63" s="1219">
        <f>SUM(AN58:AN62)</f>
        <v>0</v>
      </c>
      <c r="AO63" s="1219">
        <f>SUM(AO58:AO62)</f>
        <v>0</v>
      </c>
      <c r="AP63" s="1219">
        <f>SUM(AP58:AP62)</f>
        <v>0</v>
      </c>
      <c r="AQ63" s="1222">
        <f t="shared" si="17"/>
        <v>0</v>
      </c>
      <c r="AR63" s="1219">
        <f>SUM(AR58:AR62)</f>
        <v>0</v>
      </c>
      <c r="AS63" s="1219">
        <f>SUM(AS58:AS62)</f>
        <v>1</v>
      </c>
      <c r="AT63" s="1222">
        <f t="shared" si="8"/>
        <v>1</v>
      </c>
      <c r="AU63" s="1221">
        <f t="shared" si="18"/>
        <v>1</v>
      </c>
      <c r="AV63" s="1219">
        <f>SUM(AV58:AV62)</f>
        <v>0</v>
      </c>
      <c r="AW63" s="1225">
        <f t="shared" si="9"/>
        <v>0</v>
      </c>
      <c r="AX63" s="1219">
        <f>SUM(AX58:AX62)</f>
        <v>0</v>
      </c>
      <c r="AY63" s="1219">
        <f>SUM(AY58:AY62)</f>
        <v>0</v>
      </c>
      <c r="AZ63" s="1219">
        <f>SUM(AZ58:AZ62)</f>
        <v>0</v>
      </c>
      <c r="BA63" s="1219">
        <f>SUM(BA58:BA62)</f>
        <v>0</v>
      </c>
      <c r="BB63" s="1226">
        <v>2</v>
      </c>
      <c r="BC63" s="1226"/>
      <c r="BD63" s="1219">
        <v>1</v>
      </c>
      <c r="BE63" s="1226"/>
      <c r="BF63" s="1226"/>
      <c r="BG63" s="1226"/>
      <c r="BH63" s="1226"/>
      <c r="BI63" s="1226"/>
      <c r="BJ63" s="1226"/>
      <c r="BK63" s="1226"/>
      <c r="BL63" s="1226"/>
      <c r="BM63" s="1226">
        <v>2</v>
      </c>
      <c r="BN63" s="1226"/>
      <c r="BO63" s="1226"/>
      <c r="BP63" s="1226"/>
      <c r="BQ63" s="1226"/>
      <c r="BR63" s="1226"/>
      <c r="BS63" s="1226"/>
      <c r="BT63" s="1226"/>
      <c r="BU63" s="1226"/>
      <c r="BV63" s="1226"/>
      <c r="BW63" s="1226"/>
      <c r="BX63" s="1226"/>
      <c r="BY63" s="1226"/>
      <c r="BZ63" s="1226"/>
      <c r="CA63" s="1226"/>
      <c r="CB63" s="1226"/>
      <c r="CC63" s="1226"/>
      <c r="CD63" s="1226"/>
      <c r="CE63" s="1226"/>
      <c r="CF63" s="1226"/>
      <c r="CG63" s="1226"/>
      <c r="CH63" s="1226"/>
      <c r="CI63" s="1226"/>
      <c r="CJ63" s="1226"/>
      <c r="CK63" s="1226"/>
      <c r="CL63" s="1226"/>
      <c r="CM63" s="1226"/>
      <c r="CN63" s="1226"/>
      <c r="CO63" s="1226"/>
      <c r="CP63" s="1226"/>
      <c r="CQ63" s="1226"/>
      <c r="CR63" s="1226"/>
      <c r="CS63" s="1226"/>
      <c r="CT63" s="1226"/>
      <c r="CU63" s="1226"/>
      <c r="CV63" s="1226"/>
      <c r="CW63" s="1226"/>
      <c r="CX63" s="1226"/>
      <c r="CY63" s="1226"/>
      <c r="CZ63" s="1226"/>
      <c r="DA63" s="1226"/>
      <c r="DB63" s="1226"/>
      <c r="DC63" s="1219">
        <f>SUM(DC58:DC62)</f>
        <v>0</v>
      </c>
      <c r="DD63" s="1219">
        <f t="shared" ref="DD63:FO63" si="32">SUM(DD58:DD62)</f>
        <v>0</v>
      </c>
      <c r="DE63" s="1219">
        <f t="shared" si="32"/>
        <v>0</v>
      </c>
      <c r="DF63" s="1219">
        <f t="shared" si="32"/>
        <v>0</v>
      </c>
      <c r="DG63" s="1219">
        <f t="shared" si="32"/>
        <v>0</v>
      </c>
      <c r="DH63" s="1219">
        <f t="shared" si="32"/>
        <v>0</v>
      </c>
      <c r="DI63" s="1219">
        <f t="shared" si="32"/>
        <v>0</v>
      </c>
      <c r="DJ63" s="1219">
        <f t="shared" si="32"/>
        <v>6</v>
      </c>
      <c r="DK63" s="1219">
        <f t="shared" si="32"/>
        <v>0</v>
      </c>
      <c r="DL63" s="1219">
        <f t="shared" si="32"/>
        <v>1</v>
      </c>
      <c r="DM63" s="1219">
        <f t="shared" si="32"/>
        <v>0</v>
      </c>
      <c r="DN63" s="1219">
        <f t="shared" si="32"/>
        <v>0</v>
      </c>
      <c r="DO63" s="1219">
        <f t="shared" si="32"/>
        <v>0</v>
      </c>
      <c r="DP63" s="1219">
        <f t="shared" si="32"/>
        <v>0</v>
      </c>
      <c r="DQ63" s="1219">
        <f t="shared" si="32"/>
        <v>0</v>
      </c>
      <c r="DR63" s="1219">
        <f t="shared" si="32"/>
        <v>0</v>
      </c>
      <c r="DS63" s="1219">
        <f t="shared" si="32"/>
        <v>0</v>
      </c>
      <c r="DT63" s="1219">
        <f t="shared" si="32"/>
        <v>0</v>
      </c>
      <c r="DU63" s="1219">
        <f t="shared" si="32"/>
        <v>0</v>
      </c>
      <c r="DV63" s="1219">
        <f t="shared" si="32"/>
        <v>0</v>
      </c>
      <c r="DW63" s="1219">
        <f t="shared" si="32"/>
        <v>0</v>
      </c>
      <c r="DX63" s="1219">
        <f t="shared" si="32"/>
        <v>0</v>
      </c>
      <c r="DY63" s="1219">
        <f t="shared" si="32"/>
        <v>0</v>
      </c>
      <c r="DZ63" s="1219">
        <f t="shared" si="32"/>
        <v>0</v>
      </c>
      <c r="EA63" s="1219">
        <f t="shared" si="32"/>
        <v>0</v>
      </c>
      <c r="EB63" s="1219">
        <f t="shared" si="32"/>
        <v>0</v>
      </c>
      <c r="EC63" s="1219">
        <f t="shared" si="32"/>
        <v>0</v>
      </c>
      <c r="ED63" s="1219">
        <f t="shared" si="32"/>
        <v>0</v>
      </c>
      <c r="EE63" s="1219">
        <f t="shared" si="32"/>
        <v>0</v>
      </c>
      <c r="EF63" s="1219">
        <f t="shared" si="32"/>
        <v>0</v>
      </c>
      <c r="EG63" s="1219">
        <f t="shared" si="32"/>
        <v>0</v>
      </c>
      <c r="EH63" s="1219">
        <f t="shared" si="32"/>
        <v>0</v>
      </c>
      <c r="EI63" s="1219">
        <f t="shared" si="32"/>
        <v>0</v>
      </c>
      <c r="EJ63" s="1219">
        <f t="shared" si="32"/>
        <v>0</v>
      </c>
      <c r="EK63" s="1219">
        <f t="shared" si="32"/>
        <v>0</v>
      </c>
      <c r="EL63" s="1219">
        <f t="shared" si="32"/>
        <v>0</v>
      </c>
      <c r="EM63" s="1219">
        <f t="shared" si="32"/>
        <v>0</v>
      </c>
      <c r="EN63" s="1219">
        <f t="shared" si="32"/>
        <v>0</v>
      </c>
      <c r="EO63" s="1219">
        <f t="shared" si="32"/>
        <v>0</v>
      </c>
      <c r="EP63" s="1219">
        <f t="shared" si="32"/>
        <v>0</v>
      </c>
      <c r="EQ63" s="1219">
        <f t="shared" si="32"/>
        <v>0</v>
      </c>
      <c r="ER63" s="1219">
        <f t="shared" si="32"/>
        <v>0</v>
      </c>
      <c r="ES63" s="1219">
        <f t="shared" si="32"/>
        <v>0</v>
      </c>
      <c r="ET63" s="1219">
        <f t="shared" si="32"/>
        <v>0</v>
      </c>
      <c r="EU63" s="1219">
        <f t="shared" si="32"/>
        <v>0</v>
      </c>
      <c r="EV63" s="1219">
        <f t="shared" si="32"/>
        <v>0</v>
      </c>
      <c r="EW63" s="1219">
        <f t="shared" si="32"/>
        <v>0</v>
      </c>
      <c r="EX63" s="1219">
        <f t="shared" si="32"/>
        <v>0</v>
      </c>
      <c r="EY63" s="1219">
        <f t="shared" si="32"/>
        <v>0</v>
      </c>
      <c r="EZ63" s="1219">
        <f t="shared" si="32"/>
        <v>0</v>
      </c>
      <c r="FA63" s="1219">
        <f t="shared" si="32"/>
        <v>0</v>
      </c>
      <c r="FB63" s="1219">
        <f t="shared" si="32"/>
        <v>0</v>
      </c>
      <c r="FC63" s="1219">
        <f t="shared" si="32"/>
        <v>0</v>
      </c>
      <c r="FD63" s="1219">
        <f t="shared" si="32"/>
        <v>0</v>
      </c>
      <c r="FE63" s="1219">
        <f t="shared" si="32"/>
        <v>0</v>
      </c>
      <c r="FF63" s="1219">
        <f t="shared" si="32"/>
        <v>0</v>
      </c>
      <c r="FG63" s="1219">
        <f t="shared" si="32"/>
        <v>0</v>
      </c>
      <c r="FH63" s="1219">
        <f t="shared" si="32"/>
        <v>0</v>
      </c>
      <c r="FI63" s="1219">
        <f t="shared" si="32"/>
        <v>0</v>
      </c>
      <c r="FJ63" s="1219">
        <f t="shared" si="32"/>
        <v>0</v>
      </c>
      <c r="FK63" s="1219">
        <f t="shared" si="32"/>
        <v>0</v>
      </c>
      <c r="FL63" s="1219">
        <f t="shared" si="32"/>
        <v>0</v>
      </c>
      <c r="FM63" s="1219">
        <f t="shared" si="32"/>
        <v>0</v>
      </c>
      <c r="FN63" s="1219">
        <f t="shared" si="32"/>
        <v>0</v>
      </c>
      <c r="FO63" s="1219">
        <f t="shared" si="32"/>
        <v>0</v>
      </c>
      <c r="FP63" s="1219">
        <f t="shared" ref="FP63:FR63" si="33">SUM(FP58:FP62)</f>
        <v>0</v>
      </c>
      <c r="FQ63" s="1219">
        <f t="shared" si="33"/>
        <v>0</v>
      </c>
      <c r="FR63" s="1219">
        <f t="shared" si="33"/>
        <v>0</v>
      </c>
    </row>
    <row r="64" spans="1:174" ht="33" x14ac:dyDescent="0.25">
      <c r="A64" s="1228" t="s">
        <v>4203</v>
      </c>
      <c r="B64" s="1228"/>
      <c r="C64" s="1275">
        <f t="shared" ref="C64:C82" si="34">AU64</f>
        <v>2</v>
      </c>
      <c r="D64" s="1276" t="s">
        <v>4805</v>
      </c>
      <c r="E64" s="1219">
        <f>COUNTIFS(ШТАТ!$AL:$AL,'БЧС Дерябин'!$A64,ШТАТ!$AK:$AK,1)</f>
        <v>1</v>
      </c>
      <c r="F64" s="1219">
        <f>COUNTIFS(ШТАТ!$AL:$AL,'БЧС Дерябин'!$A64,ШТАТ!$AK:$AK,2)</f>
        <v>1</v>
      </c>
      <c r="G64" s="1219">
        <f>COUNTIFS(ШТАТ!$AL:$AL,'БЧС Дерябин'!$A64,ШТАТ!$AK:$AK,3)</f>
        <v>0</v>
      </c>
      <c r="H64" s="1219">
        <f>COUNTIFS(ШТАТ!$AL:$AL,'БЧС Дерябин'!$A64,ШТАТ!$AK:$AK,4)</f>
        <v>2</v>
      </c>
      <c r="I64" s="1221">
        <f t="shared" si="3"/>
        <v>4</v>
      </c>
      <c r="J64" s="1219">
        <f>COUNTIFS(ШТАТ!AL:AL,A64,ШТАТ!AJ:AJ,"о")</f>
        <v>1</v>
      </c>
      <c r="K64" s="1219">
        <f>COUNTIFS(ШТАТ!AL:AL,A64,ШТАТ!AJ:AJ,"п")</f>
        <v>1</v>
      </c>
      <c r="L64" s="1219">
        <f>COUNTIFS(ШТАТ!$AL:$AL,$A64,ШТАТ!AK:AK,3,ШТАТ!AJ:AJ,"с/с")</f>
        <v>0</v>
      </c>
      <c r="M64" s="1219">
        <f>COUNTIFS(ШТАТ!$AL:$AL,$A64,ШТАТ!AK:AK,3,ШТАТ!AJ:AJ,"к/с")</f>
        <v>0</v>
      </c>
      <c r="N64" s="1222">
        <f t="shared" si="11"/>
        <v>0</v>
      </c>
      <c r="O64" s="1220">
        <f>COUNTIFS(ШТАТ!$AL:$AL,$A64,ШТАТ!AK:AK,4,ШТАТ!AJ:AJ,"с/с")</f>
        <v>2</v>
      </c>
      <c r="P64" s="1220">
        <f>COUNTIFS(ШТАТ!$AL:$AL,$A64,ШТАТ!AK:AK,4,ШТАТ!AJ:AJ,"к/с")</f>
        <v>0</v>
      </c>
      <c r="Q64" s="1222">
        <f t="shared" si="12"/>
        <v>2</v>
      </c>
      <c r="R64" s="1221">
        <f t="shared" si="13"/>
        <v>4</v>
      </c>
      <c r="S64" s="1223">
        <f t="shared" si="14"/>
        <v>1</v>
      </c>
      <c r="T64" s="1219">
        <f>COUNTIFS(ШТАТ!$AL:$AL,$A64,ШТАТ!$AJ:$AJ,"о",ШТАТ!$X:$X,"выполнение специальных задач")</f>
        <v>0</v>
      </c>
      <c r="U64" s="1219">
        <f>COUNTIFS(ШТАТ!$AL:$AL,$A64,ШТАТ!$AJ:$AJ,"п",ШТАТ!$X:$X,"выполнение специальных задач")</f>
        <v>1</v>
      </c>
      <c r="V64" s="1219">
        <f>COUNTIFS(ШТАТ!$AL:$AL,$A64,ШТАТ!$AK:$AK,3,ШТАТ!$AJ:$AJ,"с/с",ШТАТ!$X:$X,"выполнение специальных задач")</f>
        <v>0</v>
      </c>
      <c r="W64" s="1219">
        <f>COUNTIFS(ШТАТ!$AL:$AL,$A64,ШТАТ!$AK:$AK,3,ШТАТ!$AJ:$AJ,"к/с",ШТАТ!$X:$X,"выполнение специальных задач")</f>
        <v>0</v>
      </c>
      <c r="X64" s="1222">
        <f t="shared" si="4"/>
        <v>0</v>
      </c>
      <c r="Y64" s="1219">
        <f>COUNTIFS(ШТАТ!$AL:$AL,$A64,ШТАТ!$AK:$AK,4,ШТАТ!$AJ:$AJ,"с/с",ШТАТ!$X:$X,"выполнение специальных задач")</f>
        <v>0</v>
      </c>
      <c r="Z64" s="1219">
        <f>COUNTIFS(ШТАТ!$AL:$AL,$A64,ШТАТ!$AK:$AK,4,ШТАТ!$AJ:$AJ,"к/с",ШТАТ!$X:$X,"выполнение специальных задач")</f>
        <v>0</v>
      </c>
      <c r="AA64" s="1222">
        <f t="shared" si="5"/>
        <v>0</v>
      </c>
      <c r="AB64" s="1221">
        <f t="shared" si="15"/>
        <v>1</v>
      </c>
      <c r="AC64" s="1224"/>
      <c r="AD64" s="1219">
        <f>COUNTIFS(ШТАТ!$AL:$AL,$A64,ШТАТ!$AK:$AK,1,ШТАТ!$AJ:$AJ,"о",ШТАТ!$W:$W,"г. Белгород")</f>
        <v>1</v>
      </c>
      <c r="AE64" s="1219">
        <f>COUNTIFS(ШТАТ!$AL:$AL,$A64,ШТАТ!$AK:$AK,2,ШТАТ!$AJ:$AJ,"п",ШТАТ!$W:$W,"г. Белгород")</f>
        <v>0</v>
      </c>
      <c r="AF64" s="1219">
        <f>COUNTIFS(ШТАТ!$AL:$AL,$A64,ШТАТ!$AK:$AK,3,ШТАТ!$AJ:$AJ,"с/с",ШТАТ!$W:$W,"г. Белгород")</f>
        <v>0</v>
      </c>
      <c r="AG64" s="1219">
        <f>COUNTIFS(ШТАТ!$AL:$AL,$A64,ШТАТ!$AK:$AK,3,ШТАТ!$AJ:$AJ,"к/с",ШТАТ!$W:$W,"г. Белгород")</f>
        <v>0</v>
      </c>
      <c r="AH64" s="1222">
        <f t="shared" si="6"/>
        <v>0</v>
      </c>
      <c r="AI64" s="1219">
        <f>COUNTIFS(ШТАТ!$AL:$AL,$A64,ШТАТ!$AK:$AK,4,ШТАТ!$AJ:$AJ,"с/с",ШТАТ!$W:$W,"г. Белгород")</f>
        <v>0</v>
      </c>
      <c r="AJ64" s="1219">
        <f>COUNTIFS(ШТАТ!$AL:$AL,$A64,ШТАТ!$AK:$AK,4,ШТАТ!$AJ:$AJ,"к/с",ШТАТ!$W:$W,"г. Белгород")</f>
        <v>0</v>
      </c>
      <c r="AK64" s="1222">
        <f t="shared" si="7"/>
        <v>0</v>
      </c>
      <c r="AL64" s="1221">
        <f t="shared" si="16"/>
        <v>1</v>
      </c>
      <c r="AM64" s="1219">
        <f>COUNTIFS(ШТАТ!$AL:$AL,$A64,ШТАТ!$AK:$AK,1,ШТАТ!$AJ:$AJ,"о",ШТАТ!$U:$U,"")</f>
        <v>0</v>
      </c>
      <c r="AN64" s="1219">
        <f>COUNTIFS(ШТАТ!$AL:$AL,$A64,ШТАТ!$AK:$AK,2,ШТАТ!$AJ:$AJ,"п",ШТАТ!$U:$U,"")</f>
        <v>0</v>
      </c>
      <c r="AO64" s="1219">
        <f>COUNTIFS(ШТАТ!$AL:$AL,$A64,ШТАТ!$AK:$AK,3,ШТАТ!$AJ:$AJ,"с/с",ШТАТ!$U:$U,"")</f>
        <v>0</v>
      </c>
      <c r="AP64" s="1219">
        <f>COUNTIFS(ШТАТ!$AL:$AL,$A64,ШТАТ!$AK:$AK,3,ШТАТ!$AJ:$AJ,"к/с",ШТАТ!$U:$U,"")</f>
        <v>0</v>
      </c>
      <c r="AQ64" s="1222">
        <f t="shared" si="17"/>
        <v>0</v>
      </c>
      <c r="AR64" s="1219">
        <f>COUNTIFS(ШТАТ!$AL:$AL,$A64,ШТАТ!$AK:$AK,4,ШТАТ!$AJ:$AJ,"с/с",ШТАТ!$U:$U,"")</f>
        <v>2</v>
      </c>
      <c r="AS64" s="1219">
        <f>COUNTIFS(ШТАТ!$AL:$AL,$A64,ШТАТ!$AK:$AK,4,ШТАТ!$AJ:$AJ,"к/с",ШТАТ!$U:$U,"")</f>
        <v>0</v>
      </c>
      <c r="AT64" s="1222">
        <f t="shared" si="8"/>
        <v>2</v>
      </c>
      <c r="AU64" s="1221">
        <f t="shared" si="18"/>
        <v>2</v>
      </c>
      <c r="AV64" s="1219">
        <f>COUNTIFS(ШТАТ!$AL:$AL,$A64,ШТАТ!$U:$U,"госп")</f>
        <v>0</v>
      </c>
      <c r="AW64" s="1225">
        <f t="shared" si="9"/>
        <v>0</v>
      </c>
      <c r="AX64" s="1219">
        <f>COUNTIFS(ШТАТ!$AL:$AL,$A64,ШТАТ!$U:$U,"отпуск")</f>
        <v>0</v>
      </c>
      <c r="AY64" s="1219">
        <f>COUNTIFS(ШТАТ!$AL:$AL,$A64,ШТАТ!$U:$U,"соч")</f>
        <v>0</v>
      </c>
      <c r="AZ64" s="1225"/>
      <c r="BA64" s="1219">
        <f>COUNTIFS(ШТАТ!$AL:$AL,$A64,ШТАТ!$U:$U,"МП")</f>
        <v>0</v>
      </c>
      <c r="BB64" s="1226"/>
      <c r="BC64" s="1226"/>
      <c r="BD64" s="1219"/>
      <c r="BE64" s="1226"/>
      <c r="BF64" s="1226"/>
      <c r="BG64" s="1226"/>
      <c r="BH64" s="1226"/>
      <c r="BI64" s="1226"/>
      <c r="BJ64" s="1226"/>
      <c r="BK64" s="1226"/>
      <c r="BL64" s="1226"/>
      <c r="BM64" s="1226"/>
      <c r="BN64" s="1226"/>
      <c r="BO64" s="1226"/>
      <c r="BP64" s="1226"/>
      <c r="BQ64" s="1226"/>
      <c r="BR64" s="1226"/>
      <c r="BS64" s="1226"/>
      <c r="BT64" s="1226"/>
      <c r="BU64" s="1226"/>
      <c r="BV64" s="1226"/>
      <c r="BW64" s="1226"/>
      <c r="BX64" s="1226"/>
      <c r="BY64" s="1226"/>
      <c r="BZ64" s="1226"/>
      <c r="CA64" s="1226"/>
      <c r="CB64" s="1226"/>
      <c r="CC64" s="1226"/>
      <c r="CD64" s="1226"/>
      <c r="CE64" s="1226"/>
      <c r="CF64" s="1226"/>
      <c r="CG64" s="1226"/>
      <c r="CH64" s="1226"/>
      <c r="CI64" s="1226"/>
      <c r="CJ64" s="1226"/>
      <c r="CK64" s="1226"/>
      <c r="CL64" s="1226"/>
      <c r="CM64" s="1226"/>
      <c r="CN64" s="1226"/>
      <c r="CO64" s="1226"/>
      <c r="CP64" s="1226"/>
      <c r="CQ64" s="1226"/>
      <c r="CR64" s="1226"/>
      <c r="CS64" s="1226"/>
      <c r="CT64" s="1226"/>
      <c r="CU64" s="1226"/>
      <c r="CV64" s="1226"/>
      <c r="CW64" s="1226"/>
      <c r="CX64" s="1226"/>
      <c r="CY64" s="1226"/>
      <c r="CZ64" s="1226"/>
      <c r="DA64" s="1226"/>
      <c r="DB64" s="1226"/>
      <c r="DC64" s="1226"/>
      <c r="DD64" s="1226"/>
      <c r="DE64" s="1226"/>
      <c r="DF64" s="1226"/>
      <c r="DG64" s="1226"/>
      <c r="DH64" s="1226"/>
      <c r="DI64" s="1226"/>
      <c r="DJ64" s="1226"/>
      <c r="DK64" s="1226"/>
      <c r="DL64" s="1226"/>
      <c r="DM64" s="1226"/>
      <c r="DN64" s="1226"/>
      <c r="DO64" s="1226"/>
      <c r="DP64" s="1226"/>
      <c r="DQ64" s="1226"/>
      <c r="DR64" s="1226"/>
      <c r="DS64" s="1226"/>
      <c r="DT64" s="1226"/>
      <c r="DU64" s="1226"/>
      <c r="DV64" s="1226">
        <f>COUNTIFS(ШТАТ!$AN:$AN,"Урал-4320-31",ШТАТ!AL:AL,"Управление")</f>
        <v>0</v>
      </c>
      <c r="DW64" s="1226"/>
      <c r="DX64" s="1226"/>
      <c r="DY64" s="1226"/>
      <c r="DZ64" s="1226"/>
      <c r="EA64" s="1226"/>
      <c r="EB64" s="1226"/>
      <c r="EC64" s="1226"/>
      <c r="ED64" s="1226"/>
      <c r="EE64" s="1226"/>
      <c r="EF64" s="1226"/>
      <c r="EG64" s="1226"/>
      <c r="EH64" s="1226"/>
      <c r="EI64" s="1226"/>
      <c r="EJ64" s="1226"/>
      <c r="EK64" s="1226"/>
      <c r="EL64" s="1226"/>
      <c r="EM64" s="1226"/>
      <c r="EN64" s="1226"/>
      <c r="EO64" s="1226"/>
      <c r="EP64" s="1226"/>
      <c r="EQ64" s="1226"/>
      <c r="ER64" s="1226"/>
      <c r="ES64" s="1226"/>
      <c r="ET64" s="1226"/>
      <c r="EU64" s="1226"/>
      <c r="EV64" s="1226"/>
      <c r="EW64" s="1226"/>
      <c r="EX64" s="1226"/>
      <c r="EY64" s="1226"/>
      <c r="EZ64" s="1226"/>
      <c r="FA64" s="1226"/>
      <c r="FB64" s="1226"/>
      <c r="FC64" s="1226"/>
      <c r="FD64" s="1226"/>
      <c r="FE64" s="1226"/>
      <c r="FF64" s="1226"/>
      <c r="FG64" s="1226"/>
      <c r="FH64" s="1226"/>
      <c r="FI64" s="1226"/>
      <c r="FJ64" s="1226"/>
      <c r="FK64" s="1226"/>
      <c r="FL64" s="1226"/>
      <c r="FM64" s="1226"/>
      <c r="FN64" s="1226"/>
      <c r="FO64" s="1226"/>
      <c r="FP64" s="1226"/>
      <c r="FQ64" s="1226"/>
      <c r="FR64" s="1226"/>
    </row>
    <row r="65" spans="1:174" ht="33" x14ac:dyDescent="0.25">
      <c r="A65" s="1228" t="s">
        <v>665</v>
      </c>
      <c r="B65" s="1228"/>
      <c r="C65" s="1275">
        <f t="shared" si="34"/>
        <v>10</v>
      </c>
      <c r="D65" s="1276" t="s">
        <v>4805</v>
      </c>
      <c r="E65" s="1219">
        <f>COUNTIFS(ШТАТ!$AL:$AL,'БЧС Дерябин'!$A65,ШТАТ!$AK:$AK,1)</f>
        <v>1</v>
      </c>
      <c r="F65" s="1219">
        <f>COUNTIFS(ШТАТ!$AL:$AL,'БЧС Дерябин'!$A65,ШТАТ!$AK:$AK,2)</f>
        <v>0</v>
      </c>
      <c r="G65" s="1219">
        <f>COUNTIFS(ШТАТ!$AL:$AL,'БЧС Дерябин'!$A65,ШТАТ!$AK:$AK,3)</f>
        <v>5</v>
      </c>
      <c r="H65" s="1219">
        <f>COUNTIFS(ШТАТ!$AL:$AL,'БЧС Дерябин'!$A65,ШТАТ!$AK:$AK,4)</f>
        <v>18</v>
      </c>
      <c r="I65" s="1221">
        <f t="shared" si="3"/>
        <v>24</v>
      </c>
      <c r="J65" s="1219">
        <f>COUNTIFS(ШТАТ!AL:AL,A65,ШТАТ!AJ:AJ,"о")</f>
        <v>1</v>
      </c>
      <c r="K65" s="1219">
        <f>COUNTIFS(ШТАТ!AL:AL,A65,ШТАТ!AJ:AJ,"п")</f>
        <v>0</v>
      </c>
      <c r="L65" s="1219">
        <f>COUNTIFS(ШТАТ!$AL:$AL,$A65,ШТАТ!AK:AK,3,ШТАТ!AJ:AJ,"с/с")</f>
        <v>0</v>
      </c>
      <c r="M65" s="1219">
        <f>COUNTIFS(ШТАТ!$AL:$AL,$A65,ШТАТ!AK:AK,3,ШТАТ!AJ:AJ,"к/с")</f>
        <v>2</v>
      </c>
      <c r="N65" s="1222">
        <f t="shared" si="11"/>
        <v>2</v>
      </c>
      <c r="O65" s="1220">
        <f>COUNTIFS(ШТАТ!$AL:$AL,$A65,ШТАТ!AK:AK,4,ШТАТ!AJ:AJ,"с/с")</f>
        <v>13</v>
      </c>
      <c r="P65" s="1220">
        <f>COUNTIFS(ШТАТ!$AL:$AL,$A65,ШТАТ!AK:AK,4,ШТАТ!AJ:AJ,"к/с")</f>
        <v>5</v>
      </c>
      <c r="Q65" s="1222">
        <f t="shared" si="12"/>
        <v>18</v>
      </c>
      <c r="R65" s="1221">
        <f t="shared" si="13"/>
        <v>21</v>
      </c>
      <c r="S65" s="1223">
        <f t="shared" si="14"/>
        <v>0.875</v>
      </c>
      <c r="T65" s="1219">
        <f>COUNTIFS(ШТАТ!$AL:$AL,$A65,ШТАТ!$AJ:$AJ,"о",ШТАТ!$X:$X,"выполнение специальных задач")</f>
        <v>0</v>
      </c>
      <c r="U65" s="1219">
        <f>COUNTIFS(ШТАТ!$AL:$AL,$A65,ШТАТ!$AJ:$AJ,"п",ШТАТ!$X:$X,"выполнение специальных задач")</f>
        <v>0</v>
      </c>
      <c r="V65" s="1219">
        <f>COUNTIFS(ШТАТ!$AL:$AL,$A65,ШТАТ!$AK:$AK,3,ШТАТ!$AJ:$AJ,"с/с",ШТАТ!$X:$X,"выполнение специальных задач")</f>
        <v>0</v>
      </c>
      <c r="W65" s="1219">
        <f>COUNTIFS(ШТАТ!$AL:$AL,$A65,ШТАТ!$AK:$AK,3,ШТАТ!$AJ:$AJ,"к/с",ШТАТ!$X:$X,"выполнение специальных задач")</f>
        <v>0</v>
      </c>
      <c r="X65" s="1222">
        <f t="shared" si="4"/>
        <v>0</v>
      </c>
      <c r="Y65" s="1219">
        <f>COUNTIFS(ШТАТ!$AL:$AL,$A65,ШТАТ!$AK:$AK,4,ШТАТ!$AJ:$AJ,"с/с",ШТАТ!$X:$X,"выполнение специальных задач")</f>
        <v>0</v>
      </c>
      <c r="Z65" s="1219">
        <f>COUNTIFS(ШТАТ!$AL:$AL,$A65,ШТАТ!$AK:$AK,4,ШТАТ!$AJ:$AJ,"к/с",ШТАТ!$X:$X,"выполнение специальных задач")</f>
        <v>1</v>
      </c>
      <c r="AA65" s="1222">
        <f t="shared" si="5"/>
        <v>1</v>
      </c>
      <c r="AB65" s="1221">
        <f t="shared" si="15"/>
        <v>1</v>
      </c>
      <c r="AC65" s="1224"/>
      <c r="AD65" s="1219">
        <f>COUNTIFS(ШТАТ!$AL:$AL,$A65,ШТАТ!$AK:$AK,1,ШТАТ!$AJ:$AJ,"о",ШТАТ!$W:$W,"г. Белгород")</f>
        <v>1</v>
      </c>
      <c r="AE65" s="1219">
        <f>COUNTIFS(ШТАТ!$AL:$AL,$A65,ШТАТ!$AK:$AK,2,ШТАТ!$AJ:$AJ,"п",ШТАТ!$W:$W,"г. Белгород")</f>
        <v>0</v>
      </c>
      <c r="AF65" s="1219">
        <f>COUNTIFS(ШТАТ!$AL:$AL,$A65,ШТАТ!$AK:$AK,3,ШТАТ!$AJ:$AJ,"с/с",ШТАТ!$W:$W,"г. Белгород")</f>
        <v>0</v>
      </c>
      <c r="AG65" s="1219">
        <f>COUNTIFS(ШТАТ!$AL:$AL,$A65,ШТАТ!$AK:$AK,3,ШТАТ!$AJ:$AJ,"к/с",ШТАТ!$W:$W,"г. Белгород")</f>
        <v>0</v>
      </c>
      <c r="AH65" s="1222">
        <f t="shared" si="6"/>
        <v>0</v>
      </c>
      <c r="AI65" s="1219">
        <f>COUNTIFS(ШТАТ!$AL:$AL,$A65,ШТАТ!$AK:$AK,4,ШТАТ!$AJ:$AJ,"с/с",ШТАТ!$W:$W,"г. Белгород")</f>
        <v>0</v>
      </c>
      <c r="AJ65" s="1219">
        <f>COUNTIFS(ШТАТ!$AL:$AL,$A65,ШТАТ!$AK:$AK,4,ШТАТ!$AJ:$AJ,"к/с",ШТАТ!$W:$W,"г. Белгород")</f>
        <v>2</v>
      </c>
      <c r="AK65" s="1222">
        <f t="shared" si="7"/>
        <v>2</v>
      </c>
      <c r="AL65" s="1221">
        <f t="shared" si="16"/>
        <v>3</v>
      </c>
      <c r="AM65" s="1219">
        <f>COUNTIFS(ШТАТ!$AL:$AL,$A65,ШТАТ!$AK:$AK,1,ШТАТ!$AJ:$AJ,"о",ШТАТ!$U:$U,"")</f>
        <v>0</v>
      </c>
      <c r="AN65" s="1219">
        <f>COUNTIFS(ШТАТ!$AL:$AL,$A65,ШТАТ!$AK:$AK,2,ШТАТ!$AJ:$AJ,"п",ШТАТ!$U:$U,"")</f>
        <v>0</v>
      </c>
      <c r="AO65" s="1219">
        <f>COUNTIFS(ШТАТ!$AL:$AL,$A65,ШТАТ!$AK:$AK,3,ШТАТ!$AJ:$AJ,"с/с",ШТАТ!$U:$U,"")</f>
        <v>0</v>
      </c>
      <c r="AP65" s="1219">
        <f>COUNTIFS(ШТАТ!$AL:$AL,$A65,ШТАТ!$AK:$AK,3,ШТАТ!$AJ:$AJ,"к/с",ШТАТ!$U:$U,"")</f>
        <v>1</v>
      </c>
      <c r="AQ65" s="1222">
        <f t="shared" si="17"/>
        <v>1</v>
      </c>
      <c r="AR65" s="1219">
        <f>COUNTIFS(ШТАТ!$AL:$AL,$A65,ШТАТ!$AK:$AK,4,ШТАТ!$AJ:$AJ,"с/с",ШТАТ!$U:$U,"")</f>
        <v>7</v>
      </c>
      <c r="AS65" s="1219">
        <f>COUNTIFS(ШТАТ!$AL:$AL,$A65,ШТАТ!$AK:$AK,4,ШТАТ!$AJ:$AJ,"к/с",ШТАТ!$U:$U,"")</f>
        <v>2</v>
      </c>
      <c r="AT65" s="1222">
        <f t="shared" si="8"/>
        <v>9</v>
      </c>
      <c r="AU65" s="1221">
        <f t="shared" si="18"/>
        <v>10</v>
      </c>
      <c r="AV65" s="1219">
        <f>COUNTIFS(ШТАТ!$AL:$AL,$A65,ШТАТ!$U:$U,"госп")</f>
        <v>1</v>
      </c>
      <c r="AW65" s="1225">
        <f t="shared" si="9"/>
        <v>5</v>
      </c>
      <c r="AX65" s="1219">
        <f>COUNTIFS(ШТАТ!$AL:$AL,$A65,ШТАТ!$U:$U,"отпуск")</f>
        <v>0</v>
      </c>
      <c r="AY65" s="1219">
        <f>COUNTIFS(ШТАТ!$AL:$AL,$A65,ШТАТ!$U:$U,"соч")</f>
        <v>1</v>
      </c>
      <c r="AZ65" s="1225"/>
      <c r="BA65" s="1219">
        <f>COUNTIFS(ШТАТ!$AL:$AL,$A65,ШТАТ!$U:$U,"МП")</f>
        <v>0</v>
      </c>
      <c r="BB65" s="1226"/>
      <c r="BC65" s="1226"/>
      <c r="BD65" s="1219"/>
      <c r="BE65" s="1226"/>
      <c r="BF65" s="1226"/>
      <c r="BG65" s="1226"/>
      <c r="BH65" s="1226"/>
      <c r="BI65" s="1226"/>
      <c r="BJ65" s="1226"/>
      <c r="BK65" s="1226"/>
      <c r="BL65" s="1226"/>
      <c r="BM65" s="1226"/>
      <c r="BN65" s="1226"/>
      <c r="BO65" s="1226"/>
      <c r="BP65" s="1226"/>
      <c r="BQ65" s="1226"/>
      <c r="BR65" s="1226"/>
      <c r="BS65" s="1226"/>
      <c r="BT65" s="1226"/>
      <c r="BU65" s="1226"/>
      <c r="BV65" s="1226"/>
      <c r="BW65" s="1226"/>
      <c r="BX65" s="1226"/>
      <c r="BY65" s="1226"/>
      <c r="BZ65" s="1226"/>
      <c r="CA65" s="1226"/>
      <c r="CB65" s="1226"/>
      <c r="CC65" s="1226"/>
      <c r="CD65" s="1226"/>
      <c r="CE65" s="1226"/>
      <c r="CF65" s="1226"/>
      <c r="CG65" s="1226"/>
      <c r="CH65" s="1226"/>
      <c r="CI65" s="1226"/>
      <c r="CJ65" s="1226"/>
      <c r="CK65" s="1226"/>
      <c r="CL65" s="1226"/>
      <c r="CM65" s="1226"/>
      <c r="CN65" s="1226"/>
      <c r="CO65" s="1226"/>
      <c r="CP65" s="1226"/>
      <c r="CQ65" s="1226"/>
      <c r="CR65" s="1226"/>
      <c r="CS65" s="1226"/>
      <c r="CT65" s="1226"/>
      <c r="CU65" s="1226"/>
      <c r="CV65" s="1226"/>
      <c r="CW65" s="1226"/>
      <c r="CX65" s="1226"/>
      <c r="CY65" s="1226"/>
      <c r="CZ65" s="1226"/>
      <c r="DA65" s="1226"/>
      <c r="DB65" s="1226"/>
      <c r="DC65" s="1226"/>
      <c r="DD65" s="1226"/>
      <c r="DE65" s="1226"/>
      <c r="DF65" s="1226"/>
      <c r="DG65" s="1226"/>
      <c r="DH65" s="1226"/>
      <c r="DI65" s="1226"/>
      <c r="DJ65" s="1226"/>
      <c r="DK65" s="1226"/>
      <c r="DL65" s="1226"/>
      <c r="DM65" s="1226"/>
      <c r="DN65" s="1226"/>
      <c r="DO65" s="1226"/>
      <c r="DP65" s="1226"/>
      <c r="DQ65" s="1226"/>
      <c r="DR65" s="1226"/>
      <c r="DS65" s="1226"/>
      <c r="DT65" s="1226"/>
      <c r="DU65" s="1226"/>
      <c r="DV65" s="1226">
        <f>COUNTIFS(ШТАТ!$AN:$AN,"Урал-4320-31",ШТАТ!AL:AL,"Управление")</f>
        <v>0</v>
      </c>
      <c r="DW65" s="1226"/>
      <c r="DX65" s="1226"/>
      <c r="DY65" s="1226"/>
      <c r="DZ65" s="1226"/>
      <c r="EA65" s="1226"/>
      <c r="EB65" s="1226"/>
      <c r="EC65" s="1226"/>
      <c r="ED65" s="1226"/>
      <c r="EE65" s="1226"/>
      <c r="EF65" s="1226"/>
      <c r="EG65" s="1226"/>
      <c r="EH65" s="1226"/>
      <c r="EI65" s="1226"/>
      <c r="EJ65" s="1226"/>
      <c r="EK65" s="1226"/>
      <c r="EL65" s="1226">
        <v>3</v>
      </c>
      <c r="EM65" s="1226"/>
      <c r="EN65" s="1226"/>
      <c r="EO65" s="1226"/>
      <c r="EP65" s="1226"/>
      <c r="EQ65" s="1226"/>
      <c r="ER65" s="1226"/>
      <c r="ES65" s="1226"/>
      <c r="ET65" s="1226"/>
      <c r="EU65" s="1226"/>
      <c r="EV65" s="1226"/>
      <c r="EW65" s="1226"/>
      <c r="EX65" s="1226"/>
      <c r="EY65" s="1226"/>
      <c r="EZ65" s="1226"/>
      <c r="FA65" s="1226"/>
      <c r="FB65" s="1226"/>
      <c r="FC65" s="1226"/>
      <c r="FD65" s="1226"/>
      <c r="FE65" s="1226"/>
      <c r="FF65" s="1226"/>
      <c r="FG65" s="1226"/>
      <c r="FH65" s="1226">
        <v>5</v>
      </c>
      <c r="FI65" s="1226"/>
      <c r="FJ65" s="1226"/>
      <c r="FK65" s="1226"/>
      <c r="FL65" s="1226"/>
      <c r="FM65" s="1226"/>
      <c r="FN65" s="1226"/>
      <c r="FO65" s="1226"/>
      <c r="FP65" s="1226"/>
      <c r="FQ65" s="1226"/>
      <c r="FR65" s="1226"/>
    </row>
    <row r="66" spans="1:174" ht="33" x14ac:dyDescent="0.25">
      <c r="A66" s="1228" t="s">
        <v>676</v>
      </c>
      <c r="B66" s="1228"/>
      <c r="C66" s="1275">
        <f t="shared" si="34"/>
        <v>24</v>
      </c>
      <c r="D66" s="1276" t="s">
        <v>4805</v>
      </c>
      <c r="E66" s="1219">
        <f>COUNTIFS(ШТАТ!$AL:$AL,'БЧС Дерябин'!$A66,ШТАТ!$AK:$AK,1)</f>
        <v>1</v>
      </c>
      <c r="F66" s="1219">
        <f>COUNTIFS(ШТАТ!$AL:$AL,'БЧС Дерябин'!$A66,ШТАТ!$AK:$AK,2)</f>
        <v>0</v>
      </c>
      <c r="G66" s="1219">
        <f>COUNTIFS(ШТАТ!$AL:$AL,'БЧС Дерябин'!$A66,ШТАТ!$AK:$AK,3)</f>
        <v>5</v>
      </c>
      <c r="H66" s="1219">
        <f>COUNTIFS(ШТАТ!$AL:$AL,'БЧС Дерябин'!$A66,ШТАТ!$AK:$AK,4)</f>
        <v>33</v>
      </c>
      <c r="I66" s="1221">
        <f t="shared" si="3"/>
        <v>39</v>
      </c>
      <c r="J66" s="1219">
        <f>COUNTIFS(ШТАТ!AL:AL,A66,ШТАТ!AJ:AJ,"о")</f>
        <v>0</v>
      </c>
      <c r="K66" s="1219">
        <f>COUNTIFS(ШТАТ!AL:AL,A66,ШТАТ!AJ:AJ,"п")</f>
        <v>0</v>
      </c>
      <c r="L66" s="1219">
        <f>COUNTIFS(ШТАТ!$AL:$AL,$A66,ШТАТ!AK:AK,3,ШТАТ!AJ:AJ,"с/с")</f>
        <v>0</v>
      </c>
      <c r="M66" s="1219">
        <f>COUNTIFS(ШТАТ!$AL:$AL,$A66,ШТАТ!AK:AK,3,ШТАТ!AJ:AJ,"к/с")</f>
        <v>1</v>
      </c>
      <c r="N66" s="1222">
        <f t="shared" si="11"/>
        <v>1</v>
      </c>
      <c r="O66" s="1220">
        <f>COUNTIFS(ШТАТ!$AL:$AL,$A66,ШТАТ!AK:AK,4,ШТАТ!AJ:AJ,"с/с")</f>
        <v>30</v>
      </c>
      <c r="P66" s="1220">
        <f>COUNTIFS(ШТАТ!$AL:$AL,$A66,ШТАТ!AK:AK,4,ШТАТ!AJ:AJ,"к/с")</f>
        <v>3</v>
      </c>
      <c r="Q66" s="1222">
        <f t="shared" si="12"/>
        <v>33</v>
      </c>
      <c r="R66" s="1221">
        <f t="shared" si="13"/>
        <v>34</v>
      </c>
      <c r="S66" s="1223">
        <f t="shared" si="14"/>
        <v>0.87179487179487181</v>
      </c>
      <c r="T66" s="1219">
        <f>COUNTIFS(ШТАТ!$AL:$AL,$A66,ШТАТ!$AJ:$AJ,"о",ШТАТ!$X:$X,"выполнение специальных задач")</f>
        <v>0</v>
      </c>
      <c r="U66" s="1219">
        <f>COUNTIFS(ШТАТ!$AL:$AL,$A66,ШТАТ!$AJ:$AJ,"п",ШТАТ!$X:$X,"выполнение специальных задач")</f>
        <v>0</v>
      </c>
      <c r="V66" s="1219">
        <f>COUNTIFS(ШТАТ!$AL:$AL,$A66,ШТАТ!$AK:$AK,3,ШТАТ!$AJ:$AJ,"с/с",ШТАТ!$X:$X,"выполнение специальных задач")</f>
        <v>0</v>
      </c>
      <c r="W66" s="1219">
        <f>COUNTIFS(ШТАТ!$AL:$AL,$A66,ШТАТ!$AK:$AK,3,ШТАТ!$AJ:$AJ,"к/с",ШТАТ!$X:$X,"выполнение специальных задач")</f>
        <v>1</v>
      </c>
      <c r="X66" s="1222">
        <f t="shared" si="4"/>
        <v>1</v>
      </c>
      <c r="Y66" s="1219">
        <f>COUNTIFS(ШТАТ!$AL:$AL,$A66,ШТАТ!$AK:$AK,4,ШТАТ!$AJ:$AJ,"с/с",ШТАТ!$X:$X,"выполнение специальных задач")</f>
        <v>0</v>
      </c>
      <c r="Z66" s="1219">
        <f>COUNTIFS(ШТАТ!$AL:$AL,$A66,ШТАТ!$AK:$AK,4,ШТАТ!$AJ:$AJ,"к/с",ШТАТ!$X:$X,"выполнение специальных задач")</f>
        <v>0</v>
      </c>
      <c r="AA66" s="1222">
        <f t="shared" si="5"/>
        <v>0</v>
      </c>
      <c r="AB66" s="1221">
        <f t="shared" si="15"/>
        <v>1</v>
      </c>
      <c r="AC66" s="1224"/>
      <c r="AD66" s="1219">
        <f>COUNTIFS(ШТАТ!$AL:$AL,$A66,ШТАТ!$AK:$AK,1,ШТАТ!$AJ:$AJ,"о",ШТАТ!$W:$W,"г. Белгород")</f>
        <v>0</v>
      </c>
      <c r="AE66" s="1219">
        <f>COUNTIFS(ШТАТ!$AL:$AL,$A66,ШТАТ!$AK:$AK,2,ШТАТ!$AJ:$AJ,"п",ШТАТ!$W:$W,"г. Белгород")</f>
        <v>0</v>
      </c>
      <c r="AF66" s="1219">
        <f>COUNTIFS(ШТАТ!$AL:$AL,$A66,ШТАТ!$AK:$AK,3,ШТАТ!$AJ:$AJ,"с/с",ШТАТ!$W:$W,"г. Белгород")</f>
        <v>0</v>
      </c>
      <c r="AG66" s="1219">
        <f>COUNTIFS(ШТАТ!$AL:$AL,$A66,ШТАТ!$AK:$AK,3,ШТАТ!$AJ:$AJ,"к/с",ШТАТ!$W:$W,"г. Белгород")</f>
        <v>0</v>
      </c>
      <c r="AH66" s="1222">
        <f t="shared" si="6"/>
        <v>0</v>
      </c>
      <c r="AI66" s="1219">
        <f>COUNTIFS(ШТАТ!$AL:$AL,$A66,ШТАТ!$AK:$AK,4,ШТАТ!$AJ:$AJ,"с/с",ШТАТ!$W:$W,"г. Белгород")</f>
        <v>0</v>
      </c>
      <c r="AJ66" s="1219">
        <f>COUNTIFS(ШТАТ!$AL:$AL,$A66,ШТАТ!$AK:$AK,4,ШТАТ!$AJ:$AJ,"к/с",ШТАТ!$W:$W,"г. Белгород")</f>
        <v>3</v>
      </c>
      <c r="AK66" s="1222">
        <f t="shared" si="7"/>
        <v>3</v>
      </c>
      <c r="AL66" s="1221">
        <f t="shared" si="16"/>
        <v>3</v>
      </c>
      <c r="AM66" s="1219">
        <f>COUNTIFS(ШТАТ!$AL:$AL,$A66,ШТАТ!$AK:$AK,1,ШТАТ!$AJ:$AJ,"о",ШТАТ!$U:$U,"")</f>
        <v>0</v>
      </c>
      <c r="AN66" s="1219">
        <f>COUNTIFS(ШТАТ!$AL:$AL,$A66,ШТАТ!$AK:$AK,2,ШТАТ!$AJ:$AJ,"п",ШТАТ!$U:$U,"")</f>
        <v>0</v>
      </c>
      <c r="AO66" s="1219">
        <f>COUNTIFS(ШТАТ!$AL:$AL,$A66,ШТАТ!$AK:$AK,3,ШТАТ!$AJ:$AJ,"с/с",ШТАТ!$U:$U,"")</f>
        <v>0</v>
      </c>
      <c r="AP66" s="1219">
        <f>COUNTIFS(ШТАТ!$AL:$AL,$A66,ШТАТ!$AK:$AK,3,ШТАТ!$AJ:$AJ,"к/с",ШТАТ!$U:$U,"")</f>
        <v>0</v>
      </c>
      <c r="AQ66" s="1222">
        <f t="shared" si="17"/>
        <v>0</v>
      </c>
      <c r="AR66" s="1219">
        <f>COUNTIFS(ШТАТ!$AL:$AL,$A66,ШТАТ!$AK:$AK,4,ШТАТ!$AJ:$AJ,"с/с",ШТАТ!$U:$U,"")</f>
        <v>24</v>
      </c>
      <c r="AS66" s="1219">
        <f>COUNTIFS(ШТАТ!$AL:$AL,$A66,ШТАТ!$AK:$AK,4,ШТАТ!$AJ:$AJ,"к/с",ШТАТ!$U:$U,"")</f>
        <v>0</v>
      </c>
      <c r="AT66" s="1222">
        <f t="shared" si="8"/>
        <v>24</v>
      </c>
      <c r="AU66" s="1221">
        <f t="shared" si="18"/>
        <v>24</v>
      </c>
      <c r="AV66" s="1219">
        <f>COUNTIFS(ШТАТ!$AL:$AL,$A66,ШТАТ!$U:$U,"госп")</f>
        <v>0</v>
      </c>
      <c r="AW66" s="1225">
        <f t="shared" si="9"/>
        <v>5</v>
      </c>
      <c r="AX66" s="1219">
        <f>COUNTIFS(ШТАТ!$AL:$AL,$A66,ШТАТ!$U:$U,"отпуск")</f>
        <v>0</v>
      </c>
      <c r="AY66" s="1219">
        <f>COUNTIFS(ШТАТ!$AL:$AL,$A66,ШТАТ!$U:$U,"соч")</f>
        <v>0</v>
      </c>
      <c r="AZ66" s="1225"/>
      <c r="BA66" s="1219">
        <f>COUNTIFS(ШТАТ!$AL:$AL,$A66,ШТАТ!$U:$U,"МП")</f>
        <v>1</v>
      </c>
      <c r="BB66" s="1226"/>
      <c r="BC66" s="1226"/>
      <c r="BD66" s="1219"/>
      <c r="BE66" s="1226"/>
      <c r="BF66" s="1226"/>
      <c r="BG66" s="1226"/>
      <c r="BH66" s="1226"/>
      <c r="BI66" s="1226"/>
      <c r="BJ66" s="1226"/>
      <c r="BK66" s="1226"/>
      <c r="BL66" s="1226"/>
      <c r="BM66" s="1226"/>
      <c r="BN66" s="1226"/>
      <c r="BO66" s="1226"/>
      <c r="BP66" s="1226"/>
      <c r="BQ66" s="1226"/>
      <c r="BR66" s="1226"/>
      <c r="BS66" s="1226"/>
      <c r="BT66" s="1226"/>
      <c r="BU66" s="1226"/>
      <c r="BV66" s="1226"/>
      <c r="BW66" s="1226"/>
      <c r="BX66" s="1226"/>
      <c r="BY66" s="1226"/>
      <c r="BZ66" s="1226"/>
      <c r="CA66" s="1226"/>
      <c r="CB66" s="1226"/>
      <c r="CC66" s="1226"/>
      <c r="CD66" s="1226"/>
      <c r="CE66" s="1226"/>
      <c r="CF66" s="1226"/>
      <c r="CG66" s="1226"/>
      <c r="CH66" s="1226"/>
      <c r="CI66" s="1226"/>
      <c r="CJ66" s="1226"/>
      <c r="CK66" s="1226"/>
      <c r="CL66" s="1226"/>
      <c r="CM66" s="1226"/>
      <c r="CN66" s="1226"/>
      <c r="CO66" s="1226"/>
      <c r="CP66" s="1226"/>
      <c r="CQ66" s="1226"/>
      <c r="CR66" s="1226"/>
      <c r="CS66" s="1226"/>
      <c r="CT66" s="1226"/>
      <c r="CU66" s="1226"/>
      <c r="CV66" s="1226"/>
      <c r="CW66" s="1226"/>
      <c r="CX66" s="1226"/>
      <c r="CY66" s="1226"/>
      <c r="CZ66" s="1226"/>
      <c r="DA66" s="1226"/>
      <c r="DB66" s="1226"/>
      <c r="DC66" s="1226"/>
      <c r="DD66" s="1226"/>
      <c r="DE66" s="1226"/>
      <c r="DF66" s="1226"/>
      <c r="DG66" s="1226"/>
      <c r="DH66" s="1226"/>
      <c r="DI66" s="1226"/>
      <c r="DJ66" s="1226"/>
      <c r="DK66" s="1226"/>
      <c r="DL66" s="1226"/>
      <c r="DM66" s="1226"/>
      <c r="DN66" s="1226"/>
      <c r="DO66" s="1226"/>
      <c r="DP66" s="1226"/>
      <c r="DQ66" s="1226">
        <v>1</v>
      </c>
      <c r="DR66" s="1226">
        <v>1</v>
      </c>
      <c r="DS66" s="1226"/>
      <c r="DT66" s="1226"/>
      <c r="DU66" s="1226"/>
      <c r="DV66" s="1226">
        <f>COUNTIFS(ШТАТ!$AN:$AN,"Урал-4320-31",ШТАТ!AL:AL,"Управление")</f>
        <v>0</v>
      </c>
      <c r="DW66" s="1226"/>
      <c r="DX66" s="1226"/>
      <c r="DY66" s="1226"/>
      <c r="DZ66" s="1226"/>
      <c r="EA66" s="1226"/>
      <c r="EB66" s="1226"/>
      <c r="EC66" s="1226"/>
      <c r="ED66" s="1226"/>
      <c r="EE66" s="1226"/>
      <c r="EF66" s="1226"/>
      <c r="EG66" s="1226"/>
      <c r="EH66" s="1226"/>
      <c r="EI66" s="1226"/>
      <c r="EJ66" s="1226"/>
      <c r="EK66" s="1226">
        <v>1</v>
      </c>
      <c r="EL66" s="1226"/>
      <c r="EM66" s="1226"/>
      <c r="EN66" s="1226"/>
      <c r="EO66" s="1226"/>
      <c r="EP66" s="1226"/>
      <c r="EQ66" s="1226"/>
      <c r="ER66" s="1226"/>
      <c r="ES66" s="1226"/>
      <c r="ET66" s="1226">
        <v>1</v>
      </c>
      <c r="EU66" s="1226"/>
      <c r="EV66" s="1226"/>
      <c r="EW66" s="1226"/>
      <c r="EX66" s="1226"/>
      <c r="EY66" s="1226"/>
      <c r="EZ66" s="1226"/>
      <c r="FA66" s="1226"/>
      <c r="FB66" s="1226"/>
      <c r="FC66" s="1226"/>
      <c r="FD66" s="1226"/>
      <c r="FE66" s="1226"/>
      <c r="FF66" s="1226"/>
      <c r="FG66" s="1226"/>
      <c r="FH66" s="1226">
        <v>2</v>
      </c>
      <c r="FI66" s="1226"/>
      <c r="FJ66" s="1226">
        <v>3</v>
      </c>
      <c r="FK66" s="1226"/>
      <c r="FL66" s="1226"/>
      <c r="FM66" s="1226"/>
      <c r="FN66" s="1226">
        <v>1</v>
      </c>
      <c r="FO66" s="1226"/>
      <c r="FP66" s="1226"/>
      <c r="FQ66" s="1226"/>
      <c r="FR66" s="1226"/>
    </row>
    <row r="67" spans="1:174" ht="33" x14ac:dyDescent="0.25">
      <c r="A67" s="1218" t="s">
        <v>662</v>
      </c>
      <c r="B67" s="1265" t="s">
        <v>4735</v>
      </c>
      <c r="C67" s="1265">
        <f t="shared" si="34"/>
        <v>36</v>
      </c>
      <c r="D67" s="1265" t="s">
        <v>4805</v>
      </c>
      <c r="E67" s="1219">
        <f>SUM(E64:E66)</f>
        <v>3</v>
      </c>
      <c r="F67" s="1219">
        <f>SUM(F64:F66)</f>
        <v>1</v>
      </c>
      <c r="G67" s="1219">
        <f>SUM(G64:G66)</f>
        <v>10</v>
      </c>
      <c r="H67" s="1219">
        <f>SUM(H64:H66)</f>
        <v>53</v>
      </c>
      <c r="I67" s="1221">
        <f t="shared" si="3"/>
        <v>67</v>
      </c>
      <c r="J67" s="1219">
        <f>SUM(J64:J66)</f>
        <v>2</v>
      </c>
      <c r="K67" s="1219">
        <f>SUM(K64:K66)</f>
        <v>1</v>
      </c>
      <c r="L67" s="1219">
        <f>SUM(L64:L66)</f>
        <v>0</v>
      </c>
      <c r="M67" s="1219">
        <f>SUM(M64:M66)</f>
        <v>3</v>
      </c>
      <c r="N67" s="1222">
        <f t="shared" si="11"/>
        <v>3</v>
      </c>
      <c r="O67" s="1219">
        <f>SUM(O64:O66)</f>
        <v>45</v>
      </c>
      <c r="P67" s="1219">
        <f>SUM(P64:P66)</f>
        <v>8</v>
      </c>
      <c r="Q67" s="1222">
        <f t="shared" si="12"/>
        <v>53</v>
      </c>
      <c r="R67" s="1221">
        <f t="shared" si="13"/>
        <v>59</v>
      </c>
      <c r="S67" s="1223">
        <f t="shared" si="14"/>
        <v>0.88059701492537312</v>
      </c>
      <c r="T67" s="1219">
        <f>SUM(T64:T66)</f>
        <v>0</v>
      </c>
      <c r="U67" s="1219">
        <f>SUM(U64:U66)</f>
        <v>1</v>
      </c>
      <c r="V67" s="1219">
        <f>SUM(V64:V66)</f>
        <v>0</v>
      </c>
      <c r="W67" s="1219">
        <f>SUM(W64:W66)</f>
        <v>1</v>
      </c>
      <c r="X67" s="1222">
        <f t="shared" si="4"/>
        <v>1</v>
      </c>
      <c r="Y67" s="1219">
        <f>SUM(Y64:Y66)</f>
        <v>0</v>
      </c>
      <c r="Z67" s="1219">
        <f>SUM(Z64:Z66)</f>
        <v>1</v>
      </c>
      <c r="AA67" s="1222">
        <f t="shared" si="5"/>
        <v>1</v>
      </c>
      <c r="AB67" s="1221">
        <f t="shared" si="15"/>
        <v>3</v>
      </c>
      <c r="AC67" s="1224">
        <f>AB67/R67</f>
        <v>5.0847457627118647E-2</v>
      </c>
      <c r="AD67" s="1219">
        <f>SUM(AD64:AD66)</f>
        <v>2</v>
      </c>
      <c r="AE67" s="1219">
        <f>SUM(AE64:AE66)</f>
        <v>0</v>
      </c>
      <c r="AF67" s="1219">
        <f>SUM(AF64:AF66)</f>
        <v>0</v>
      </c>
      <c r="AG67" s="1219">
        <f>SUM(AG64:AG66)</f>
        <v>0</v>
      </c>
      <c r="AH67" s="1222">
        <f t="shared" si="6"/>
        <v>0</v>
      </c>
      <c r="AI67" s="1219">
        <f>SUM(AI64:AI66)</f>
        <v>0</v>
      </c>
      <c r="AJ67" s="1219">
        <f>SUM(AJ64:AJ66)</f>
        <v>5</v>
      </c>
      <c r="AK67" s="1222">
        <f t="shared" si="7"/>
        <v>5</v>
      </c>
      <c r="AL67" s="1221">
        <f t="shared" si="16"/>
        <v>7</v>
      </c>
      <c r="AM67" s="1219">
        <f>SUM(AM64:AM66)</f>
        <v>0</v>
      </c>
      <c r="AN67" s="1219">
        <f>SUM(AN64:AN66)</f>
        <v>0</v>
      </c>
      <c r="AO67" s="1219">
        <f>SUM(AO64:AO66)</f>
        <v>0</v>
      </c>
      <c r="AP67" s="1219">
        <f>SUM(AP64:AP66)</f>
        <v>1</v>
      </c>
      <c r="AQ67" s="1222">
        <f t="shared" si="17"/>
        <v>1</v>
      </c>
      <c r="AR67" s="1219">
        <f>SUM(AR64:AR66)</f>
        <v>33</v>
      </c>
      <c r="AS67" s="1219">
        <f>SUM(AS64:AS66)</f>
        <v>2</v>
      </c>
      <c r="AT67" s="1222">
        <f t="shared" si="8"/>
        <v>35</v>
      </c>
      <c r="AU67" s="1221">
        <f t="shared" si="18"/>
        <v>36</v>
      </c>
      <c r="AV67" s="1219">
        <f>SUM(AV64:AV66)</f>
        <v>1</v>
      </c>
      <c r="AW67" s="1225">
        <f t="shared" si="9"/>
        <v>10</v>
      </c>
      <c r="AX67" s="1219">
        <f>SUM(AX64:AX66)</f>
        <v>0</v>
      </c>
      <c r="AY67" s="1219">
        <f>SUM(AY64:AY66)</f>
        <v>1</v>
      </c>
      <c r="AZ67" s="1219">
        <f>SUM(AZ64:AZ66)</f>
        <v>0</v>
      </c>
      <c r="BA67" s="1219">
        <f>SUM(BA64:BA66)</f>
        <v>1</v>
      </c>
      <c r="BB67" s="1226">
        <v>5</v>
      </c>
      <c r="BC67" s="1226"/>
      <c r="BD67" s="1219">
        <v>2</v>
      </c>
      <c r="BE67" s="1226"/>
      <c r="BF67" s="1226"/>
      <c r="BG67" s="1226"/>
      <c r="BH67" s="1226"/>
      <c r="BI67" s="1226"/>
      <c r="BJ67" s="1226"/>
      <c r="BK67" s="1226"/>
      <c r="BL67" s="1226"/>
      <c r="BM67" s="1226"/>
      <c r="BN67" s="1226"/>
      <c r="BO67" s="1226"/>
      <c r="BP67" s="1226"/>
      <c r="BQ67" s="1226"/>
      <c r="BR67" s="1226"/>
      <c r="BS67" s="1226"/>
      <c r="BT67" s="1226"/>
      <c r="BU67" s="1226"/>
      <c r="BV67" s="1226"/>
      <c r="BW67" s="1226"/>
      <c r="BX67" s="1226"/>
      <c r="BY67" s="1226"/>
      <c r="BZ67" s="1226"/>
      <c r="CA67" s="1226"/>
      <c r="CB67" s="1226"/>
      <c r="CC67" s="1226"/>
      <c r="CD67" s="1226"/>
      <c r="CE67" s="1226"/>
      <c r="CF67" s="1226"/>
      <c r="CG67" s="1226"/>
      <c r="CH67" s="1226"/>
      <c r="CI67" s="1226"/>
      <c r="CJ67" s="1226"/>
      <c r="CK67" s="1226"/>
      <c r="CL67" s="1226"/>
      <c r="CM67" s="1226"/>
      <c r="CN67" s="1226"/>
      <c r="CO67" s="1226"/>
      <c r="CP67" s="1226"/>
      <c r="CQ67" s="1226"/>
      <c r="CR67" s="1226"/>
      <c r="CS67" s="1226"/>
      <c r="CT67" s="1226"/>
      <c r="CU67" s="1226"/>
      <c r="CV67" s="1226"/>
      <c r="CW67" s="1226"/>
      <c r="CX67" s="1226"/>
      <c r="CY67" s="1226"/>
      <c r="CZ67" s="1226"/>
      <c r="DA67" s="1226"/>
      <c r="DB67" s="1226"/>
      <c r="DC67" s="1219">
        <f>SUM(DC64:DC66)</f>
        <v>0</v>
      </c>
      <c r="DD67" s="1219">
        <f t="shared" ref="DD67:FO67" si="35">SUM(DD64:DD66)</f>
        <v>0</v>
      </c>
      <c r="DE67" s="1219">
        <f t="shared" si="35"/>
        <v>0</v>
      </c>
      <c r="DF67" s="1219">
        <f t="shared" si="35"/>
        <v>0</v>
      </c>
      <c r="DG67" s="1219">
        <f t="shared" si="35"/>
        <v>0</v>
      </c>
      <c r="DH67" s="1219">
        <f t="shared" si="35"/>
        <v>0</v>
      </c>
      <c r="DI67" s="1219">
        <f t="shared" si="35"/>
        <v>0</v>
      </c>
      <c r="DJ67" s="1219">
        <f t="shared" si="35"/>
        <v>0</v>
      </c>
      <c r="DK67" s="1219">
        <f t="shared" si="35"/>
        <v>0</v>
      </c>
      <c r="DL67" s="1219">
        <f t="shared" si="35"/>
        <v>0</v>
      </c>
      <c r="DM67" s="1219">
        <f t="shared" si="35"/>
        <v>0</v>
      </c>
      <c r="DN67" s="1219">
        <f t="shared" si="35"/>
        <v>0</v>
      </c>
      <c r="DO67" s="1219">
        <f t="shared" si="35"/>
        <v>0</v>
      </c>
      <c r="DP67" s="1219">
        <f t="shared" si="35"/>
        <v>0</v>
      </c>
      <c r="DQ67" s="1219">
        <f t="shared" si="35"/>
        <v>1</v>
      </c>
      <c r="DR67" s="1219">
        <f t="shared" si="35"/>
        <v>1</v>
      </c>
      <c r="DS67" s="1219">
        <f t="shared" si="35"/>
        <v>0</v>
      </c>
      <c r="DT67" s="1219">
        <f t="shared" si="35"/>
        <v>0</v>
      </c>
      <c r="DU67" s="1219">
        <f t="shared" si="35"/>
        <v>0</v>
      </c>
      <c r="DV67" s="1219">
        <f t="shared" si="35"/>
        <v>0</v>
      </c>
      <c r="DW67" s="1219">
        <f t="shared" si="35"/>
        <v>0</v>
      </c>
      <c r="DX67" s="1219">
        <f t="shared" si="35"/>
        <v>0</v>
      </c>
      <c r="DY67" s="1219">
        <f t="shared" si="35"/>
        <v>0</v>
      </c>
      <c r="DZ67" s="1219">
        <f t="shared" si="35"/>
        <v>0</v>
      </c>
      <c r="EA67" s="1219">
        <f t="shared" si="35"/>
        <v>0</v>
      </c>
      <c r="EB67" s="1219">
        <f t="shared" si="35"/>
        <v>0</v>
      </c>
      <c r="EC67" s="1219">
        <f t="shared" si="35"/>
        <v>0</v>
      </c>
      <c r="ED67" s="1219">
        <f t="shared" si="35"/>
        <v>0</v>
      </c>
      <c r="EE67" s="1219">
        <f t="shared" si="35"/>
        <v>0</v>
      </c>
      <c r="EF67" s="1219">
        <f t="shared" si="35"/>
        <v>0</v>
      </c>
      <c r="EG67" s="1219">
        <f t="shared" si="35"/>
        <v>0</v>
      </c>
      <c r="EH67" s="1219">
        <f t="shared" si="35"/>
        <v>0</v>
      </c>
      <c r="EI67" s="1219">
        <f t="shared" si="35"/>
        <v>0</v>
      </c>
      <c r="EJ67" s="1219">
        <f t="shared" si="35"/>
        <v>0</v>
      </c>
      <c r="EK67" s="1219">
        <f t="shared" si="35"/>
        <v>1</v>
      </c>
      <c r="EL67" s="1219">
        <f t="shared" si="35"/>
        <v>3</v>
      </c>
      <c r="EM67" s="1219">
        <f t="shared" si="35"/>
        <v>0</v>
      </c>
      <c r="EN67" s="1219">
        <f t="shared" si="35"/>
        <v>0</v>
      </c>
      <c r="EO67" s="1219">
        <f t="shared" si="35"/>
        <v>0</v>
      </c>
      <c r="EP67" s="1219">
        <f t="shared" si="35"/>
        <v>0</v>
      </c>
      <c r="EQ67" s="1219">
        <f t="shared" si="35"/>
        <v>0</v>
      </c>
      <c r="ER67" s="1219">
        <f t="shared" si="35"/>
        <v>0</v>
      </c>
      <c r="ES67" s="1219">
        <f t="shared" si="35"/>
        <v>0</v>
      </c>
      <c r="ET67" s="1219">
        <f t="shared" si="35"/>
        <v>1</v>
      </c>
      <c r="EU67" s="1219">
        <f t="shared" si="35"/>
        <v>0</v>
      </c>
      <c r="EV67" s="1219">
        <f t="shared" si="35"/>
        <v>0</v>
      </c>
      <c r="EW67" s="1219">
        <f t="shared" si="35"/>
        <v>0</v>
      </c>
      <c r="EX67" s="1219">
        <f t="shared" si="35"/>
        <v>0</v>
      </c>
      <c r="EY67" s="1219">
        <f t="shared" si="35"/>
        <v>0</v>
      </c>
      <c r="EZ67" s="1219">
        <f t="shared" si="35"/>
        <v>0</v>
      </c>
      <c r="FA67" s="1219">
        <f t="shared" si="35"/>
        <v>0</v>
      </c>
      <c r="FB67" s="1219">
        <f t="shared" si="35"/>
        <v>0</v>
      </c>
      <c r="FC67" s="1219">
        <f t="shared" si="35"/>
        <v>0</v>
      </c>
      <c r="FD67" s="1219">
        <f t="shared" si="35"/>
        <v>0</v>
      </c>
      <c r="FE67" s="1219">
        <f t="shared" si="35"/>
        <v>0</v>
      </c>
      <c r="FF67" s="1219">
        <f t="shared" si="35"/>
        <v>0</v>
      </c>
      <c r="FG67" s="1219">
        <f t="shared" si="35"/>
        <v>0</v>
      </c>
      <c r="FH67" s="1219">
        <f t="shared" si="35"/>
        <v>7</v>
      </c>
      <c r="FI67" s="1219">
        <f t="shared" si="35"/>
        <v>0</v>
      </c>
      <c r="FJ67" s="1219">
        <f t="shared" si="35"/>
        <v>3</v>
      </c>
      <c r="FK67" s="1219">
        <f t="shared" si="35"/>
        <v>0</v>
      </c>
      <c r="FL67" s="1219">
        <f t="shared" si="35"/>
        <v>0</v>
      </c>
      <c r="FM67" s="1219">
        <f t="shared" si="35"/>
        <v>0</v>
      </c>
      <c r="FN67" s="1219">
        <f t="shared" si="35"/>
        <v>1</v>
      </c>
      <c r="FO67" s="1219">
        <f t="shared" si="35"/>
        <v>0</v>
      </c>
      <c r="FP67" s="1219">
        <f t="shared" ref="FP67:FR67" si="36">SUM(FP64:FP66)</f>
        <v>0</v>
      </c>
      <c r="FQ67" s="1219">
        <f t="shared" si="36"/>
        <v>0</v>
      </c>
      <c r="FR67" s="1219">
        <f t="shared" si="36"/>
        <v>0</v>
      </c>
    </row>
    <row r="68" spans="1:174" ht="33" x14ac:dyDescent="0.25">
      <c r="A68" s="1218" t="s">
        <v>707</v>
      </c>
      <c r="B68" s="1265" t="s">
        <v>4735</v>
      </c>
      <c r="C68" s="1265">
        <f t="shared" si="34"/>
        <v>3</v>
      </c>
      <c r="D68" s="1265" t="s">
        <v>4805</v>
      </c>
      <c r="E68" s="1219">
        <v>1</v>
      </c>
      <c r="F68" s="1219">
        <v>0</v>
      </c>
      <c r="G68" s="1220">
        <v>3</v>
      </c>
      <c r="H68" s="1220">
        <v>8</v>
      </c>
      <c r="I68" s="1221">
        <f t="shared" si="3"/>
        <v>12</v>
      </c>
      <c r="J68" s="1219">
        <f>COUNTIFS(ШТАТ!AL:AL,A68,ШТАТ!AJ:AJ,"о")</f>
        <v>0</v>
      </c>
      <c r="K68" s="1219">
        <f>COUNTIFS(ШТАТ!AL:AL,A68,ШТАТ!AJ:AJ,"п")</f>
        <v>0</v>
      </c>
      <c r="L68" s="1219">
        <f>COUNTIFS(ШТАТ!$AL:$AL,$A68,ШТАТ!AK:AK,3,ШТАТ!AJ:AJ,"с/с")</f>
        <v>0</v>
      </c>
      <c r="M68" s="1219">
        <f>COUNTIFS(ШТАТ!$AL:$AL,$A68,ШТАТ!AK:AK,3,ШТАТ!AJ:AJ,"к/с")</f>
        <v>1</v>
      </c>
      <c r="N68" s="1222">
        <f t="shared" si="11"/>
        <v>1</v>
      </c>
      <c r="O68" s="1220">
        <f>COUNTIFS(ШТАТ!$AL:$AL,$A68,ШТАТ!AK:AK,4,ШТАТ!AJ:AJ,"с/с")</f>
        <v>7</v>
      </c>
      <c r="P68" s="1220">
        <f>COUNTIFS(ШТАТ!$AL:$AL,$A68,ШТАТ!AK:AK,4,ШТАТ!AJ:AJ,"к/с")</f>
        <v>1</v>
      </c>
      <c r="Q68" s="1222">
        <f t="shared" si="12"/>
        <v>8</v>
      </c>
      <c r="R68" s="1221">
        <f t="shared" si="13"/>
        <v>9</v>
      </c>
      <c r="S68" s="1223">
        <f t="shared" si="14"/>
        <v>0.75</v>
      </c>
      <c r="T68" s="1219">
        <f>COUNTIFS(ШТАТ!$AL:$AL,$A68,ШТАТ!$AJ:$AJ,"о",ШТАТ!$X:$X,"выполнение специальных задач")</f>
        <v>0</v>
      </c>
      <c r="U68" s="1219">
        <f>COUNTIFS(ШТАТ!$AL:$AL,$A68,ШТАТ!$AJ:$AJ,"п",ШТАТ!$X:$X,"выполнение специальных задач")</f>
        <v>0</v>
      </c>
      <c r="V68" s="1219">
        <f>COUNTIFS(ШТАТ!$AL:$AL,$A68,ШТАТ!$AK:$AK,3,ШТАТ!$AJ:$AJ,"с/с",ШТАТ!$X:$X,"выполнение специальных задач")</f>
        <v>0</v>
      </c>
      <c r="W68" s="1219">
        <f>COUNTIFS(ШТАТ!$AL:$AL,$A68,ШТАТ!$AK:$AK,3,ШТАТ!$AJ:$AJ,"к/с",ШТАТ!$X:$X,"выполнение специальных задач")</f>
        <v>0</v>
      </c>
      <c r="X68" s="1222">
        <f t="shared" si="4"/>
        <v>0</v>
      </c>
      <c r="Y68" s="1219">
        <f>COUNTIFS(ШТАТ!$AL:$AL,$A68,ШТАТ!$AK:$AK,4,ШТАТ!$AJ:$AJ,"с/с",ШТАТ!$X:$X,"выполнение специальных задач")</f>
        <v>0</v>
      </c>
      <c r="Z68" s="1219">
        <f>COUNTIFS(ШТАТ!$AL:$AL,$A68,ШТАТ!$AK:$AK,4,ШТАТ!$AJ:$AJ,"к/с",ШТАТ!$X:$X,"выполнение специальных задач")</f>
        <v>0</v>
      </c>
      <c r="AA68" s="1222">
        <f t="shared" si="5"/>
        <v>0</v>
      </c>
      <c r="AB68" s="1221">
        <f t="shared" si="15"/>
        <v>0</v>
      </c>
      <c r="AC68" s="1224">
        <f>AB68/R68</f>
        <v>0</v>
      </c>
      <c r="AD68" s="1219">
        <f>COUNTIFS(ШТАТ!$AL:$AL,$A68,ШТАТ!$AK:$AK,1,ШТАТ!$AJ:$AJ,"о",ШТАТ!$W:$W,"г. Белгород")</f>
        <v>0</v>
      </c>
      <c r="AE68" s="1219">
        <f>COUNTIFS(ШТАТ!$AL:$AL,$A68,ШТАТ!$AK:$AK,2,ШТАТ!$AJ:$AJ,"п",ШТАТ!$W:$W,"г. Белгород")</f>
        <v>0</v>
      </c>
      <c r="AF68" s="1219">
        <f>COUNTIFS(ШТАТ!$AL:$AL,$A68,ШТАТ!$AK:$AK,3,ШТАТ!$AJ:$AJ,"с/с",ШТАТ!$W:$W,"г. Белгород")</f>
        <v>0</v>
      </c>
      <c r="AG68" s="1219">
        <f>COUNTIFS(ШТАТ!$AL:$AL,$A68,ШТАТ!$AK:$AK,3,ШТАТ!$AJ:$AJ,"к/с",ШТАТ!$W:$W,"г. Белгород")</f>
        <v>0</v>
      </c>
      <c r="AH68" s="1222">
        <f t="shared" si="6"/>
        <v>0</v>
      </c>
      <c r="AI68" s="1219">
        <f>COUNTIFS(ШТАТ!$AL:$AL,$A68,ШТАТ!$AK:$AK,4,ШТАТ!$AJ:$AJ,"с/с",ШТАТ!$W:$W,"г. Белгород")</f>
        <v>0</v>
      </c>
      <c r="AJ68" s="1219">
        <f>COUNTIFS(ШТАТ!$AL:$AL,$A68,ШТАТ!$AK:$AK,4,ШТАТ!$AJ:$AJ,"к/с",ШТАТ!$W:$W,"г. Белгород")</f>
        <v>0</v>
      </c>
      <c r="AK68" s="1222">
        <f t="shared" si="7"/>
        <v>0</v>
      </c>
      <c r="AL68" s="1221">
        <f t="shared" si="16"/>
        <v>0</v>
      </c>
      <c r="AM68" s="1219">
        <f>COUNTIFS(ШТАТ!$AL:$AL,$A68,ШТАТ!$AK:$AK,1,ШТАТ!$AJ:$AJ,"о",ШТАТ!$U:$U,"")</f>
        <v>0</v>
      </c>
      <c r="AN68" s="1219">
        <f>COUNTIFS(ШТАТ!$AL:$AL,$A68,ШТАТ!$AK:$AK,2,ШТАТ!$AJ:$AJ,"п",ШТАТ!$U:$U,"")</f>
        <v>0</v>
      </c>
      <c r="AO68" s="1219">
        <f>COUNTIFS(ШТАТ!$AL:$AL,$A68,ШТАТ!$AK:$AK,3,ШТАТ!$AJ:$AJ,"с/с",ШТАТ!$U:$U,"")</f>
        <v>0</v>
      </c>
      <c r="AP68" s="1219">
        <f>COUNTIFS(ШТАТ!$AL:$AL,$A68,ШТАТ!$AK:$AK,3,ШТАТ!$AJ:$AJ,"к/с",ШТАТ!$U:$U,"")</f>
        <v>0</v>
      </c>
      <c r="AQ68" s="1222">
        <f t="shared" si="17"/>
        <v>0</v>
      </c>
      <c r="AR68" s="1219">
        <f>COUNTIFS(ШТАТ!$AL:$AL,$A68,ШТАТ!$AK:$AK,4,ШТАТ!$AJ:$AJ,"с/с",ШТАТ!$U:$U,"")</f>
        <v>2</v>
      </c>
      <c r="AS68" s="1219">
        <f>COUNTIFS(ШТАТ!$AL:$AL,$A68,ШТАТ!$AK:$AK,4,ШТАТ!$AJ:$AJ,"к/с",ШТАТ!$U:$U,"")</f>
        <v>1</v>
      </c>
      <c r="AT68" s="1222">
        <f t="shared" si="8"/>
        <v>3</v>
      </c>
      <c r="AU68" s="1221">
        <f t="shared" si="18"/>
        <v>3</v>
      </c>
      <c r="AV68" s="1219">
        <f>COUNTIFS(ШТАТ!$AL:$AL,$A68,ШТАТ!$U:$U,"госп")</f>
        <v>0</v>
      </c>
      <c r="AW68" s="1225">
        <f t="shared" si="9"/>
        <v>6</v>
      </c>
      <c r="AX68" s="1219">
        <f>COUNTIFS(ШТАТ!$AL:$AL,$A68,ШТАТ!$U:$U,"отпуск")</f>
        <v>0</v>
      </c>
      <c r="AY68" s="1219">
        <f>COUNTIFS(ШТАТ!$AL:$AL,$A68,ШТАТ!$U:$U,"соч")</f>
        <v>0</v>
      </c>
      <c r="AZ68" s="1225"/>
      <c r="BA68" s="1219">
        <f>COUNTIFS(ШТАТ!$AL:$AL,$A68,ШТАТ!$U:$U,"МП")</f>
        <v>0</v>
      </c>
      <c r="BB68" s="1226"/>
      <c r="BC68" s="1226"/>
      <c r="BD68" s="1219">
        <v>0</v>
      </c>
      <c r="BE68" s="1226"/>
      <c r="BF68" s="1226"/>
      <c r="BG68" s="1226"/>
      <c r="BH68" s="1226"/>
      <c r="BI68" s="1226"/>
      <c r="BJ68" s="1226"/>
      <c r="BK68" s="1226"/>
      <c r="BL68" s="1226"/>
      <c r="BM68" s="1226"/>
      <c r="BN68" s="1226"/>
      <c r="BO68" s="1226"/>
      <c r="BP68" s="1226"/>
      <c r="BQ68" s="1226"/>
      <c r="BR68" s="1226"/>
      <c r="BS68" s="1226"/>
      <c r="BT68" s="1226"/>
      <c r="BU68" s="1226"/>
      <c r="BV68" s="1226"/>
      <c r="BW68" s="1226"/>
      <c r="BX68" s="1226"/>
      <c r="BY68" s="1226"/>
      <c r="BZ68" s="1226"/>
      <c r="CA68" s="1226"/>
      <c r="CB68" s="1226"/>
      <c r="CC68" s="1226"/>
      <c r="CD68" s="1226"/>
      <c r="CE68" s="1226"/>
      <c r="CF68" s="1226"/>
      <c r="CG68" s="1226"/>
      <c r="CH68" s="1226"/>
      <c r="CI68" s="1226"/>
      <c r="CJ68" s="1226"/>
      <c r="CK68" s="1226"/>
      <c r="CL68" s="1226"/>
      <c r="CM68" s="1226"/>
      <c r="CN68" s="1226"/>
      <c r="CO68" s="1226"/>
      <c r="CP68" s="1226"/>
      <c r="CQ68" s="1226"/>
      <c r="CR68" s="1226"/>
      <c r="CS68" s="1226"/>
      <c r="CT68" s="1226"/>
      <c r="CU68" s="1226"/>
      <c r="CV68" s="1226"/>
      <c r="CW68" s="1226"/>
      <c r="CX68" s="1226"/>
      <c r="CY68" s="1226"/>
      <c r="CZ68" s="1226"/>
      <c r="DA68" s="1226"/>
      <c r="DB68" s="1226"/>
      <c r="DC68" s="1226"/>
      <c r="DD68" s="1226"/>
      <c r="DE68" s="1226"/>
      <c r="DF68" s="1226"/>
      <c r="DG68" s="1226"/>
      <c r="DH68" s="1226"/>
      <c r="DI68" s="1226"/>
      <c r="DJ68" s="1226"/>
      <c r="DK68" s="1226">
        <v>1</v>
      </c>
      <c r="DL68" s="1226"/>
      <c r="DM68" s="1226"/>
      <c r="DN68" s="1226"/>
      <c r="DO68" s="1226"/>
      <c r="DP68" s="1226"/>
      <c r="DQ68" s="1226"/>
      <c r="DR68" s="1226"/>
      <c r="DS68" s="1226"/>
      <c r="DT68" s="1226"/>
      <c r="DU68" s="1226"/>
      <c r="DV68" s="1226">
        <f>COUNTIFS(ШТАТ!$AN:$AN,"Урал-4320-31",ШТАТ!AL:AL,"Управление")</f>
        <v>0</v>
      </c>
      <c r="DW68" s="1226"/>
      <c r="DX68" s="1226"/>
      <c r="DY68" s="1226"/>
      <c r="DZ68" s="1226"/>
      <c r="EA68" s="1226"/>
      <c r="EB68" s="1226"/>
      <c r="EC68" s="1226"/>
      <c r="ED68" s="1226"/>
      <c r="EE68" s="1226"/>
      <c r="EF68" s="1226"/>
      <c r="EG68" s="1226"/>
      <c r="EH68" s="1226"/>
      <c r="EI68" s="1226"/>
      <c r="EJ68" s="1226"/>
      <c r="EK68" s="1226"/>
      <c r="EL68" s="1226"/>
      <c r="EM68" s="1226"/>
      <c r="EN68" s="1226"/>
      <c r="EO68" s="1226"/>
      <c r="EP68" s="1226"/>
      <c r="EQ68" s="1226"/>
      <c r="ER68" s="1226"/>
      <c r="ES68" s="1226"/>
      <c r="ET68" s="1226"/>
      <c r="EU68" s="1226"/>
      <c r="EV68" s="1226"/>
      <c r="EW68" s="1226"/>
      <c r="EX68" s="1226"/>
      <c r="EY68" s="1226"/>
      <c r="EZ68" s="1226"/>
      <c r="FA68" s="1226"/>
      <c r="FB68" s="1226"/>
      <c r="FC68" s="1226"/>
      <c r="FD68" s="1226"/>
      <c r="FE68" s="1226"/>
      <c r="FF68" s="1226"/>
      <c r="FG68" s="1226"/>
      <c r="FH68" s="1226">
        <v>2</v>
      </c>
      <c r="FI68" s="1226"/>
      <c r="FJ68" s="1226"/>
      <c r="FK68" s="1226"/>
      <c r="FL68" s="1226"/>
      <c r="FM68" s="1226"/>
      <c r="FN68" s="1226"/>
      <c r="FO68" s="1226"/>
      <c r="FP68" s="1226"/>
      <c r="FQ68" s="1226"/>
      <c r="FR68" s="1226"/>
    </row>
    <row r="69" spans="1:174" ht="33" x14ac:dyDescent="0.25">
      <c r="A69" s="1228" t="s">
        <v>4204</v>
      </c>
      <c r="B69" s="1228"/>
      <c r="C69" s="1275">
        <f t="shared" si="34"/>
        <v>4</v>
      </c>
      <c r="D69" s="1276" t="s">
        <v>4805</v>
      </c>
      <c r="E69" s="1219">
        <f>COUNTIFS(ШТАТ!$AL:$AL,'БЧС Дерябин'!$A69,ШТАТ!$AK:$AK,1)</f>
        <v>2</v>
      </c>
      <c r="F69" s="1219">
        <f>COUNTIFS(ШТАТ!$AL:$AL,'БЧС Дерябин'!$A69,ШТАТ!$AK:$AK,2)</f>
        <v>4</v>
      </c>
      <c r="G69" s="1219">
        <f>COUNTIFS(ШТАТ!$AL:$AL,'БЧС Дерябин'!$A69,ШТАТ!$AK:$AK,3)</f>
        <v>0</v>
      </c>
      <c r="H69" s="1219">
        <f>COUNTIFS(ШТАТ!$AL:$AL,'БЧС Дерябин'!$A69,ШТАТ!$AK:$AK,4)</f>
        <v>2</v>
      </c>
      <c r="I69" s="1221">
        <f t="shared" si="3"/>
        <v>8</v>
      </c>
      <c r="J69" s="1219">
        <f>COUNTIFS(ШТАТ!AL:AL,A69,ШТАТ!AJ:AJ,"о")</f>
        <v>2</v>
      </c>
      <c r="K69" s="1219">
        <f>COUNTIFS(ШТАТ!AL:AL,A69,ШТАТ!AJ:AJ,"п")</f>
        <v>3</v>
      </c>
      <c r="L69" s="1219">
        <f>COUNTIFS(ШТАТ!$AL:$AL,$A69,ШТАТ!AK:AK,3,ШТАТ!AJ:AJ,"с/с")</f>
        <v>0</v>
      </c>
      <c r="M69" s="1219">
        <f>COUNTIFS(ШТАТ!$AL:$AL,$A69,ШТАТ!AK:AK,3,ШТАТ!AJ:AJ,"к/с")</f>
        <v>0</v>
      </c>
      <c r="N69" s="1222">
        <f t="shared" si="11"/>
        <v>0</v>
      </c>
      <c r="O69" s="1220">
        <f>COUNTIFS(ШТАТ!$AL:$AL,$A69,ШТАТ!AK:AK,4,ШТАТ!AJ:AJ,"с/с")</f>
        <v>2</v>
      </c>
      <c r="P69" s="1220">
        <f>COUNTIFS(ШТАТ!$AL:$AL,$A69,ШТАТ!AK:AK,4,ШТАТ!AJ:AJ,"к/с")</f>
        <v>0</v>
      </c>
      <c r="Q69" s="1222">
        <f t="shared" si="12"/>
        <v>2</v>
      </c>
      <c r="R69" s="1221">
        <f t="shared" si="13"/>
        <v>7</v>
      </c>
      <c r="S69" s="1223">
        <f t="shared" si="14"/>
        <v>0.875</v>
      </c>
      <c r="T69" s="1219">
        <f>COUNTIFS(ШТАТ!$AL:$AL,$A69,ШТАТ!$AJ:$AJ,"о",ШТАТ!$X:$X,"выполнение специальных задач")</f>
        <v>0</v>
      </c>
      <c r="U69" s="1219">
        <f>COUNTIFS(ШТАТ!$AL:$AL,$A69,ШТАТ!$AJ:$AJ,"п",ШТАТ!$X:$X,"выполнение специальных задач")</f>
        <v>2</v>
      </c>
      <c r="V69" s="1219">
        <f>COUNTIFS(ШТАТ!$AL:$AL,$A69,ШТАТ!$AK:$AK,3,ШТАТ!$AJ:$AJ,"с/с",ШТАТ!$X:$X,"выполнение специальных задач")</f>
        <v>0</v>
      </c>
      <c r="W69" s="1219">
        <f>COUNTIFS(ШТАТ!$AL:$AL,$A69,ШТАТ!$AK:$AK,3,ШТАТ!$AJ:$AJ,"к/с",ШТАТ!$X:$X,"выполнение специальных задач")</f>
        <v>0</v>
      </c>
      <c r="X69" s="1222">
        <f t="shared" si="4"/>
        <v>0</v>
      </c>
      <c r="Y69" s="1219">
        <f>COUNTIFS(ШТАТ!$AL:$AL,$A69,ШТАТ!$AK:$AK,4,ШТАТ!$AJ:$AJ,"с/с",ШТАТ!$X:$X,"выполнение специальных задач")</f>
        <v>0</v>
      </c>
      <c r="Z69" s="1219">
        <f>COUNTIFS(ШТАТ!$AL:$AL,$A69,ШТАТ!$AK:$AK,4,ШТАТ!$AJ:$AJ,"к/с",ШТАТ!$X:$X,"выполнение специальных задач")</f>
        <v>0</v>
      </c>
      <c r="AA69" s="1222">
        <f t="shared" si="5"/>
        <v>0</v>
      </c>
      <c r="AB69" s="1221">
        <f t="shared" si="15"/>
        <v>2</v>
      </c>
      <c r="AC69" s="1224"/>
      <c r="AD69" s="1219">
        <f>COUNTIFS(ШТАТ!$AL:$AL,$A69,ШТАТ!$AK:$AK,1,ШТАТ!$AJ:$AJ,"о",ШТАТ!$W:$W,"г. Белгород")</f>
        <v>0</v>
      </c>
      <c r="AE69" s="1219">
        <f>COUNTIFS(ШТАТ!$AL:$AL,$A69,ШТАТ!$AK:$AK,2,ШТАТ!$AJ:$AJ,"п",ШТАТ!$W:$W,"г. Белгород")</f>
        <v>0</v>
      </c>
      <c r="AF69" s="1219">
        <f>COUNTIFS(ШТАТ!$AL:$AL,$A69,ШТАТ!$AK:$AK,3,ШТАТ!$AJ:$AJ,"с/с",ШТАТ!$W:$W,"г. Белгород")</f>
        <v>0</v>
      </c>
      <c r="AG69" s="1219">
        <f>COUNTIFS(ШТАТ!$AL:$AL,$A69,ШТАТ!$AK:$AK,3,ШТАТ!$AJ:$AJ,"к/с",ШТАТ!$W:$W,"г. Белгород")</f>
        <v>0</v>
      </c>
      <c r="AH69" s="1222">
        <f t="shared" si="6"/>
        <v>0</v>
      </c>
      <c r="AI69" s="1219">
        <f>COUNTIFS(ШТАТ!$AL:$AL,$A69,ШТАТ!$AK:$AK,4,ШТАТ!$AJ:$AJ,"с/с",ШТАТ!$W:$W,"г. Белгород")</f>
        <v>0</v>
      </c>
      <c r="AJ69" s="1219">
        <f>COUNTIFS(ШТАТ!$AL:$AL,$A69,ШТАТ!$AK:$AK,4,ШТАТ!$AJ:$AJ,"к/с",ШТАТ!$W:$W,"г. Белгород")</f>
        <v>0</v>
      </c>
      <c r="AK69" s="1222">
        <f t="shared" si="7"/>
        <v>0</v>
      </c>
      <c r="AL69" s="1221">
        <f t="shared" si="16"/>
        <v>0</v>
      </c>
      <c r="AM69" s="1219">
        <f>COUNTIFS(ШТАТ!$AL:$AL,$A69,ШТАТ!$AK:$AK,1,ШТАТ!$AJ:$AJ,"о",ШТАТ!$U:$U,"")</f>
        <v>1</v>
      </c>
      <c r="AN69" s="1219">
        <f>COUNTIFS(ШТАТ!$AL:$AL,$A69,ШТАТ!$AK:$AK,2,ШТАТ!$AJ:$AJ,"п",ШТАТ!$U:$U,"")</f>
        <v>1</v>
      </c>
      <c r="AO69" s="1219">
        <f>COUNTIFS(ШТАТ!$AL:$AL,$A69,ШТАТ!$AK:$AK,3,ШТАТ!$AJ:$AJ,"с/с",ШТАТ!$U:$U,"")</f>
        <v>0</v>
      </c>
      <c r="AP69" s="1219">
        <f>COUNTIFS(ШТАТ!$AL:$AL,$A69,ШТАТ!$AK:$AK,3,ШТАТ!$AJ:$AJ,"к/с",ШТАТ!$U:$U,"")</f>
        <v>0</v>
      </c>
      <c r="AQ69" s="1222">
        <f t="shared" si="17"/>
        <v>0</v>
      </c>
      <c r="AR69" s="1219">
        <f>COUNTIFS(ШТАТ!$AL:$AL,$A69,ШТАТ!$AK:$AK,4,ШТАТ!$AJ:$AJ,"с/с",ШТАТ!$U:$U,"")</f>
        <v>2</v>
      </c>
      <c r="AS69" s="1219">
        <f>COUNTIFS(ШТАТ!$AL:$AL,$A69,ШТАТ!$AK:$AK,4,ШТАТ!$AJ:$AJ,"к/с",ШТАТ!$U:$U,"")</f>
        <v>0</v>
      </c>
      <c r="AT69" s="1222">
        <f t="shared" si="8"/>
        <v>2</v>
      </c>
      <c r="AU69" s="1221">
        <f t="shared" si="18"/>
        <v>4</v>
      </c>
      <c r="AV69" s="1219">
        <f>COUNTIFS(ШТАТ!$AL:$AL,$A69,ШТАТ!$U:$U,"госп")</f>
        <v>0</v>
      </c>
      <c r="AW69" s="1225">
        <f t="shared" si="9"/>
        <v>0</v>
      </c>
      <c r="AX69" s="1219">
        <f>COUNTIFS(ШТАТ!$AL:$AL,$A69,ШТАТ!$U:$U,"отпуск")</f>
        <v>1</v>
      </c>
      <c r="AY69" s="1219">
        <f>COUNTIFS(ШТАТ!$AL:$AL,$A69,ШТАТ!$U:$U,"соч")</f>
        <v>0</v>
      </c>
      <c r="AZ69" s="1225"/>
      <c r="BA69" s="1219">
        <f>COUNTIFS(ШТАТ!$AL:$AL,$A69,ШТАТ!$U:$U,"МП")</f>
        <v>0</v>
      </c>
      <c r="BB69" s="1226"/>
      <c r="BC69" s="1226"/>
      <c r="BD69" s="1219"/>
      <c r="BE69" s="1226"/>
      <c r="BF69" s="1226"/>
      <c r="BG69" s="1226"/>
      <c r="BH69" s="1226"/>
      <c r="BI69" s="1226"/>
      <c r="BJ69" s="1226"/>
      <c r="BK69" s="1226"/>
      <c r="BL69" s="1226"/>
      <c r="BM69" s="1226"/>
      <c r="BN69" s="1226"/>
      <c r="BO69" s="1226"/>
      <c r="BP69" s="1226"/>
      <c r="BQ69" s="1226"/>
      <c r="BR69" s="1226"/>
      <c r="BS69" s="1226"/>
      <c r="BT69" s="1226"/>
      <c r="BU69" s="1226"/>
      <c r="BV69" s="1226"/>
      <c r="BW69" s="1226"/>
      <c r="BX69" s="1226"/>
      <c r="BY69" s="1226"/>
      <c r="BZ69" s="1226"/>
      <c r="CA69" s="1226"/>
      <c r="CB69" s="1226"/>
      <c r="CC69" s="1226"/>
      <c r="CD69" s="1226"/>
      <c r="CE69" s="1226"/>
      <c r="CF69" s="1226"/>
      <c r="CG69" s="1226"/>
      <c r="CH69" s="1226"/>
      <c r="CI69" s="1226"/>
      <c r="CJ69" s="1226"/>
      <c r="CK69" s="1226"/>
      <c r="CL69" s="1226"/>
      <c r="CM69" s="1226"/>
      <c r="CN69" s="1226"/>
      <c r="CO69" s="1226"/>
      <c r="CP69" s="1226"/>
      <c r="CQ69" s="1226"/>
      <c r="CR69" s="1226"/>
      <c r="CS69" s="1226"/>
      <c r="CT69" s="1226"/>
      <c r="CU69" s="1226"/>
      <c r="CV69" s="1226"/>
      <c r="CW69" s="1226"/>
      <c r="CX69" s="1226"/>
      <c r="CY69" s="1226"/>
      <c r="CZ69" s="1226"/>
      <c r="DA69" s="1226"/>
      <c r="DB69" s="1226"/>
      <c r="DC69" s="1226"/>
      <c r="DD69" s="1226"/>
      <c r="DE69" s="1226"/>
      <c r="DF69" s="1226"/>
      <c r="DG69" s="1226"/>
      <c r="DH69" s="1226"/>
      <c r="DI69" s="1226"/>
      <c r="DJ69" s="1226"/>
      <c r="DK69" s="1226"/>
      <c r="DL69" s="1226"/>
      <c r="DM69" s="1226"/>
      <c r="DN69" s="1226"/>
      <c r="DO69" s="1226"/>
      <c r="DP69" s="1226"/>
      <c r="DQ69" s="1226"/>
      <c r="DR69" s="1226"/>
      <c r="DS69" s="1226"/>
      <c r="DT69" s="1226"/>
      <c r="DU69" s="1226"/>
      <c r="DV69" s="1226">
        <f>COUNTIFS(ШТАТ!$AN:$AN,"Урал-4320-31",ШТАТ!AL:AL,"Управление")</f>
        <v>0</v>
      </c>
      <c r="DW69" s="1226"/>
      <c r="DX69" s="1226"/>
      <c r="DY69" s="1226"/>
      <c r="DZ69" s="1226"/>
      <c r="EA69" s="1226"/>
      <c r="EB69" s="1226"/>
      <c r="EC69" s="1226"/>
      <c r="ED69" s="1226"/>
      <c r="EE69" s="1226"/>
      <c r="EF69" s="1226"/>
      <c r="EG69" s="1226"/>
      <c r="EH69" s="1226"/>
      <c r="EI69" s="1226"/>
      <c r="EJ69" s="1226"/>
      <c r="EK69" s="1226"/>
      <c r="EL69" s="1226"/>
      <c r="EM69" s="1226"/>
      <c r="EN69" s="1226"/>
      <c r="EO69" s="1226"/>
      <c r="EP69" s="1226"/>
      <c r="EQ69" s="1226"/>
      <c r="ER69" s="1226"/>
      <c r="ES69" s="1226"/>
      <c r="ET69" s="1226"/>
      <c r="EU69" s="1226"/>
      <c r="EV69" s="1226"/>
      <c r="EW69" s="1226"/>
      <c r="EX69" s="1226"/>
      <c r="EY69" s="1226"/>
      <c r="EZ69" s="1226"/>
      <c r="FA69" s="1226"/>
      <c r="FB69" s="1226"/>
      <c r="FC69" s="1226"/>
      <c r="FD69" s="1226"/>
      <c r="FE69" s="1226"/>
      <c r="FF69" s="1226"/>
      <c r="FG69" s="1226"/>
      <c r="FH69" s="1226"/>
      <c r="FI69" s="1226"/>
      <c r="FJ69" s="1226"/>
      <c r="FK69" s="1226"/>
      <c r="FL69" s="1226"/>
      <c r="FM69" s="1226"/>
      <c r="FN69" s="1226"/>
      <c r="FO69" s="1226"/>
      <c r="FP69" s="1226"/>
      <c r="FQ69" s="1226"/>
      <c r="FR69" s="1226"/>
    </row>
    <row r="70" spans="1:174" ht="33" x14ac:dyDescent="0.25">
      <c r="A70" s="1228" t="s">
        <v>734</v>
      </c>
      <c r="B70" s="1228"/>
      <c r="C70" s="1275">
        <f t="shared" si="34"/>
        <v>24</v>
      </c>
      <c r="D70" s="1276" t="s">
        <v>4805</v>
      </c>
      <c r="E70" s="1219">
        <f>COUNTIFS(ШТАТ!$AL:$AL,'БЧС Дерябин'!$A70,ШТАТ!$AK:$AK,1)</f>
        <v>1</v>
      </c>
      <c r="F70" s="1219">
        <f>COUNTIFS(ШТАТ!$AL:$AL,'БЧС Дерябин'!$A70,ШТАТ!$AK:$AK,2)</f>
        <v>2</v>
      </c>
      <c r="G70" s="1219">
        <f>COUNTIFS(ШТАТ!$AL:$AL,'БЧС Дерябин'!$A70,ШТАТ!$AK:$AK,3)</f>
        <v>1</v>
      </c>
      <c r="H70" s="1219">
        <f>COUNTIFS(ШТАТ!$AL:$AL,'БЧС Дерябин'!$A70,ШТАТ!$AK:$AK,4)</f>
        <v>34</v>
      </c>
      <c r="I70" s="1221">
        <f t="shared" si="3"/>
        <v>38</v>
      </c>
      <c r="J70" s="1219">
        <f>COUNTIFS(ШТАТ!AL:AL,A70,ШТАТ!AJ:AJ,"о")</f>
        <v>1</v>
      </c>
      <c r="K70" s="1219">
        <f>COUNTIFS(ШТАТ!AL:AL,A70,ШТАТ!AJ:AJ,"п")</f>
        <v>1</v>
      </c>
      <c r="L70" s="1219">
        <f>COUNTIFS(ШТАТ!$AL:$AL,$A70,ШТАТ!AK:AK,3,ШТАТ!AJ:AJ,"с/с")</f>
        <v>0</v>
      </c>
      <c r="M70" s="1219">
        <f>COUNTIFS(ШТАТ!$AL:$AL,$A70,ШТАТ!AK:AK,3,ШТАТ!AJ:AJ,"к/с")</f>
        <v>0</v>
      </c>
      <c r="N70" s="1222">
        <f t="shared" si="11"/>
        <v>0</v>
      </c>
      <c r="O70" s="1220">
        <f>COUNTIFS(ШТАТ!$AL:$AL,$A70,ШТАТ!AK:AK,4,ШТАТ!AJ:AJ,"с/с")</f>
        <v>28</v>
      </c>
      <c r="P70" s="1220">
        <f>COUNTIFS(ШТАТ!$AL:$AL,$A70,ШТАТ!AK:AK,4,ШТАТ!AJ:AJ,"к/с")</f>
        <v>3</v>
      </c>
      <c r="Q70" s="1222">
        <f t="shared" si="12"/>
        <v>31</v>
      </c>
      <c r="R70" s="1221">
        <f t="shared" si="13"/>
        <v>33</v>
      </c>
      <c r="S70" s="1223">
        <f t="shared" si="14"/>
        <v>0.86842105263157898</v>
      </c>
      <c r="T70" s="1219">
        <f>COUNTIFS(ШТАТ!$AL:$AL,$A70,ШТАТ!$AJ:$AJ,"о",ШТАТ!$X:$X,"выполнение специальных задач")</f>
        <v>0</v>
      </c>
      <c r="U70" s="1219">
        <f>COUNTIFS(ШТАТ!$AL:$AL,$A70,ШТАТ!$AJ:$AJ,"п",ШТАТ!$X:$X,"выполнение специальных задач")</f>
        <v>1</v>
      </c>
      <c r="V70" s="1219">
        <f>COUNTIFS(ШТАТ!$AL:$AL,$A70,ШТАТ!$AK:$AK,3,ШТАТ!$AJ:$AJ,"с/с",ШТАТ!$X:$X,"выполнение специальных задач")</f>
        <v>0</v>
      </c>
      <c r="W70" s="1219">
        <f>COUNTIFS(ШТАТ!$AL:$AL,$A70,ШТАТ!$AK:$AK,3,ШТАТ!$AJ:$AJ,"к/с",ШТАТ!$X:$X,"выполнение специальных задач")</f>
        <v>0</v>
      </c>
      <c r="X70" s="1222">
        <f t="shared" si="4"/>
        <v>0</v>
      </c>
      <c r="Y70" s="1219">
        <f>COUNTIFS(ШТАТ!$AL:$AL,$A70,ШТАТ!$AK:$AK,4,ШТАТ!$AJ:$AJ,"с/с",ШТАТ!$X:$X,"выполнение специальных задач")</f>
        <v>0</v>
      </c>
      <c r="Z70" s="1219">
        <f>COUNTIFS(ШТАТ!$AL:$AL,$A70,ШТАТ!$AK:$AK,4,ШТАТ!$AJ:$AJ,"к/с",ШТАТ!$X:$X,"выполнение специальных задач")</f>
        <v>1</v>
      </c>
      <c r="AA70" s="1222">
        <f t="shared" si="5"/>
        <v>1</v>
      </c>
      <c r="AB70" s="1221">
        <f t="shared" si="15"/>
        <v>2</v>
      </c>
      <c r="AC70" s="1224"/>
      <c r="AD70" s="1219">
        <f>COUNTIFS(ШТАТ!$AL:$AL,$A70,ШТАТ!$AK:$AK,1,ШТАТ!$AJ:$AJ,"о",ШТАТ!$W:$W,"г. Белгород")</f>
        <v>0</v>
      </c>
      <c r="AE70" s="1219">
        <f>COUNTIFS(ШТАТ!$AL:$AL,$A70,ШТАТ!$AK:$AK,2,ШТАТ!$AJ:$AJ,"п",ШТАТ!$W:$W,"г. Белгород")</f>
        <v>0</v>
      </c>
      <c r="AF70" s="1219">
        <f>COUNTIFS(ШТАТ!$AL:$AL,$A70,ШТАТ!$AK:$AK,3,ШТАТ!$AJ:$AJ,"с/с",ШТАТ!$W:$W,"г. Белгород")</f>
        <v>0</v>
      </c>
      <c r="AG70" s="1219">
        <f>COUNTIFS(ШТАТ!$AL:$AL,$A70,ШТАТ!$AK:$AK,3,ШТАТ!$AJ:$AJ,"к/с",ШТАТ!$W:$W,"г. Белгород")</f>
        <v>0</v>
      </c>
      <c r="AH70" s="1222">
        <f t="shared" si="6"/>
        <v>0</v>
      </c>
      <c r="AI70" s="1219">
        <f>COUNTIFS(ШТАТ!$AL:$AL,$A70,ШТАТ!$AK:$AK,4,ШТАТ!$AJ:$AJ,"с/с",ШТАТ!$W:$W,"г. Белгород")</f>
        <v>0</v>
      </c>
      <c r="AJ70" s="1219">
        <f>COUNTIFS(ШТАТ!$AL:$AL,$A70,ШТАТ!$AK:$AK,4,ШТАТ!$AJ:$AJ,"к/с",ШТАТ!$W:$W,"г. Белгород")</f>
        <v>2</v>
      </c>
      <c r="AK70" s="1222">
        <f t="shared" si="7"/>
        <v>2</v>
      </c>
      <c r="AL70" s="1221">
        <f t="shared" si="16"/>
        <v>2</v>
      </c>
      <c r="AM70" s="1219">
        <f>COUNTIFS(ШТАТ!$AL:$AL,$A70,ШТАТ!$AK:$AK,1,ШТАТ!$AJ:$AJ,"о",ШТАТ!$U:$U,"")</f>
        <v>1</v>
      </c>
      <c r="AN70" s="1219">
        <f>COUNTIFS(ШТАТ!$AL:$AL,$A70,ШТАТ!$AK:$AK,2,ШТАТ!$AJ:$AJ,"п",ШТАТ!$U:$U,"")</f>
        <v>0</v>
      </c>
      <c r="AO70" s="1219">
        <f>COUNTIFS(ШТАТ!$AL:$AL,$A70,ШТАТ!$AK:$AK,3,ШТАТ!$AJ:$AJ,"с/с",ШТАТ!$U:$U,"")</f>
        <v>0</v>
      </c>
      <c r="AP70" s="1219">
        <f>COUNTIFS(ШТАТ!$AL:$AL,$A70,ШТАТ!$AK:$AK,3,ШТАТ!$AJ:$AJ,"к/с",ШТАТ!$U:$U,"")</f>
        <v>0</v>
      </c>
      <c r="AQ70" s="1222">
        <f t="shared" si="17"/>
        <v>0</v>
      </c>
      <c r="AR70" s="1219">
        <f>COUNTIFS(ШТАТ!$AL:$AL,$A70,ШТАТ!$AK:$AK,4,ШТАТ!$AJ:$AJ,"с/с",ШТАТ!$U:$U,"")</f>
        <v>23</v>
      </c>
      <c r="AS70" s="1219">
        <f>COUNTIFS(ШТАТ!$AL:$AL,$A70,ШТАТ!$AK:$AK,4,ШТАТ!$AJ:$AJ,"к/с",ШТАТ!$U:$U,"")</f>
        <v>0</v>
      </c>
      <c r="AT70" s="1222">
        <f t="shared" si="8"/>
        <v>23</v>
      </c>
      <c r="AU70" s="1221">
        <f t="shared" si="18"/>
        <v>24</v>
      </c>
      <c r="AV70" s="1219">
        <f>COUNTIFS(ШТАТ!$AL:$AL,$A70,ШТАТ!$U:$U,"госп")</f>
        <v>0</v>
      </c>
      <c r="AW70" s="1225">
        <f t="shared" si="9"/>
        <v>4</v>
      </c>
      <c r="AX70" s="1219">
        <f>COUNTIFS(ШТАТ!$AL:$AL,$A70,ШТАТ!$U:$U,"отпуск")</f>
        <v>0</v>
      </c>
      <c r="AY70" s="1219">
        <f>COUNTIFS(ШТАТ!$AL:$AL,$A70,ШТАТ!$U:$U,"соч")</f>
        <v>0</v>
      </c>
      <c r="AZ70" s="1225"/>
      <c r="BA70" s="1219">
        <f>COUNTIFS(ШТАТ!$AL:$AL,$A70,ШТАТ!$U:$U,"МП")</f>
        <v>1</v>
      </c>
      <c r="BB70" s="1226"/>
      <c r="BC70" s="1226"/>
      <c r="BD70" s="1219"/>
      <c r="BE70" s="1226"/>
      <c r="BF70" s="1226"/>
      <c r="BG70" s="1226"/>
      <c r="BH70" s="1226"/>
      <c r="BI70" s="1226"/>
      <c r="BJ70" s="1226"/>
      <c r="BK70" s="1226"/>
      <c r="BL70" s="1226"/>
      <c r="BM70" s="1226"/>
      <c r="BN70" s="1226"/>
      <c r="BO70" s="1226"/>
      <c r="BP70" s="1226"/>
      <c r="BQ70" s="1226"/>
      <c r="BR70" s="1226"/>
      <c r="BS70" s="1226"/>
      <c r="BT70" s="1226"/>
      <c r="BU70" s="1226"/>
      <c r="BV70" s="1226"/>
      <c r="BW70" s="1226"/>
      <c r="BX70" s="1226"/>
      <c r="BY70" s="1226"/>
      <c r="BZ70" s="1226"/>
      <c r="CA70" s="1226"/>
      <c r="CB70" s="1226"/>
      <c r="CC70" s="1226"/>
      <c r="CD70" s="1226"/>
      <c r="CE70" s="1226"/>
      <c r="CF70" s="1226"/>
      <c r="CG70" s="1226"/>
      <c r="CH70" s="1226"/>
      <c r="CI70" s="1226"/>
      <c r="CJ70" s="1226"/>
      <c r="CK70" s="1226"/>
      <c r="CL70" s="1226"/>
      <c r="CM70" s="1226"/>
      <c r="CN70" s="1226"/>
      <c r="CO70" s="1226"/>
      <c r="CP70" s="1226"/>
      <c r="CQ70" s="1226"/>
      <c r="CR70" s="1226"/>
      <c r="CS70" s="1226"/>
      <c r="CT70" s="1226"/>
      <c r="CU70" s="1226"/>
      <c r="CV70" s="1226"/>
      <c r="CW70" s="1226"/>
      <c r="CX70" s="1226"/>
      <c r="CY70" s="1226"/>
      <c r="CZ70" s="1226"/>
      <c r="DA70" s="1226"/>
      <c r="DB70" s="1226"/>
      <c r="DC70" s="1226"/>
      <c r="DD70" s="1226"/>
      <c r="DE70" s="1226"/>
      <c r="DF70" s="1226"/>
      <c r="DG70" s="1226"/>
      <c r="DH70" s="1226"/>
      <c r="DI70" s="1226"/>
      <c r="DJ70" s="1226"/>
      <c r="DK70" s="1226">
        <v>5</v>
      </c>
      <c r="DL70" s="1226"/>
      <c r="DM70" s="1226"/>
      <c r="DN70" s="1226"/>
      <c r="DO70" s="1226"/>
      <c r="DP70" s="1226"/>
      <c r="DQ70" s="1226">
        <v>2</v>
      </c>
      <c r="DR70" s="1226"/>
      <c r="DS70" s="1226"/>
      <c r="DT70" s="1226"/>
      <c r="DU70" s="1226"/>
      <c r="DV70" s="1226">
        <f>COUNTIFS(ШТАТ!$AN:$AN,"Урал-4320-31",ШТАТ!AL:AL,"Управление")</f>
        <v>0</v>
      </c>
      <c r="DW70" s="1226"/>
      <c r="DX70" s="1226"/>
      <c r="DY70" s="1226"/>
      <c r="DZ70" s="1226"/>
      <c r="EA70" s="1226"/>
      <c r="EB70" s="1226"/>
      <c r="EC70" s="1226"/>
      <c r="ED70" s="1226"/>
      <c r="EE70" s="1226"/>
      <c r="EF70" s="1226"/>
      <c r="EG70" s="1226"/>
      <c r="EH70" s="1226"/>
      <c r="EI70" s="1226"/>
      <c r="EJ70" s="1226"/>
      <c r="EK70" s="1226"/>
      <c r="EL70" s="1226"/>
      <c r="EM70" s="1226"/>
      <c r="EN70" s="1226"/>
      <c r="EO70" s="1226"/>
      <c r="EP70" s="1226"/>
      <c r="EQ70" s="1226"/>
      <c r="ER70" s="1226"/>
      <c r="ES70" s="1226"/>
      <c r="ET70" s="1226"/>
      <c r="EU70" s="1226"/>
      <c r="EV70" s="1226"/>
      <c r="EW70" s="1226"/>
      <c r="EX70" s="1226"/>
      <c r="EY70" s="1226"/>
      <c r="EZ70" s="1226"/>
      <c r="FA70" s="1226"/>
      <c r="FB70" s="1226"/>
      <c r="FC70" s="1226"/>
      <c r="FD70" s="1226"/>
      <c r="FE70" s="1226"/>
      <c r="FF70" s="1226"/>
      <c r="FG70" s="1226">
        <v>1</v>
      </c>
      <c r="FH70" s="1226"/>
      <c r="FI70" s="1226"/>
      <c r="FJ70" s="1226"/>
      <c r="FK70" s="1226"/>
      <c r="FL70" s="1226"/>
      <c r="FM70" s="1226"/>
      <c r="FN70" s="1226"/>
      <c r="FO70" s="1226"/>
      <c r="FP70" s="1226"/>
      <c r="FQ70" s="1226"/>
      <c r="FR70" s="1226"/>
    </row>
    <row r="71" spans="1:174" ht="33" x14ac:dyDescent="0.25">
      <c r="A71" s="1228" t="s">
        <v>759</v>
      </c>
      <c r="B71" s="1228"/>
      <c r="C71" s="1275">
        <f t="shared" si="34"/>
        <v>17</v>
      </c>
      <c r="D71" s="1276" t="s">
        <v>4805</v>
      </c>
      <c r="E71" s="1219">
        <f>COUNTIFS(ШТАТ!$AL:$AL,'БЧС Дерябин'!$A71,ШТАТ!$AK:$AK,1)</f>
        <v>1</v>
      </c>
      <c r="F71" s="1219">
        <f>COUNTIFS(ШТАТ!$AL:$AL,'БЧС Дерябин'!$A71,ШТАТ!$AK:$AK,2)</f>
        <v>0</v>
      </c>
      <c r="G71" s="1219">
        <f>COUNTIFS(ШТАТ!$AL:$AL,'БЧС Дерябин'!$A71,ШТАТ!$AK:$AK,3)</f>
        <v>3</v>
      </c>
      <c r="H71" s="1219">
        <f>COUNTIFS(ШТАТ!$AL:$AL,'БЧС Дерябин'!$A71,ШТАТ!$AK:$AK,4)</f>
        <v>17</v>
      </c>
      <c r="I71" s="1221">
        <f t="shared" si="3"/>
        <v>21</v>
      </c>
      <c r="J71" s="1219">
        <f>COUNTIFS(ШТАТ!AL:AL,A71,ШТАТ!AJ:AJ,"о")</f>
        <v>1</v>
      </c>
      <c r="K71" s="1219">
        <f>COUNTIFS(ШТАТ!AL:AL,A71,ШТАТ!AJ:AJ,"п")</f>
        <v>0</v>
      </c>
      <c r="L71" s="1219">
        <f>COUNTIFS(ШТАТ!$AL:$AL,$A71,ШТАТ!AK:AK,3,ШТАТ!AJ:AJ,"с/с")</f>
        <v>0</v>
      </c>
      <c r="M71" s="1219">
        <f>COUNTIFS(ШТАТ!$AL:$AL,$A71,ШТАТ!AK:AK,3,ШТАТ!AJ:AJ,"к/с")</f>
        <v>1</v>
      </c>
      <c r="N71" s="1222">
        <f t="shared" si="11"/>
        <v>1</v>
      </c>
      <c r="O71" s="1220">
        <f>COUNTIFS(ШТАТ!$AL:$AL,$A71,ШТАТ!AK:AK,4,ШТАТ!AJ:AJ,"с/с")</f>
        <v>16</v>
      </c>
      <c r="P71" s="1220">
        <f>COUNTIFS(ШТАТ!$AL:$AL,$A71,ШТАТ!AK:AK,4,ШТАТ!AJ:AJ,"к/с")</f>
        <v>1</v>
      </c>
      <c r="Q71" s="1222">
        <f t="shared" si="12"/>
        <v>17</v>
      </c>
      <c r="R71" s="1221">
        <f t="shared" si="13"/>
        <v>19</v>
      </c>
      <c r="S71" s="1223">
        <f t="shared" si="14"/>
        <v>0.90476190476190477</v>
      </c>
      <c r="T71" s="1219">
        <f>COUNTIFS(ШТАТ!$AL:$AL,$A71,ШТАТ!$AJ:$AJ,"о",ШТАТ!$X:$X,"выполнение специальных задач")</f>
        <v>0</v>
      </c>
      <c r="U71" s="1219">
        <f>COUNTIFS(ШТАТ!$AL:$AL,$A71,ШТАТ!$AJ:$AJ,"п",ШТАТ!$X:$X,"выполнение специальных задач")</f>
        <v>0</v>
      </c>
      <c r="V71" s="1219">
        <f>COUNTIFS(ШТАТ!$AL:$AL,$A71,ШТАТ!$AK:$AK,3,ШТАТ!$AJ:$AJ,"с/с",ШТАТ!$X:$X,"выполнение специальных задач")</f>
        <v>0</v>
      </c>
      <c r="W71" s="1219">
        <f>COUNTIFS(ШТАТ!$AL:$AL,$A71,ШТАТ!$AK:$AK,3,ШТАТ!$AJ:$AJ,"к/с",ШТАТ!$X:$X,"выполнение специальных задач")</f>
        <v>1</v>
      </c>
      <c r="X71" s="1222">
        <f t="shared" si="4"/>
        <v>1</v>
      </c>
      <c r="Y71" s="1219">
        <f>COUNTIFS(ШТАТ!$AL:$AL,$A71,ШТАТ!$AK:$AK,4,ШТАТ!$AJ:$AJ,"с/с",ШТАТ!$X:$X,"выполнение специальных задач")</f>
        <v>0</v>
      </c>
      <c r="Z71" s="1219">
        <f>COUNTIFS(ШТАТ!$AL:$AL,$A71,ШТАТ!$AK:$AK,4,ШТАТ!$AJ:$AJ,"к/с",ШТАТ!$X:$X,"выполнение специальных задач")</f>
        <v>0</v>
      </c>
      <c r="AA71" s="1222">
        <f t="shared" si="5"/>
        <v>0</v>
      </c>
      <c r="AB71" s="1221">
        <f t="shared" si="15"/>
        <v>1</v>
      </c>
      <c r="AC71" s="1224"/>
      <c r="AD71" s="1219">
        <f>COUNTIFS(ШТАТ!$AL:$AL,$A71,ШТАТ!$AK:$AK,1,ШТАТ!$AJ:$AJ,"о",ШТАТ!$W:$W,"г. Белгород")</f>
        <v>0</v>
      </c>
      <c r="AE71" s="1219">
        <f>COUNTIFS(ШТАТ!$AL:$AL,$A71,ШТАТ!$AK:$AK,2,ШТАТ!$AJ:$AJ,"п",ШТАТ!$W:$W,"г. Белгород")</f>
        <v>0</v>
      </c>
      <c r="AF71" s="1219">
        <f>COUNTIFS(ШТАТ!$AL:$AL,$A71,ШТАТ!$AK:$AK,3,ШТАТ!$AJ:$AJ,"с/с",ШТАТ!$W:$W,"г. Белгород")</f>
        <v>0</v>
      </c>
      <c r="AG71" s="1219">
        <f>COUNTIFS(ШТАТ!$AL:$AL,$A71,ШТАТ!$AK:$AK,3,ШТАТ!$AJ:$AJ,"к/с",ШТАТ!$W:$W,"г. Белгород")</f>
        <v>0</v>
      </c>
      <c r="AH71" s="1222">
        <f t="shared" si="6"/>
        <v>0</v>
      </c>
      <c r="AI71" s="1219">
        <f>COUNTIFS(ШТАТ!$AL:$AL,$A71,ШТАТ!$AK:$AK,4,ШТАТ!$AJ:$AJ,"с/с",ШТАТ!$W:$W,"г. Белгород")</f>
        <v>0</v>
      </c>
      <c r="AJ71" s="1219">
        <f>COUNTIFS(ШТАТ!$AL:$AL,$A71,ШТАТ!$AK:$AK,4,ШТАТ!$AJ:$AJ,"к/с",ШТАТ!$W:$W,"г. Белгород")</f>
        <v>0</v>
      </c>
      <c r="AK71" s="1222">
        <f t="shared" si="7"/>
        <v>0</v>
      </c>
      <c r="AL71" s="1221">
        <f t="shared" si="16"/>
        <v>0</v>
      </c>
      <c r="AM71" s="1219">
        <f>COUNTIFS(ШТАТ!$AL:$AL,$A71,ШТАТ!$AK:$AK,1,ШТАТ!$AJ:$AJ,"о",ШТАТ!$U:$U,"")</f>
        <v>1</v>
      </c>
      <c r="AN71" s="1219">
        <f>COUNTIFS(ШТАТ!$AL:$AL,$A71,ШТАТ!$AK:$AK,2,ШТАТ!$AJ:$AJ,"п",ШТАТ!$U:$U,"")</f>
        <v>0</v>
      </c>
      <c r="AO71" s="1219">
        <f>COUNTIFS(ШТАТ!$AL:$AL,$A71,ШТАТ!$AK:$AK,3,ШТАТ!$AJ:$AJ,"с/с",ШТАТ!$U:$U,"")</f>
        <v>0</v>
      </c>
      <c r="AP71" s="1219">
        <f>COUNTIFS(ШТАТ!$AL:$AL,$A71,ШТАТ!$AK:$AK,3,ШТАТ!$AJ:$AJ,"к/с",ШТАТ!$U:$U,"")</f>
        <v>0</v>
      </c>
      <c r="AQ71" s="1222">
        <f t="shared" si="17"/>
        <v>0</v>
      </c>
      <c r="AR71" s="1219">
        <f>COUNTIFS(ШТАТ!$AL:$AL,$A71,ШТАТ!$AK:$AK,4,ШТАТ!$AJ:$AJ,"с/с",ШТАТ!$U:$U,"")</f>
        <v>15</v>
      </c>
      <c r="AS71" s="1219">
        <f>COUNTIFS(ШТАТ!$AL:$AL,$A71,ШТАТ!$AK:$AK,4,ШТАТ!$AJ:$AJ,"к/с",ШТАТ!$U:$U,"")</f>
        <v>1</v>
      </c>
      <c r="AT71" s="1222">
        <f t="shared" si="8"/>
        <v>16</v>
      </c>
      <c r="AU71" s="1221">
        <f t="shared" si="18"/>
        <v>17</v>
      </c>
      <c r="AV71" s="1219">
        <f>COUNTIFS(ШТАТ!$AL:$AL,$A71,ШТАТ!$U:$U,"госп")</f>
        <v>0</v>
      </c>
      <c r="AW71" s="1225">
        <f t="shared" si="9"/>
        <v>0</v>
      </c>
      <c r="AX71" s="1219">
        <f>COUNTIFS(ШТАТ!$AL:$AL,$A71,ШТАТ!$U:$U,"отпуск")</f>
        <v>0</v>
      </c>
      <c r="AY71" s="1219">
        <f>COUNTIFS(ШТАТ!$AL:$AL,$A71,ШТАТ!$U:$U,"соч")</f>
        <v>0</v>
      </c>
      <c r="AZ71" s="1225"/>
      <c r="BA71" s="1219">
        <f>COUNTIFS(ШТАТ!$AL:$AL,$A71,ШТАТ!$U:$U,"МП")</f>
        <v>1</v>
      </c>
      <c r="BB71" s="1226"/>
      <c r="BC71" s="1226"/>
      <c r="BD71" s="1219"/>
      <c r="BE71" s="1226"/>
      <c r="BF71" s="1226"/>
      <c r="BG71" s="1226"/>
      <c r="BH71" s="1226"/>
      <c r="BI71" s="1226"/>
      <c r="BJ71" s="1226"/>
      <c r="BK71" s="1226"/>
      <c r="BL71" s="1226"/>
      <c r="BM71" s="1226"/>
      <c r="BN71" s="1226"/>
      <c r="BO71" s="1226"/>
      <c r="BP71" s="1226"/>
      <c r="BQ71" s="1226"/>
      <c r="BR71" s="1226"/>
      <c r="BS71" s="1226"/>
      <c r="BT71" s="1226"/>
      <c r="BU71" s="1226"/>
      <c r="BV71" s="1226"/>
      <c r="BW71" s="1226"/>
      <c r="BX71" s="1226"/>
      <c r="BY71" s="1226"/>
      <c r="BZ71" s="1226"/>
      <c r="CA71" s="1226"/>
      <c r="CB71" s="1226"/>
      <c r="CC71" s="1226"/>
      <c r="CD71" s="1226"/>
      <c r="CE71" s="1226"/>
      <c r="CF71" s="1226"/>
      <c r="CG71" s="1226"/>
      <c r="CH71" s="1226"/>
      <c r="CI71" s="1226"/>
      <c r="CJ71" s="1226"/>
      <c r="CK71" s="1226"/>
      <c r="CL71" s="1226"/>
      <c r="CM71" s="1226"/>
      <c r="CN71" s="1226"/>
      <c r="CO71" s="1226"/>
      <c r="CP71" s="1226"/>
      <c r="CQ71" s="1226"/>
      <c r="CR71" s="1226"/>
      <c r="CS71" s="1226"/>
      <c r="CT71" s="1226"/>
      <c r="CU71" s="1226"/>
      <c r="CV71" s="1226"/>
      <c r="CW71" s="1226"/>
      <c r="CX71" s="1226"/>
      <c r="CY71" s="1226"/>
      <c r="CZ71" s="1226"/>
      <c r="DA71" s="1226"/>
      <c r="DB71" s="1226"/>
      <c r="DC71" s="1226"/>
      <c r="DD71" s="1226"/>
      <c r="DE71" s="1226"/>
      <c r="DF71" s="1226"/>
      <c r="DG71" s="1226"/>
      <c r="DH71" s="1226"/>
      <c r="DI71" s="1226"/>
      <c r="DJ71" s="1226"/>
      <c r="DK71" s="1226">
        <v>2</v>
      </c>
      <c r="DL71" s="1226"/>
      <c r="DM71" s="1226"/>
      <c r="DN71" s="1226"/>
      <c r="DO71" s="1226"/>
      <c r="DP71" s="1226">
        <v>1</v>
      </c>
      <c r="DQ71" s="1226"/>
      <c r="DR71" s="1226"/>
      <c r="DS71" s="1226"/>
      <c r="DT71" s="1226"/>
      <c r="DU71" s="1226"/>
      <c r="DV71" s="1226">
        <f>COUNTIFS(ШТАТ!$AN:$AN,"Урал-4320-31",ШТАТ!AL:AL,"Управление")</f>
        <v>0</v>
      </c>
      <c r="DW71" s="1226"/>
      <c r="DX71" s="1226"/>
      <c r="DY71" s="1226"/>
      <c r="DZ71" s="1226"/>
      <c r="EA71" s="1226"/>
      <c r="EB71" s="1226"/>
      <c r="EC71" s="1226"/>
      <c r="ED71" s="1226"/>
      <c r="EE71" s="1226"/>
      <c r="EF71" s="1226"/>
      <c r="EG71" s="1226"/>
      <c r="EH71" s="1226"/>
      <c r="EI71" s="1226"/>
      <c r="EJ71" s="1226"/>
      <c r="EK71" s="1226"/>
      <c r="EL71" s="1226"/>
      <c r="EM71" s="1226"/>
      <c r="EN71" s="1226"/>
      <c r="EO71" s="1226"/>
      <c r="EP71" s="1226"/>
      <c r="EQ71" s="1226"/>
      <c r="ER71" s="1226"/>
      <c r="ES71" s="1226"/>
      <c r="ET71" s="1226"/>
      <c r="EU71" s="1226"/>
      <c r="EV71" s="1226"/>
      <c r="EW71" s="1226"/>
      <c r="EX71" s="1226"/>
      <c r="EY71" s="1226"/>
      <c r="EZ71" s="1226"/>
      <c r="FA71" s="1226"/>
      <c r="FB71" s="1226"/>
      <c r="FC71" s="1226"/>
      <c r="FD71" s="1226"/>
      <c r="FE71" s="1226"/>
      <c r="FF71" s="1226"/>
      <c r="FG71" s="1226"/>
      <c r="FH71" s="1226"/>
      <c r="FI71" s="1226"/>
      <c r="FJ71" s="1226">
        <v>1</v>
      </c>
      <c r="FK71" s="1226"/>
      <c r="FL71" s="1226"/>
      <c r="FM71" s="1226"/>
      <c r="FN71" s="1226"/>
      <c r="FO71" s="1226"/>
      <c r="FP71" s="1226"/>
      <c r="FQ71" s="1226"/>
      <c r="FR71" s="1226"/>
    </row>
    <row r="72" spans="1:174" ht="33" x14ac:dyDescent="0.25">
      <c r="A72" s="1228" t="s">
        <v>771</v>
      </c>
      <c r="B72" s="1228"/>
      <c r="C72" s="1275">
        <f t="shared" si="34"/>
        <v>10</v>
      </c>
      <c r="D72" s="1276" t="s">
        <v>4805</v>
      </c>
      <c r="E72" s="1219">
        <f>COUNTIFS(ШТАТ!$AL:$AL,'БЧС Дерябин'!$A72,ШТАТ!$AK:$AK,1)</f>
        <v>0</v>
      </c>
      <c r="F72" s="1219">
        <f>COUNTIFS(ШТАТ!$AL:$AL,'БЧС Дерябин'!$A72,ШТАТ!$AK:$AK,2)</f>
        <v>1</v>
      </c>
      <c r="G72" s="1219">
        <f>COUNTIFS(ШТАТ!$AL:$AL,'БЧС Дерябин'!$A72,ШТАТ!$AK:$AK,3)</f>
        <v>3</v>
      </c>
      <c r="H72" s="1219">
        <f>COUNTIFS(ШТАТ!$AL:$AL,'БЧС Дерябин'!$A72,ШТАТ!$AK:$AK,4)</f>
        <v>13</v>
      </c>
      <c r="I72" s="1221">
        <f t="shared" si="3"/>
        <v>17</v>
      </c>
      <c r="J72" s="1219">
        <f>COUNTIFS(ШТАТ!AL:AL,A72,ШТАТ!AJ:AJ,"о")</f>
        <v>0</v>
      </c>
      <c r="K72" s="1219">
        <f>COUNTIFS(ШТАТ!AL:AL,A72,ШТАТ!AJ:AJ,"п")</f>
        <v>1</v>
      </c>
      <c r="L72" s="1219">
        <f>COUNTIFS(ШТАТ!$AL:$AL,$A72,ШТАТ!AK:AK,3,ШТАТ!AJ:AJ,"с/с")</f>
        <v>0</v>
      </c>
      <c r="M72" s="1219">
        <f>COUNTIFS(ШТАТ!$AL:$AL,$A72,ШТАТ!AK:AK,3,ШТАТ!AJ:AJ,"к/с")</f>
        <v>2</v>
      </c>
      <c r="N72" s="1222">
        <f t="shared" si="11"/>
        <v>2</v>
      </c>
      <c r="O72" s="1220">
        <f>COUNTIFS(ШТАТ!$AL:$AL,$A72,ШТАТ!AK:AK,4,ШТАТ!AJ:AJ,"с/с")</f>
        <v>10</v>
      </c>
      <c r="P72" s="1220">
        <f>COUNTIFS(ШТАТ!$AL:$AL,$A72,ШТАТ!AK:AK,4,ШТАТ!AJ:AJ,"к/с")</f>
        <v>2</v>
      </c>
      <c r="Q72" s="1222">
        <f t="shared" si="12"/>
        <v>12</v>
      </c>
      <c r="R72" s="1221">
        <f t="shared" si="13"/>
        <v>15</v>
      </c>
      <c r="S72" s="1223">
        <f t="shared" si="14"/>
        <v>0.88235294117647056</v>
      </c>
      <c r="T72" s="1219">
        <f>COUNTIFS(ШТАТ!$AL:$AL,$A72,ШТАТ!$AJ:$AJ,"о",ШТАТ!$X:$X,"выполнение специальных задач")</f>
        <v>0</v>
      </c>
      <c r="U72" s="1219">
        <f>COUNTIFS(ШТАТ!$AL:$AL,$A72,ШТАТ!$AJ:$AJ,"п",ШТАТ!$X:$X,"выполнение специальных задач")</f>
        <v>0</v>
      </c>
      <c r="V72" s="1219">
        <f>COUNTIFS(ШТАТ!$AL:$AL,$A72,ШТАТ!$AK:$AK,3,ШТАТ!$AJ:$AJ,"с/с",ШТАТ!$X:$X,"выполнение специальных задач")</f>
        <v>0</v>
      </c>
      <c r="W72" s="1219">
        <f>COUNTIFS(ШТАТ!$AL:$AL,$A72,ШТАТ!$AK:$AK,3,ШТАТ!$AJ:$AJ,"к/с",ШТАТ!$X:$X,"выполнение специальных задач")</f>
        <v>0</v>
      </c>
      <c r="X72" s="1222">
        <f t="shared" si="4"/>
        <v>0</v>
      </c>
      <c r="Y72" s="1219">
        <f>COUNTIFS(ШТАТ!$AL:$AL,$A72,ШТАТ!$AK:$AK,4,ШТАТ!$AJ:$AJ,"с/с",ШТАТ!$X:$X,"выполнение специальных задач")</f>
        <v>0</v>
      </c>
      <c r="Z72" s="1219">
        <f>COUNTIFS(ШТАТ!$AL:$AL,$A72,ШТАТ!$AK:$AK,4,ШТАТ!$AJ:$AJ,"к/с",ШТАТ!$X:$X,"выполнение специальных задач")</f>
        <v>0</v>
      </c>
      <c r="AA72" s="1222">
        <f t="shared" si="5"/>
        <v>0</v>
      </c>
      <c r="AB72" s="1221">
        <f t="shared" si="15"/>
        <v>0</v>
      </c>
      <c r="AC72" s="1224"/>
      <c r="AD72" s="1219">
        <f>COUNTIFS(ШТАТ!$AL:$AL,$A72,ШТАТ!$AK:$AK,1,ШТАТ!$AJ:$AJ,"о",ШТАТ!$W:$W,"г. Белгород")</f>
        <v>0</v>
      </c>
      <c r="AE72" s="1219">
        <f>COUNTIFS(ШТАТ!$AL:$AL,$A72,ШТАТ!$AK:$AK,2,ШТАТ!$AJ:$AJ,"п",ШТАТ!$W:$W,"г. Белгород")</f>
        <v>1</v>
      </c>
      <c r="AF72" s="1219">
        <f>COUNTIFS(ШТАТ!$AL:$AL,$A72,ШТАТ!$AK:$AK,3,ШТАТ!$AJ:$AJ,"с/с",ШТАТ!$W:$W,"г. Белгород")</f>
        <v>0</v>
      </c>
      <c r="AG72" s="1219">
        <f>COUNTIFS(ШТАТ!$AL:$AL,$A72,ШТАТ!$AK:$AK,3,ШТАТ!$AJ:$AJ,"к/с",ШТАТ!$W:$W,"г. Белгород")</f>
        <v>1</v>
      </c>
      <c r="AH72" s="1222">
        <f t="shared" si="6"/>
        <v>1</v>
      </c>
      <c r="AI72" s="1219">
        <f>COUNTIFS(ШТАТ!$AL:$AL,$A72,ШТАТ!$AK:$AK,4,ШТАТ!$AJ:$AJ,"с/с",ШТАТ!$W:$W,"г. Белгород")</f>
        <v>0</v>
      </c>
      <c r="AJ72" s="1219">
        <f>COUNTIFS(ШТАТ!$AL:$AL,$A72,ШТАТ!$AK:$AK,4,ШТАТ!$AJ:$AJ,"к/с",ШТАТ!$W:$W,"г. Белгород")</f>
        <v>1</v>
      </c>
      <c r="AK72" s="1222">
        <f t="shared" si="7"/>
        <v>1</v>
      </c>
      <c r="AL72" s="1221">
        <f t="shared" si="16"/>
        <v>3</v>
      </c>
      <c r="AM72" s="1219">
        <f>COUNTIFS(ШТАТ!$AL:$AL,$A72,ШТАТ!$AK:$AK,1,ШТАТ!$AJ:$AJ,"о",ШТАТ!$U:$U,"")</f>
        <v>0</v>
      </c>
      <c r="AN72" s="1219">
        <f>COUNTIFS(ШТАТ!$AL:$AL,$A72,ШТАТ!$AK:$AK,2,ШТАТ!$AJ:$AJ,"п",ШТАТ!$U:$U,"")</f>
        <v>0</v>
      </c>
      <c r="AO72" s="1219">
        <f>COUNTIFS(ШТАТ!$AL:$AL,$A72,ШТАТ!$AK:$AK,3,ШТАТ!$AJ:$AJ,"с/с",ШТАТ!$U:$U,"")</f>
        <v>0</v>
      </c>
      <c r="AP72" s="1219">
        <f>COUNTIFS(ШТАТ!$AL:$AL,$A72,ШТАТ!$AK:$AK,3,ШТАТ!$AJ:$AJ,"к/с",ШТАТ!$U:$U,"")</f>
        <v>0</v>
      </c>
      <c r="AQ72" s="1222">
        <f t="shared" si="17"/>
        <v>0</v>
      </c>
      <c r="AR72" s="1219">
        <f>COUNTIFS(ШТАТ!$AL:$AL,$A72,ШТАТ!$AK:$AK,4,ШТАТ!$AJ:$AJ,"с/с",ШТАТ!$U:$U,"")</f>
        <v>10</v>
      </c>
      <c r="AS72" s="1219">
        <f>COUNTIFS(ШТАТ!$AL:$AL,$A72,ШТАТ!$AK:$AK,4,ШТАТ!$AJ:$AJ,"к/с",ШТАТ!$U:$U,"")</f>
        <v>0</v>
      </c>
      <c r="AT72" s="1222">
        <f t="shared" si="8"/>
        <v>10</v>
      </c>
      <c r="AU72" s="1221">
        <f t="shared" si="18"/>
        <v>10</v>
      </c>
      <c r="AV72" s="1219">
        <f>COUNTIFS(ШТАТ!$AL:$AL,$A72,ШТАТ!$U:$U,"госп")</f>
        <v>2</v>
      </c>
      <c r="AW72" s="1225">
        <f t="shared" si="9"/>
        <v>0</v>
      </c>
      <c r="AX72" s="1219">
        <f>COUNTIFS(ШТАТ!$AL:$AL,$A72,ШТАТ!$U:$U,"отпуск")</f>
        <v>0</v>
      </c>
      <c r="AY72" s="1219">
        <f>COUNTIFS(ШТАТ!$AL:$AL,$A72,ШТАТ!$U:$U,"соч")</f>
        <v>0</v>
      </c>
      <c r="AZ72" s="1225"/>
      <c r="BA72" s="1219">
        <f>COUNTIFS(ШТАТ!$AL:$AL,$A72,ШТАТ!$U:$U,"МП")</f>
        <v>0</v>
      </c>
      <c r="BB72" s="1226"/>
      <c r="BC72" s="1226"/>
      <c r="BD72" s="1219"/>
      <c r="BE72" s="1226"/>
      <c r="BF72" s="1226"/>
      <c r="BG72" s="1226"/>
      <c r="BH72" s="1226"/>
      <c r="BI72" s="1226"/>
      <c r="BJ72" s="1226"/>
      <c r="BK72" s="1226"/>
      <c r="BL72" s="1226"/>
      <c r="BM72" s="1226"/>
      <c r="BN72" s="1226"/>
      <c r="BO72" s="1226"/>
      <c r="BP72" s="1226"/>
      <c r="BQ72" s="1226"/>
      <c r="BR72" s="1226"/>
      <c r="BS72" s="1226"/>
      <c r="BT72" s="1226"/>
      <c r="BU72" s="1226"/>
      <c r="BV72" s="1226"/>
      <c r="BW72" s="1226"/>
      <c r="BX72" s="1226"/>
      <c r="BY72" s="1226"/>
      <c r="BZ72" s="1226"/>
      <c r="CA72" s="1226"/>
      <c r="CB72" s="1226"/>
      <c r="CC72" s="1226"/>
      <c r="CD72" s="1226"/>
      <c r="CE72" s="1226"/>
      <c r="CF72" s="1226"/>
      <c r="CG72" s="1226"/>
      <c r="CH72" s="1226"/>
      <c r="CI72" s="1226"/>
      <c r="CJ72" s="1226"/>
      <c r="CK72" s="1226"/>
      <c r="CL72" s="1226"/>
      <c r="CM72" s="1226"/>
      <c r="CN72" s="1226"/>
      <c r="CO72" s="1226"/>
      <c r="CP72" s="1226"/>
      <c r="CQ72" s="1226"/>
      <c r="CR72" s="1226"/>
      <c r="CS72" s="1226"/>
      <c r="CT72" s="1226"/>
      <c r="CU72" s="1226"/>
      <c r="CV72" s="1226"/>
      <c r="CW72" s="1226"/>
      <c r="CX72" s="1226"/>
      <c r="CY72" s="1226"/>
      <c r="CZ72" s="1226"/>
      <c r="DA72" s="1226"/>
      <c r="DB72" s="1226"/>
      <c r="DC72" s="1226"/>
      <c r="DD72" s="1226"/>
      <c r="DE72" s="1226"/>
      <c r="DF72" s="1226"/>
      <c r="DG72" s="1226"/>
      <c r="DH72" s="1226"/>
      <c r="DI72" s="1226"/>
      <c r="DJ72" s="1226"/>
      <c r="DK72" s="1226">
        <v>2</v>
      </c>
      <c r="DL72" s="1226"/>
      <c r="DM72" s="1226"/>
      <c r="DN72" s="1226"/>
      <c r="DO72" s="1226"/>
      <c r="DP72" s="1226"/>
      <c r="DQ72" s="1226"/>
      <c r="DR72" s="1226"/>
      <c r="DS72" s="1226"/>
      <c r="DT72" s="1226"/>
      <c r="DU72" s="1226"/>
      <c r="DV72" s="1226">
        <f>COUNTIFS(ШТАТ!$AN:$AN,"Урал-4320-31",ШТАТ!AL:AL,"Управление")</f>
        <v>0</v>
      </c>
      <c r="DW72" s="1226"/>
      <c r="DX72" s="1226"/>
      <c r="DY72" s="1226">
        <v>1</v>
      </c>
      <c r="DZ72" s="1226">
        <v>2</v>
      </c>
      <c r="EA72" s="1226"/>
      <c r="EB72" s="1226"/>
      <c r="EC72" s="1226"/>
      <c r="ED72" s="1226"/>
      <c r="EE72" s="1226"/>
      <c r="EF72" s="1226"/>
      <c r="EG72" s="1226"/>
      <c r="EH72" s="1226"/>
      <c r="EI72" s="1226"/>
      <c r="EJ72" s="1226"/>
      <c r="EK72" s="1226"/>
      <c r="EL72" s="1226"/>
      <c r="EM72" s="1226"/>
      <c r="EN72" s="1226"/>
      <c r="EO72" s="1226"/>
      <c r="EP72" s="1226"/>
      <c r="EQ72" s="1226"/>
      <c r="ER72" s="1226"/>
      <c r="ES72" s="1226"/>
      <c r="ET72" s="1226"/>
      <c r="EU72" s="1226"/>
      <c r="EV72" s="1226"/>
      <c r="EW72" s="1226"/>
      <c r="EX72" s="1226"/>
      <c r="EY72" s="1226"/>
      <c r="EZ72" s="1226"/>
      <c r="FA72" s="1226"/>
      <c r="FB72" s="1226"/>
      <c r="FC72" s="1226"/>
      <c r="FD72" s="1226"/>
      <c r="FE72" s="1226"/>
      <c r="FF72" s="1226"/>
      <c r="FG72" s="1226"/>
      <c r="FH72" s="1226">
        <v>2</v>
      </c>
      <c r="FI72" s="1226"/>
      <c r="FJ72" s="1226"/>
      <c r="FK72" s="1226"/>
      <c r="FL72" s="1226"/>
      <c r="FM72" s="1226"/>
      <c r="FN72" s="1226"/>
      <c r="FO72" s="1226"/>
      <c r="FP72" s="1226"/>
      <c r="FQ72" s="1226"/>
      <c r="FR72" s="1226"/>
    </row>
    <row r="73" spans="1:174" ht="33" x14ac:dyDescent="0.25">
      <c r="A73" s="1218" t="s">
        <v>723</v>
      </c>
      <c r="B73" s="1265" t="s">
        <v>4735</v>
      </c>
      <c r="C73" s="1265">
        <f t="shared" si="34"/>
        <v>55</v>
      </c>
      <c r="D73" s="1265" t="s">
        <v>4805</v>
      </c>
      <c r="E73" s="1219">
        <f>SUM(E69:E72)</f>
        <v>4</v>
      </c>
      <c r="F73" s="1219">
        <f>SUM(F69:F72)</f>
        <v>7</v>
      </c>
      <c r="G73" s="1219">
        <f>SUM(G69:G72)</f>
        <v>7</v>
      </c>
      <c r="H73" s="1219">
        <f>SUM(H69:H72)</f>
        <v>66</v>
      </c>
      <c r="I73" s="1221">
        <f t="shared" si="3"/>
        <v>84</v>
      </c>
      <c r="J73" s="1219">
        <f>SUM(J69:J72)</f>
        <v>4</v>
      </c>
      <c r="K73" s="1219">
        <f>SUM(K69:K72)</f>
        <v>5</v>
      </c>
      <c r="L73" s="1219">
        <f>SUM(L69:L72)</f>
        <v>0</v>
      </c>
      <c r="M73" s="1219">
        <f>SUM(M69:M72)</f>
        <v>3</v>
      </c>
      <c r="N73" s="1222">
        <f t="shared" si="11"/>
        <v>3</v>
      </c>
      <c r="O73" s="1219">
        <f>SUM(O69:O72)</f>
        <v>56</v>
      </c>
      <c r="P73" s="1219">
        <f>SUM(P69:P72)</f>
        <v>6</v>
      </c>
      <c r="Q73" s="1222">
        <f t="shared" si="12"/>
        <v>62</v>
      </c>
      <c r="R73" s="1221">
        <f t="shared" si="13"/>
        <v>74</v>
      </c>
      <c r="S73" s="1223">
        <f>R73/I73</f>
        <v>0.88095238095238093</v>
      </c>
      <c r="T73" s="1219">
        <f>SUM(T69:T72)</f>
        <v>0</v>
      </c>
      <c r="U73" s="1219">
        <f>SUM(U69:U72)</f>
        <v>3</v>
      </c>
      <c r="V73" s="1219">
        <f>SUM(V69:V72)</f>
        <v>0</v>
      </c>
      <c r="W73" s="1219">
        <f>SUM(W69:W72)</f>
        <v>1</v>
      </c>
      <c r="X73" s="1222">
        <f t="shared" si="4"/>
        <v>1</v>
      </c>
      <c r="Y73" s="1219">
        <f>SUM(Y69:Y72)</f>
        <v>0</v>
      </c>
      <c r="Z73" s="1219">
        <f>SUM(Z69:Z72)</f>
        <v>1</v>
      </c>
      <c r="AA73" s="1222">
        <f t="shared" si="5"/>
        <v>1</v>
      </c>
      <c r="AB73" s="1221">
        <f t="shared" si="15"/>
        <v>5</v>
      </c>
      <c r="AC73" s="1224">
        <f>AB73/R73</f>
        <v>6.7567567567567571E-2</v>
      </c>
      <c r="AD73" s="1219">
        <f>SUM(AD69:AD72)</f>
        <v>0</v>
      </c>
      <c r="AE73" s="1219">
        <f>SUM(AE69:AE72)</f>
        <v>1</v>
      </c>
      <c r="AF73" s="1219">
        <f>SUM(AF69:AF72)</f>
        <v>0</v>
      </c>
      <c r="AG73" s="1219">
        <f>SUM(AG69:AG72)</f>
        <v>1</v>
      </c>
      <c r="AH73" s="1222">
        <f t="shared" si="6"/>
        <v>1</v>
      </c>
      <c r="AI73" s="1219">
        <f>SUM(AI69:AI72)</f>
        <v>0</v>
      </c>
      <c r="AJ73" s="1219">
        <f>SUM(AJ69:AJ72)</f>
        <v>3</v>
      </c>
      <c r="AK73" s="1222">
        <f t="shared" si="7"/>
        <v>3</v>
      </c>
      <c r="AL73" s="1221">
        <f t="shared" si="16"/>
        <v>5</v>
      </c>
      <c r="AM73" s="1219">
        <f>SUM(AM69:AM72)</f>
        <v>3</v>
      </c>
      <c r="AN73" s="1219">
        <f>SUM(AN69:AN72)</f>
        <v>1</v>
      </c>
      <c r="AO73" s="1219">
        <f>SUM(AO69:AO72)</f>
        <v>0</v>
      </c>
      <c r="AP73" s="1219">
        <f>SUM(AP69:AP72)</f>
        <v>0</v>
      </c>
      <c r="AQ73" s="1222">
        <f t="shared" si="17"/>
        <v>0</v>
      </c>
      <c r="AR73" s="1219">
        <f>SUM(AR69:AR72)</f>
        <v>50</v>
      </c>
      <c r="AS73" s="1219">
        <f>SUM(AS69:AS72)</f>
        <v>1</v>
      </c>
      <c r="AT73" s="1222">
        <f t="shared" si="8"/>
        <v>51</v>
      </c>
      <c r="AU73" s="1221">
        <f t="shared" si="18"/>
        <v>55</v>
      </c>
      <c r="AV73" s="1219">
        <f>SUM(AV69:AV72)</f>
        <v>2</v>
      </c>
      <c r="AW73" s="1225">
        <f t="shared" si="9"/>
        <v>4</v>
      </c>
      <c r="AX73" s="1219">
        <f>SUM(AX69:AX72)</f>
        <v>1</v>
      </c>
      <c r="AY73" s="1219">
        <f>SUM(AY69:AY72)</f>
        <v>0</v>
      </c>
      <c r="AZ73" s="1219">
        <f>SUM(AZ69:AZ72)</f>
        <v>0</v>
      </c>
      <c r="BA73" s="1219">
        <f>SUM(BA69:BA72)</f>
        <v>2</v>
      </c>
      <c r="BB73" s="1226">
        <v>4</v>
      </c>
      <c r="BC73" s="1226"/>
      <c r="BD73" s="1219">
        <v>0</v>
      </c>
      <c r="BE73" s="1226"/>
      <c r="BF73" s="1226"/>
      <c r="BG73" s="1226"/>
      <c r="BH73" s="1226"/>
      <c r="BI73" s="1226"/>
      <c r="BJ73" s="1226"/>
      <c r="BK73" s="1226"/>
      <c r="BL73" s="1226"/>
      <c r="BM73" s="1226"/>
      <c r="BN73" s="1226"/>
      <c r="BO73" s="1226"/>
      <c r="BP73" s="1226"/>
      <c r="BQ73" s="1226"/>
      <c r="BR73" s="1226"/>
      <c r="BS73" s="1226"/>
      <c r="BT73" s="1226"/>
      <c r="BU73" s="1226"/>
      <c r="BV73" s="1226"/>
      <c r="BW73" s="1226"/>
      <c r="BX73" s="1226"/>
      <c r="BY73" s="1226"/>
      <c r="BZ73" s="1226"/>
      <c r="CA73" s="1226"/>
      <c r="CB73" s="1226"/>
      <c r="CC73" s="1226"/>
      <c r="CD73" s="1226"/>
      <c r="CE73" s="1226"/>
      <c r="CF73" s="1226"/>
      <c r="CG73" s="1226"/>
      <c r="CH73" s="1226"/>
      <c r="CI73" s="1226"/>
      <c r="CJ73" s="1226"/>
      <c r="CK73" s="1226"/>
      <c r="CL73" s="1226"/>
      <c r="CM73" s="1226"/>
      <c r="CN73" s="1226"/>
      <c r="CO73" s="1226"/>
      <c r="CP73" s="1226"/>
      <c r="CQ73" s="1226"/>
      <c r="CR73" s="1226"/>
      <c r="CS73" s="1226"/>
      <c r="CT73" s="1226"/>
      <c r="CU73" s="1226"/>
      <c r="CV73" s="1226"/>
      <c r="CW73" s="1226"/>
      <c r="CX73" s="1226"/>
      <c r="CY73" s="1226"/>
      <c r="CZ73" s="1226"/>
      <c r="DA73" s="1226"/>
      <c r="DB73" s="1226"/>
      <c r="DC73" s="1219">
        <f>SUM(DC69:DC72)</f>
        <v>0</v>
      </c>
      <c r="DD73" s="1219">
        <f t="shared" ref="DD73:FO73" si="37">SUM(DD69:DD72)</f>
        <v>0</v>
      </c>
      <c r="DE73" s="1219">
        <f t="shared" si="37"/>
        <v>0</v>
      </c>
      <c r="DF73" s="1219">
        <f t="shared" si="37"/>
        <v>0</v>
      </c>
      <c r="DG73" s="1219">
        <f t="shared" si="37"/>
        <v>0</v>
      </c>
      <c r="DH73" s="1219">
        <f t="shared" si="37"/>
        <v>0</v>
      </c>
      <c r="DI73" s="1219">
        <f t="shared" si="37"/>
        <v>0</v>
      </c>
      <c r="DJ73" s="1219">
        <f t="shared" si="37"/>
        <v>0</v>
      </c>
      <c r="DK73" s="1219">
        <f t="shared" si="37"/>
        <v>9</v>
      </c>
      <c r="DL73" s="1219">
        <f t="shared" si="37"/>
        <v>0</v>
      </c>
      <c r="DM73" s="1219">
        <f t="shared" si="37"/>
        <v>0</v>
      </c>
      <c r="DN73" s="1219">
        <f t="shared" si="37"/>
        <v>0</v>
      </c>
      <c r="DO73" s="1219">
        <f t="shared" si="37"/>
        <v>0</v>
      </c>
      <c r="DP73" s="1219">
        <f t="shared" si="37"/>
        <v>1</v>
      </c>
      <c r="DQ73" s="1219">
        <f t="shared" si="37"/>
        <v>2</v>
      </c>
      <c r="DR73" s="1219">
        <f t="shared" si="37"/>
        <v>0</v>
      </c>
      <c r="DS73" s="1219">
        <f t="shared" si="37"/>
        <v>0</v>
      </c>
      <c r="DT73" s="1219">
        <f t="shared" si="37"/>
        <v>0</v>
      </c>
      <c r="DU73" s="1219">
        <f t="shared" si="37"/>
        <v>0</v>
      </c>
      <c r="DV73" s="1219">
        <f t="shared" si="37"/>
        <v>0</v>
      </c>
      <c r="DW73" s="1219">
        <f t="shared" si="37"/>
        <v>0</v>
      </c>
      <c r="DX73" s="1219">
        <f t="shared" si="37"/>
        <v>0</v>
      </c>
      <c r="DY73" s="1219">
        <f t="shared" si="37"/>
        <v>1</v>
      </c>
      <c r="DZ73" s="1219">
        <f t="shared" si="37"/>
        <v>2</v>
      </c>
      <c r="EA73" s="1219">
        <f t="shared" si="37"/>
        <v>0</v>
      </c>
      <c r="EB73" s="1219">
        <f t="shared" si="37"/>
        <v>0</v>
      </c>
      <c r="EC73" s="1219">
        <f t="shared" si="37"/>
        <v>0</v>
      </c>
      <c r="ED73" s="1219">
        <f t="shared" si="37"/>
        <v>0</v>
      </c>
      <c r="EE73" s="1219">
        <f t="shared" si="37"/>
        <v>0</v>
      </c>
      <c r="EF73" s="1219">
        <f t="shared" si="37"/>
        <v>0</v>
      </c>
      <c r="EG73" s="1219">
        <f t="shared" si="37"/>
        <v>0</v>
      </c>
      <c r="EH73" s="1219">
        <f t="shared" si="37"/>
        <v>0</v>
      </c>
      <c r="EI73" s="1219">
        <f t="shared" si="37"/>
        <v>0</v>
      </c>
      <c r="EJ73" s="1219">
        <f t="shared" si="37"/>
        <v>0</v>
      </c>
      <c r="EK73" s="1219">
        <f t="shared" si="37"/>
        <v>0</v>
      </c>
      <c r="EL73" s="1219">
        <f t="shared" si="37"/>
        <v>0</v>
      </c>
      <c r="EM73" s="1219">
        <f t="shared" si="37"/>
        <v>0</v>
      </c>
      <c r="EN73" s="1219">
        <f t="shared" si="37"/>
        <v>0</v>
      </c>
      <c r="EO73" s="1219">
        <f t="shared" si="37"/>
        <v>0</v>
      </c>
      <c r="EP73" s="1219">
        <f t="shared" si="37"/>
        <v>0</v>
      </c>
      <c r="EQ73" s="1219">
        <f t="shared" si="37"/>
        <v>0</v>
      </c>
      <c r="ER73" s="1219">
        <f t="shared" si="37"/>
        <v>0</v>
      </c>
      <c r="ES73" s="1219">
        <f t="shared" si="37"/>
        <v>0</v>
      </c>
      <c r="ET73" s="1219">
        <f t="shared" si="37"/>
        <v>0</v>
      </c>
      <c r="EU73" s="1219">
        <f t="shared" si="37"/>
        <v>0</v>
      </c>
      <c r="EV73" s="1219">
        <f t="shared" si="37"/>
        <v>0</v>
      </c>
      <c r="EW73" s="1219">
        <f t="shared" si="37"/>
        <v>0</v>
      </c>
      <c r="EX73" s="1219">
        <f t="shared" si="37"/>
        <v>0</v>
      </c>
      <c r="EY73" s="1219">
        <f t="shared" si="37"/>
        <v>0</v>
      </c>
      <c r="EZ73" s="1219">
        <f t="shared" si="37"/>
        <v>0</v>
      </c>
      <c r="FA73" s="1219">
        <f t="shared" si="37"/>
        <v>0</v>
      </c>
      <c r="FB73" s="1219">
        <f t="shared" si="37"/>
        <v>0</v>
      </c>
      <c r="FC73" s="1219">
        <f t="shared" si="37"/>
        <v>0</v>
      </c>
      <c r="FD73" s="1219">
        <f t="shared" si="37"/>
        <v>0</v>
      </c>
      <c r="FE73" s="1219">
        <f t="shared" si="37"/>
        <v>0</v>
      </c>
      <c r="FF73" s="1219">
        <f t="shared" si="37"/>
        <v>0</v>
      </c>
      <c r="FG73" s="1219">
        <f t="shared" si="37"/>
        <v>1</v>
      </c>
      <c r="FH73" s="1219">
        <f t="shared" si="37"/>
        <v>2</v>
      </c>
      <c r="FI73" s="1219">
        <f t="shared" si="37"/>
        <v>0</v>
      </c>
      <c r="FJ73" s="1219">
        <f t="shared" si="37"/>
        <v>1</v>
      </c>
      <c r="FK73" s="1219">
        <f t="shared" si="37"/>
        <v>0</v>
      </c>
      <c r="FL73" s="1219">
        <f t="shared" si="37"/>
        <v>0</v>
      </c>
      <c r="FM73" s="1219">
        <f t="shared" si="37"/>
        <v>0</v>
      </c>
      <c r="FN73" s="1219">
        <f t="shared" si="37"/>
        <v>0</v>
      </c>
      <c r="FO73" s="1219">
        <f t="shared" si="37"/>
        <v>0</v>
      </c>
      <c r="FP73" s="1219">
        <f t="shared" ref="FP73:FR73" si="38">SUM(FP69:FP72)</f>
        <v>0</v>
      </c>
      <c r="FQ73" s="1219">
        <f t="shared" si="38"/>
        <v>0</v>
      </c>
      <c r="FR73" s="1219">
        <f t="shared" si="38"/>
        <v>0</v>
      </c>
    </row>
    <row r="74" spans="1:174" ht="33" x14ac:dyDescent="0.25">
      <c r="A74" s="1218" t="s">
        <v>784</v>
      </c>
      <c r="B74" s="1265" t="s">
        <v>4735</v>
      </c>
      <c r="C74" s="1265">
        <f t="shared" si="34"/>
        <v>3</v>
      </c>
      <c r="D74" s="1265" t="s">
        <v>4805</v>
      </c>
      <c r="E74" s="1219">
        <v>1</v>
      </c>
      <c r="F74" s="1219">
        <v>0</v>
      </c>
      <c r="G74" s="1220">
        <v>2</v>
      </c>
      <c r="H74" s="1220">
        <v>5</v>
      </c>
      <c r="I74" s="1221">
        <f t="shared" si="3"/>
        <v>8</v>
      </c>
      <c r="J74" s="1219">
        <f>COUNTIFS(ШТАТ!AL:AL,A74,ШТАТ!AJ:AJ,"о")</f>
        <v>1</v>
      </c>
      <c r="K74" s="1219">
        <f>COUNTIFS(ШТАТ!AL:AL,A74,ШТАТ!AJ:AJ,"п")</f>
        <v>0</v>
      </c>
      <c r="L74" s="1219">
        <f>COUNTIFS(ШТАТ!$AL:$AL,$A74,ШТАТ!AK:AK,3,ШТАТ!AJ:AJ,"с/с")</f>
        <v>0</v>
      </c>
      <c r="M74" s="1219">
        <f>COUNTIFS(ШТАТ!$AL:$AL,$A74,ШТАТ!AK:AK,3,ШТАТ!AJ:AJ,"к/с")</f>
        <v>1</v>
      </c>
      <c r="N74" s="1222">
        <f t="shared" si="11"/>
        <v>1</v>
      </c>
      <c r="O74" s="1220">
        <f>COUNTIFS(ШТАТ!$AL:$AL,$A74,ШТАТ!AK:AK,4,ШТАТ!AJ:AJ,"с/с")</f>
        <v>2</v>
      </c>
      <c r="P74" s="1220">
        <f>COUNTIFS(ШТАТ!$AL:$AL,$A74,ШТАТ!AK:AK,4,ШТАТ!AJ:AJ,"к/с")</f>
        <v>0</v>
      </c>
      <c r="Q74" s="1222">
        <f t="shared" si="12"/>
        <v>2</v>
      </c>
      <c r="R74" s="1221">
        <f t="shared" si="13"/>
        <v>4</v>
      </c>
      <c r="S74" s="1223">
        <f t="shared" si="14"/>
        <v>0.5</v>
      </c>
      <c r="T74" s="1219">
        <f>COUNTIFS(ШТАТ!$AL:$AL,$A74,ШТАТ!$AJ:$AJ,"о",ШТАТ!$X:$X,"выполнение специальных задач")</f>
        <v>0</v>
      </c>
      <c r="U74" s="1219">
        <f>COUNTIFS(ШТАТ!$AL:$AL,$A74,ШТАТ!$AJ:$AJ,"п",ШТАТ!$X:$X,"выполнение специальных задач")</f>
        <v>0</v>
      </c>
      <c r="V74" s="1219">
        <f>COUNTIFS(ШТАТ!$AL:$AL,$A74,ШТАТ!$AK:$AK,3,ШТАТ!$AJ:$AJ,"с/с",ШТАТ!$X:$X,"выполнение специальных задач")</f>
        <v>0</v>
      </c>
      <c r="W74" s="1219">
        <f>COUNTIFS(ШТАТ!$AL:$AL,$A74,ШТАТ!$AK:$AK,3,ШТАТ!$AJ:$AJ,"к/с",ШТАТ!$X:$X,"выполнение специальных задач")</f>
        <v>1</v>
      </c>
      <c r="X74" s="1222">
        <f t="shared" si="4"/>
        <v>1</v>
      </c>
      <c r="Y74" s="1219">
        <f>COUNTIFS(ШТАТ!$AL:$AL,$A74,ШТАТ!$AK:$AK,4,ШТАТ!$AJ:$AJ,"с/с",ШТАТ!$X:$X,"выполнение специальных задач")</f>
        <v>0</v>
      </c>
      <c r="Z74" s="1219">
        <f>COUNTIFS(ШТАТ!$AL:$AL,$A74,ШТАТ!$AK:$AK,4,ШТАТ!$AJ:$AJ,"к/с",ШТАТ!$X:$X,"выполнение специальных задач")</f>
        <v>0</v>
      </c>
      <c r="AA74" s="1222">
        <f t="shared" si="5"/>
        <v>0</v>
      </c>
      <c r="AB74" s="1221">
        <f t="shared" si="15"/>
        <v>1</v>
      </c>
      <c r="AC74" s="1224"/>
      <c r="AD74" s="1219">
        <f>COUNTIFS(ШТАТ!$AL:$AL,$A74,ШТАТ!$AK:$AK,1,ШТАТ!$AJ:$AJ,"о",ШТАТ!$W:$W,"г. Белгород")</f>
        <v>0</v>
      </c>
      <c r="AE74" s="1219">
        <f>COUNTIFS(ШТАТ!$AL:$AL,$A74,ШТАТ!$AK:$AK,2,ШТАТ!$AJ:$AJ,"п",ШТАТ!$W:$W,"г. Белгород")</f>
        <v>0</v>
      </c>
      <c r="AF74" s="1219">
        <f>COUNTIFS(ШТАТ!$AL:$AL,$A74,ШТАТ!$AK:$AK,3,ШТАТ!$AJ:$AJ,"с/с",ШТАТ!$W:$W,"г. Белгород")</f>
        <v>0</v>
      </c>
      <c r="AG74" s="1219">
        <f>COUNTIFS(ШТАТ!$AL:$AL,$A74,ШТАТ!$AK:$AK,3,ШТАТ!$AJ:$AJ,"к/с",ШТАТ!$W:$W,"г. Белгород")</f>
        <v>0</v>
      </c>
      <c r="AH74" s="1222">
        <f t="shared" si="6"/>
        <v>0</v>
      </c>
      <c r="AI74" s="1219">
        <f>COUNTIFS(ШТАТ!$AL:$AL,$A74,ШТАТ!$AK:$AK,4,ШТАТ!$AJ:$AJ,"с/с",ШТАТ!$W:$W,"г. Белгород")</f>
        <v>0</v>
      </c>
      <c r="AJ74" s="1219">
        <f>COUNTIFS(ШТАТ!$AL:$AL,$A74,ШТАТ!$AK:$AK,4,ШТАТ!$AJ:$AJ,"к/с",ШТАТ!$W:$W,"г. Белгород")</f>
        <v>0</v>
      </c>
      <c r="AK74" s="1222">
        <f t="shared" si="7"/>
        <v>0</v>
      </c>
      <c r="AL74" s="1221">
        <f t="shared" si="16"/>
        <v>0</v>
      </c>
      <c r="AM74" s="1219">
        <f>COUNTIFS(ШТАТ!$AL:$AL,$A74,ШТАТ!$AK:$AK,1,ШТАТ!$AJ:$AJ,"о",ШТАТ!$U:$U,"")</f>
        <v>1</v>
      </c>
      <c r="AN74" s="1219">
        <f>COUNTIFS(ШТАТ!$AL:$AL,$A74,ШТАТ!$AK:$AK,2,ШТАТ!$AJ:$AJ,"п",ШТАТ!$U:$U,"")</f>
        <v>0</v>
      </c>
      <c r="AO74" s="1219">
        <f>COUNTIFS(ШТАТ!$AL:$AL,$A74,ШТАТ!$AK:$AK,3,ШТАТ!$AJ:$AJ,"с/с",ШТАТ!$U:$U,"")</f>
        <v>0</v>
      </c>
      <c r="AP74" s="1219">
        <f>COUNTIFS(ШТАТ!$AL:$AL,$A74,ШТАТ!$AK:$AK,3,ШТАТ!$AJ:$AJ,"к/с",ШТАТ!$U:$U,"")</f>
        <v>0</v>
      </c>
      <c r="AQ74" s="1222">
        <f t="shared" si="17"/>
        <v>0</v>
      </c>
      <c r="AR74" s="1219">
        <f>COUNTIFS(ШТАТ!$AL:$AL,$A74,ШТАТ!$AK:$AK,4,ШТАТ!$AJ:$AJ,"с/с",ШТАТ!$U:$U,"")</f>
        <v>2</v>
      </c>
      <c r="AS74" s="1219">
        <f>COUNTIFS(ШТАТ!$AL:$AL,$A74,ШТАТ!$AK:$AK,4,ШТАТ!$AJ:$AJ,"к/с",ШТАТ!$U:$U,"")</f>
        <v>0</v>
      </c>
      <c r="AT74" s="1222">
        <f t="shared" si="8"/>
        <v>2</v>
      </c>
      <c r="AU74" s="1221">
        <f t="shared" si="18"/>
        <v>3</v>
      </c>
      <c r="AV74" s="1219">
        <f>COUNTIFS(ШТАТ!$AL:$AL,$A74,ШТАТ!$U:$U,"госп")</f>
        <v>0</v>
      </c>
      <c r="AW74" s="1225">
        <f t="shared" si="9"/>
        <v>0</v>
      </c>
      <c r="AX74" s="1219">
        <f>COUNTIFS(ШТАТ!$AL:$AL,$A74,ШТАТ!$U:$U,"отпуск")</f>
        <v>0</v>
      </c>
      <c r="AY74" s="1219">
        <f>COUNTIFS(ШТАТ!$AL:$AL,$A74,ШТАТ!$U:$U,"соч")</f>
        <v>0</v>
      </c>
      <c r="AZ74" s="1225"/>
      <c r="BA74" s="1219">
        <f>COUNTIFS(ШТАТ!$AL:$AL,$A74,ШТАТ!$U:$U,"МП")</f>
        <v>0</v>
      </c>
      <c r="BB74" s="1226"/>
      <c r="BC74" s="1226"/>
      <c r="BD74" s="1219"/>
      <c r="BE74" s="1226"/>
      <c r="BF74" s="1226"/>
      <c r="BG74" s="1226"/>
      <c r="BH74" s="1226"/>
      <c r="BI74" s="1226"/>
      <c r="BJ74" s="1226"/>
      <c r="BK74" s="1226"/>
      <c r="BL74" s="1226"/>
      <c r="BM74" s="1226"/>
      <c r="BN74" s="1226"/>
      <c r="BO74" s="1226"/>
      <c r="BP74" s="1226"/>
      <c r="BQ74" s="1226"/>
      <c r="BR74" s="1226"/>
      <c r="BS74" s="1226"/>
      <c r="BT74" s="1226"/>
      <c r="BU74" s="1226"/>
      <c r="BV74" s="1226"/>
      <c r="BW74" s="1226"/>
      <c r="BX74" s="1226"/>
      <c r="BY74" s="1226"/>
      <c r="BZ74" s="1226"/>
      <c r="CA74" s="1226"/>
      <c r="CB74" s="1226"/>
      <c r="CC74" s="1226"/>
      <c r="CD74" s="1226"/>
      <c r="CE74" s="1226"/>
      <c r="CF74" s="1226"/>
      <c r="CG74" s="1226"/>
      <c r="CH74" s="1226"/>
      <c r="CI74" s="1226"/>
      <c r="CJ74" s="1226"/>
      <c r="CK74" s="1226"/>
      <c r="CL74" s="1226"/>
      <c r="CM74" s="1226"/>
      <c r="CN74" s="1226"/>
      <c r="CO74" s="1226"/>
      <c r="CP74" s="1226"/>
      <c r="CQ74" s="1226"/>
      <c r="CR74" s="1226"/>
      <c r="CS74" s="1226"/>
      <c r="CT74" s="1226"/>
      <c r="CU74" s="1226"/>
      <c r="CV74" s="1226"/>
      <c r="CW74" s="1226"/>
      <c r="CX74" s="1226"/>
      <c r="CY74" s="1226"/>
      <c r="CZ74" s="1226"/>
      <c r="DA74" s="1226"/>
      <c r="DB74" s="1226">
        <v>1</v>
      </c>
      <c r="DC74" s="1226"/>
      <c r="DD74" s="1226"/>
      <c r="DE74" s="1226"/>
      <c r="DF74" s="1226"/>
      <c r="DG74" s="1226"/>
      <c r="DH74" s="1226"/>
      <c r="DI74" s="1226"/>
      <c r="DJ74" s="1226"/>
      <c r="DK74" s="1226"/>
      <c r="DL74" s="1226"/>
      <c r="DM74" s="1226"/>
      <c r="DN74" s="1226"/>
      <c r="DO74" s="1226"/>
      <c r="DP74" s="1226"/>
      <c r="DQ74" s="1226"/>
      <c r="DR74" s="1226"/>
      <c r="DS74" s="1226"/>
      <c r="DT74" s="1226"/>
      <c r="DU74" s="1226"/>
      <c r="DV74" s="1226">
        <f>COUNTIFS(ШТАТ!$AN:$AN,"Урал-4320-31",ШТАТ!AL:AL,"Управление")</f>
        <v>0</v>
      </c>
      <c r="DW74" s="1226"/>
      <c r="DX74" s="1226"/>
      <c r="DY74" s="1226"/>
      <c r="DZ74" s="1226"/>
      <c r="EA74" s="1226"/>
      <c r="EB74" s="1226"/>
      <c r="EC74" s="1226"/>
      <c r="ED74" s="1226"/>
      <c r="EE74" s="1226"/>
      <c r="EF74" s="1226"/>
      <c r="EG74" s="1226"/>
      <c r="EH74" s="1226"/>
      <c r="EI74" s="1226"/>
      <c r="EJ74" s="1226"/>
      <c r="EK74" s="1226"/>
      <c r="EL74" s="1226"/>
      <c r="EM74" s="1226"/>
      <c r="EN74" s="1226"/>
      <c r="EO74" s="1226"/>
      <c r="EP74" s="1226"/>
      <c r="EQ74" s="1226"/>
      <c r="ER74" s="1226"/>
      <c r="ES74" s="1226"/>
      <c r="ET74" s="1226"/>
      <c r="EU74" s="1226"/>
      <c r="EV74" s="1226"/>
      <c r="EW74" s="1226"/>
      <c r="EX74" s="1226"/>
      <c r="EY74" s="1226"/>
      <c r="EZ74" s="1226"/>
      <c r="FA74" s="1226"/>
      <c r="FB74" s="1226"/>
      <c r="FC74" s="1226"/>
      <c r="FD74" s="1226"/>
      <c r="FE74" s="1226"/>
      <c r="FF74" s="1226"/>
      <c r="FG74" s="1226"/>
      <c r="FH74" s="1226"/>
      <c r="FI74" s="1226"/>
      <c r="FJ74" s="1226">
        <v>1</v>
      </c>
      <c r="FK74" s="1226"/>
      <c r="FL74" s="1226"/>
      <c r="FM74" s="1226"/>
      <c r="FN74" s="1226"/>
      <c r="FO74" s="1226"/>
      <c r="FP74" s="1226"/>
      <c r="FQ74" s="1226"/>
      <c r="FR74" s="1226"/>
    </row>
    <row r="75" spans="1:174" ht="33" x14ac:dyDescent="0.25">
      <c r="A75" s="1228" t="s">
        <v>4205</v>
      </c>
      <c r="B75" s="1228"/>
      <c r="C75" s="1275">
        <f t="shared" si="34"/>
        <v>2</v>
      </c>
      <c r="D75" s="1276" t="s">
        <v>4805</v>
      </c>
      <c r="E75" s="1219">
        <f>COUNTIFS(ШТАТ!$AL:$AL,'БЧС Дерябин'!$A75,ШТАТ!$AK:$AK,1)</f>
        <v>2</v>
      </c>
      <c r="F75" s="1219">
        <f>COUNTIFS(ШТАТ!$AL:$AL,'БЧС Дерябин'!$A75,ШТАТ!$AK:$AK,2)</f>
        <v>1</v>
      </c>
      <c r="G75" s="1219">
        <f>COUNTIFS(ШТАТ!$AL:$AL,'БЧС Дерябин'!$A75,ШТАТ!$AK:$AK,3)</f>
        <v>0</v>
      </c>
      <c r="H75" s="1219">
        <f>COUNTIFS(ШТАТ!$AL:$AL,'БЧС Дерябин'!$A75,ШТАТ!$AK:$AK,4)</f>
        <v>1</v>
      </c>
      <c r="I75" s="1221">
        <f t="shared" si="3"/>
        <v>4</v>
      </c>
      <c r="J75" s="1219">
        <f>COUNTIFS(ШТАТ!AL:AL,A75,ШТАТ!AJ:AJ,"о")</f>
        <v>2</v>
      </c>
      <c r="K75" s="1219">
        <f>COUNTIFS(ШТАТ!AL:AL,A75,ШТАТ!AJ:AJ,"п")</f>
        <v>1</v>
      </c>
      <c r="L75" s="1219">
        <f>COUNTIFS(ШТАТ!$AL:$AL,$A75,ШТАТ!AK:AK,3,ШТАТ!AJ:AJ,"с/с")</f>
        <v>0</v>
      </c>
      <c r="M75" s="1219">
        <f>COUNTIFS(ШТАТ!$AL:$AL,$A75,ШТАТ!AK:AK,3,ШТАТ!AJ:AJ,"к/с")</f>
        <v>0</v>
      </c>
      <c r="N75" s="1222">
        <f t="shared" si="11"/>
        <v>0</v>
      </c>
      <c r="O75" s="1220">
        <f>COUNTIFS(ШТАТ!$AL:$AL,$A75,ШТАТ!AK:AK,4,ШТАТ!AJ:AJ,"с/с")</f>
        <v>1</v>
      </c>
      <c r="P75" s="1220">
        <f>COUNTIFS(ШТАТ!$AL:$AL,$A75,ШТАТ!AK:AK,4,ШТАТ!AJ:AJ,"к/с")</f>
        <v>0</v>
      </c>
      <c r="Q75" s="1222">
        <f t="shared" ref="Q75:Q93" si="39">SUM(O75:P75)</f>
        <v>1</v>
      </c>
      <c r="R75" s="1221">
        <f t="shared" si="13"/>
        <v>4</v>
      </c>
      <c r="S75" s="1223">
        <f t="shared" si="14"/>
        <v>1</v>
      </c>
      <c r="T75" s="1219">
        <f>COUNTIFS(ШТАТ!$AL:$AL,$A75,ШТАТ!$AJ:$AJ,"о",ШТАТ!$X:$X,"выполнение специальных задач")</f>
        <v>1</v>
      </c>
      <c r="U75" s="1219">
        <f>COUNTIFS(ШТАТ!$AL:$AL,$A75,ШТАТ!$AJ:$AJ,"п",ШТАТ!$X:$X,"выполнение специальных задач")</f>
        <v>0</v>
      </c>
      <c r="V75" s="1219">
        <f>COUNTIFS(ШТАТ!$AL:$AL,$A75,ШТАТ!$AK:$AK,3,ШТАТ!$AJ:$AJ,"с/с",ШТАТ!$X:$X,"выполнение специальных задач")</f>
        <v>0</v>
      </c>
      <c r="W75" s="1219">
        <f>COUNTIFS(ШТАТ!$AL:$AL,$A75,ШТАТ!$AK:$AK,3,ШТАТ!$AJ:$AJ,"к/с",ШТАТ!$X:$X,"выполнение специальных задач")</f>
        <v>0</v>
      </c>
      <c r="X75" s="1222">
        <f t="shared" si="4"/>
        <v>0</v>
      </c>
      <c r="Y75" s="1219">
        <f>COUNTIFS(ШТАТ!$AL:$AL,$A75,ШТАТ!$AK:$AK,4,ШТАТ!$AJ:$AJ,"с/с",ШТАТ!$X:$X,"выполнение специальных задач")</f>
        <v>0</v>
      </c>
      <c r="Z75" s="1219">
        <f>COUNTIFS(ШТАТ!$AL:$AL,$A75,ШТАТ!$AK:$AK,4,ШТАТ!$AJ:$AJ,"к/с",ШТАТ!$X:$X,"выполнение специальных задач")</f>
        <v>0</v>
      </c>
      <c r="AA75" s="1222">
        <f t="shared" si="5"/>
        <v>0</v>
      </c>
      <c r="AB75" s="1221">
        <f t="shared" si="15"/>
        <v>1</v>
      </c>
      <c r="AC75" s="1224"/>
      <c r="AD75" s="1219">
        <f>COUNTIFS(ШТАТ!$AL:$AL,$A75,ШТАТ!$AK:$AK,1,ШТАТ!$AJ:$AJ,"о",ШТАТ!$W:$W,"г. Белгород")</f>
        <v>1</v>
      </c>
      <c r="AE75" s="1219">
        <f>COUNTIFS(ШТАТ!$AL:$AL,$A75,ШТАТ!$AK:$AK,2,ШТАТ!$AJ:$AJ,"п",ШТАТ!$W:$W,"г. Белгород")</f>
        <v>0</v>
      </c>
      <c r="AF75" s="1219">
        <f>COUNTIFS(ШТАТ!$AL:$AL,$A75,ШТАТ!$AK:$AK,3,ШТАТ!$AJ:$AJ,"с/с",ШТАТ!$W:$W,"г. Белгород")</f>
        <v>0</v>
      </c>
      <c r="AG75" s="1219">
        <f>COUNTIFS(ШТАТ!$AL:$AL,$A75,ШТАТ!$AK:$AK,3,ШТАТ!$AJ:$AJ,"к/с",ШТАТ!$W:$W,"г. Белгород")</f>
        <v>0</v>
      </c>
      <c r="AH75" s="1222">
        <f t="shared" si="6"/>
        <v>0</v>
      </c>
      <c r="AI75" s="1219">
        <f>COUNTIFS(ШТАТ!$AL:$AL,$A75,ШТАТ!$AK:$AK,4,ШТАТ!$AJ:$AJ,"с/с",ШТАТ!$W:$W,"г. Белгород")</f>
        <v>0</v>
      </c>
      <c r="AJ75" s="1219">
        <f>COUNTIFS(ШТАТ!$AL:$AL,$A75,ШТАТ!$AK:$AK,4,ШТАТ!$AJ:$AJ,"к/с",ШТАТ!$W:$W,"г. Белгород")</f>
        <v>0</v>
      </c>
      <c r="AK75" s="1222">
        <f t="shared" si="7"/>
        <v>0</v>
      </c>
      <c r="AL75" s="1221">
        <f t="shared" si="16"/>
        <v>1</v>
      </c>
      <c r="AM75" s="1219">
        <f>COUNTIFS(ШТАТ!$AL:$AL,$A75,ШТАТ!$AK:$AK,1,ШТАТ!$AJ:$AJ,"о",ШТАТ!$U:$U,"")</f>
        <v>0</v>
      </c>
      <c r="AN75" s="1219">
        <f>COUNTIFS(ШТАТ!$AL:$AL,$A75,ШТАТ!$AK:$AK,2,ШТАТ!$AJ:$AJ,"п",ШТАТ!$U:$U,"")</f>
        <v>1</v>
      </c>
      <c r="AO75" s="1219">
        <f>COUNTIFS(ШТАТ!$AL:$AL,$A75,ШТАТ!$AK:$AK,3,ШТАТ!$AJ:$AJ,"с/с",ШТАТ!$U:$U,"")</f>
        <v>0</v>
      </c>
      <c r="AP75" s="1219">
        <f>COUNTIFS(ШТАТ!$AL:$AL,$A75,ШТАТ!$AK:$AK,3,ШТАТ!$AJ:$AJ,"к/с",ШТАТ!$U:$U,"")</f>
        <v>0</v>
      </c>
      <c r="AQ75" s="1222">
        <f t="shared" si="17"/>
        <v>0</v>
      </c>
      <c r="AR75" s="1219">
        <f>COUNTIFS(ШТАТ!$AL:$AL,$A75,ШТАТ!$AK:$AK,4,ШТАТ!$AJ:$AJ,"с/с",ШТАТ!$U:$U,"")</f>
        <v>1</v>
      </c>
      <c r="AS75" s="1219">
        <f>COUNTIFS(ШТАТ!$AL:$AL,$A75,ШТАТ!$AK:$AK,4,ШТАТ!$AJ:$AJ,"к/с",ШТАТ!$U:$U,"")</f>
        <v>0</v>
      </c>
      <c r="AT75" s="1222">
        <f t="shared" si="8"/>
        <v>1</v>
      </c>
      <c r="AU75" s="1221">
        <f t="shared" si="18"/>
        <v>2</v>
      </c>
      <c r="AV75" s="1219">
        <f>COUNTIFS(ШТАТ!$AL:$AL,$A75,ШТАТ!$U:$U,"госп")</f>
        <v>0</v>
      </c>
      <c r="AW75" s="1225">
        <f t="shared" si="9"/>
        <v>0</v>
      </c>
      <c r="AX75" s="1219">
        <f>COUNTIFS(ШТАТ!$AL:$AL,$A75,ШТАТ!$U:$U,"отпуск")</f>
        <v>0</v>
      </c>
      <c r="AY75" s="1219">
        <f>COUNTIFS(ШТАТ!$AL:$AL,$A75,ШТАТ!$U:$U,"соч")</f>
        <v>0</v>
      </c>
      <c r="AZ75" s="1225"/>
      <c r="BA75" s="1219">
        <f>COUNTIFS(ШТАТ!$AL:$AL,$A75,ШТАТ!$U:$U,"МП")</f>
        <v>0</v>
      </c>
      <c r="BB75" s="1226"/>
      <c r="BC75" s="1226"/>
      <c r="BD75" s="1219"/>
      <c r="BE75" s="1226"/>
      <c r="BF75" s="1226"/>
      <c r="BG75" s="1226"/>
      <c r="BH75" s="1226"/>
      <c r="BI75" s="1226"/>
      <c r="BJ75" s="1226"/>
      <c r="BK75" s="1226"/>
      <c r="BL75" s="1226"/>
      <c r="BM75" s="1226"/>
      <c r="BN75" s="1226"/>
      <c r="BO75" s="1226"/>
      <c r="BP75" s="1226"/>
      <c r="BQ75" s="1226"/>
      <c r="BR75" s="1226"/>
      <c r="BS75" s="1226"/>
      <c r="BT75" s="1226"/>
      <c r="BU75" s="1226"/>
      <c r="BV75" s="1226"/>
      <c r="BW75" s="1226"/>
      <c r="BX75" s="1226"/>
      <c r="BY75" s="1226"/>
      <c r="BZ75" s="1226"/>
      <c r="CA75" s="1226"/>
      <c r="CB75" s="1226"/>
      <c r="CC75" s="1226"/>
      <c r="CD75" s="1226"/>
      <c r="CE75" s="1226"/>
      <c r="CF75" s="1226"/>
      <c r="CG75" s="1226"/>
      <c r="CH75" s="1226"/>
      <c r="CI75" s="1226"/>
      <c r="CJ75" s="1226"/>
      <c r="CK75" s="1226"/>
      <c r="CL75" s="1226"/>
      <c r="CM75" s="1226"/>
      <c r="CN75" s="1226"/>
      <c r="CO75" s="1226"/>
      <c r="CP75" s="1226"/>
      <c r="CQ75" s="1226"/>
      <c r="CR75" s="1226"/>
      <c r="CS75" s="1226"/>
      <c r="CT75" s="1226"/>
      <c r="CU75" s="1226"/>
      <c r="CV75" s="1226"/>
      <c r="CW75" s="1226"/>
      <c r="CX75" s="1226"/>
      <c r="CY75" s="1226"/>
      <c r="CZ75" s="1226"/>
      <c r="DA75" s="1226"/>
      <c r="DB75" s="1226"/>
      <c r="DC75" s="1226"/>
      <c r="DD75" s="1226"/>
      <c r="DE75" s="1226"/>
      <c r="DF75" s="1226"/>
      <c r="DG75" s="1226"/>
      <c r="DH75" s="1226"/>
      <c r="DI75" s="1226"/>
      <c r="DJ75" s="1226"/>
      <c r="DK75" s="1226"/>
      <c r="DL75" s="1226"/>
      <c r="DM75" s="1226"/>
      <c r="DN75" s="1226"/>
      <c r="DO75" s="1226"/>
      <c r="DP75" s="1226"/>
      <c r="DQ75" s="1226"/>
      <c r="DR75" s="1226"/>
      <c r="DS75" s="1226"/>
      <c r="DT75" s="1226"/>
      <c r="DU75" s="1226"/>
      <c r="DV75" s="1226">
        <f>COUNTIFS(ШТАТ!$AN:$AN,"Урал-4320-31",ШТАТ!AL:AL,"Управление")</f>
        <v>0</v>
      </c>
      <c r="DW75" s="1226"/>
      <c r="DX75" s="1226"/>
      <c r="DY75" s="1226"/>
      <c r="DZ75" s="1226"/>
      <c r="EA75" s="1226"/>
      <c r="EB75" s="1226"/>
      <c r="EC75" s="1226"/>
      <c r="ED75" s="1226"/>
      <c r="EE75" s="1226"/>
      <c r="EF75" s="1226"/>
      <c r="EG75" s="1226"/>
      <c r="EH75" s="1226"/>
      <c r="EI75" s="1226"/>
      <c r="EJ75" s="1226"/>
      <c r="EK75" s="1226"/>
      <c r="EL75" s="1226"/>
      <c r="EM75" s="1226"/>
      <c r="EN75" s="1226"/>
      <c r="EO75" s="1226"/>
      <c r="EP75" s="1226"/>
      <c r="EQ75" s="1226"/>
      <c r="ER75" s="1226"/>
      <c r="ES75" s="1226"/>
      <c r="ET75" s="1226"/>
      <c r="EU75" s="1226"/>
      <c r="EV75" s="1226"/>
      <c r="EW75" s="1226"/>
      <c r="EX75" s="1226"/>
      <c r="EY75" s="1226"/>
      <c r="EZ75" s="1226"/>
      <c r="FA75" s="1226"/>
      <c r="FB75" s="1226"/>
      <c r="FC75" s="1226"/>
      <c r="FD75" s="1226"/>
      <c r="FE75" s="1226"/>
      <c r="FF75" s="1226"/>
      <c r="FG75" s="1226"/>
      <c r="FH75" s="1226">
        <v>1</v>
      </c>
      <c r="FI75" s="1226"/>
      <c r="FJ75" s="1226"/>
      <c r="FK75" s="1226"/>
      <c r="FL75" s="1226"/>
      <c r="FM75" s="1226"/>
      <c r="FN75" s="1226"/>
      <c r="FO75" s="1226"/>
      <c r="FP75" s="1226"/>
      <c r="FQ75" s="1226"/>
      <c r="FR75" s="1226"/>
    </row>
    <row r="76" spans="1:174" ht="33" x14ac:dyDescent="0.25">
      <c r="A76" s="1228" t="s">
        <v>793</v>
      </c>
      <c r="B76" s="1228"/>
      <c r="C76" s="1275">
        <f t="shared" si="34"/>
        <v>17</v>
      </c>
      <c r="D76" s="1276" t="s">
        <v>4805</v>
      </c>
      <c r="E76" s="1219">
        <f>COUNTIFS(ШТАТ!$AL:$AL,'БЧС Дерябин'!$A76,ШТАТ!$AK:$AK,1)</f>
        <v>0</v>
      </c>
      <c r="F76" s="1219">
        <f>COUNTIFS(ШТАТ!$AL:$AL,'БЧС Дерябин'!$A76,ШТАТ!$AK:$AK,2)</f>
        <v>1</v>
      </c>
      <c r="G76" s="1219">
        <f>COUNTIFS(ШТАТ!$AL:$AL,'БЧС Дерябин'!$A76,ШТАТ!$AK:$AK,3)</f>
        <v>4</v>
      </c>
      <c r="H76" s="1219">
        <f>COUNTIFS(ШТАТ!$AL:$AL,'БЧС Дерябин'!$A76,ШТАТ!$AK:$AK,4)</f>
        <v>17</v>
      </c>
      <c r="I76" s="1221">
        <f t="shared" si="3"/>
        <v>22</v>
      </c>
      <c r="J76" s="1219">
        <f>COUNTIFS(ШТАТ!AL:AL,A76,ШТАТ!AJ:AJ,"о")</f>
        <v>0</v>
      </c>
      <c r="K76" s="1219">
        <f>COUNTIFS(ШТАТ!AL:AL,A76,ШТАТ!AJ:AJ,"п")</f>
        <v>1</v>
      </c>
      <c r="L76" s="1219">
        <f>COUNTIFS(ШТАТ!$AL:$AL,$A76,ШТАТ!AK:AK,3,ШТАТ!AJ:AJ,"с/с")</f>
        <v>0</v>
      </c>
      <c r="M76" s="1219">
        <f>COUNTIFS(ШТАТ!$AL:$AL,$A76,ШТАТ!AK:AK,3,ШТАТ!AJ:AJ,"к/с")</f>
        <v>2</v>
      </c>
      <c r="N76" s="1222">
        <f t="shared" si="11"/>
        <v>2</v>
      </c>
      <c r="O76" s="1220">
        <f>COUNTIFS(ШТАТ!$AL:$AL,$A76,ШТАТ!AK:AK,4,ШТАТ!AJ:AJ,"с/с")</f>
        <v>15</v>
      </c>
      <c r="P76" s="1220">
        <f>COUNTIFS(ШТАТ!$AL:$AL,$A76,ШТАТ!AK:AK,4,ШТАТ!AJ:AJ,"к/с")</f>
        <v>2</v>
      </c>
      <c r="Q76" s="1222">
        <f t="shared" si="39"/>
        <v>17</v>
      </c>
      <c r="R76" s="1221">
        <f t="shared" si="13"/>
        <v>20</v>
      </c>
      <c r="S76" s="1223">
        <f t="shared" si="14"/>
        <v>0.90909090909090906</v>
      </c>
      <c r="T76" s="1219">
        <f>COUNTIFS(ШТАТ!$AL:$AL,$A76,ШТАТ!$AJ:$AJ,"о",ШТАТ!$X:$X,"выполнение специальных задач")</f>
        <v>0</v>
      </c>
      <c r="U76" s="1219">
        <f>COUNTIFS(ШТАТ!$AL:$AL,$A76,ШТАТ!$AJ:$AJ,"п",ШТАТ!$X:$X,"выполнение специальных задач")</f>
        <v>0</v>
      </c>
      <c r="V76" s="1219">
        <f>COUNTIFS(ШТАТ!$AL:$AL,$A76,ШТАТ!$AK:$AK,3,ШТАТ!$AJ:$AJ,"с/с",ШТАТ!$X:$X,"выполнение специальных задач")</f>
        <v>0</v>
      </c>
      <c r="W76" s="1219">
        <f>COUNTIFS(ШТАТ!$AL:$AL,$A76,ШТАТ!$AK:$AK,3,ШТАТ!$AJ:$AJ,"к/с",ШТАТ!$X:$X,"выполнение специальных задач")</f>
        <v>0</v>
      </c>
      <c r="X76" s="1222">
        <f t="shared" si="4"/>
        <v>0</v>
      </c>
      <c r="Y76" s="1219">
        <f>COUNTIFS(ШТАТ!$AL:$AL,$A76,ШТАТ!$AK:$AK,4,ШТАТ!$AJ:$AJ,"с/с",ШТАТ!$X:$X,"выполнение специальных задач")</f>
        <v>0</v>
      </c>
      <c r="Z76" s="1219">
        <f>COUNTIFS(ШТАТ!$AL:$AL,$A76,ШТАТ!$AK:$AK,4,ШТАТ!$AJ:$AJ,"к/с",ШТАТ!$X:$X,"выполнение специальных задач")</f>
        <v>0</v>
      </c>
      <c r="AA76" s="1222">
        <f t="shared" si="5"/>
        <v>0</v>
      </c>
      <c r="AB76" s="1221">
        <f t="shared" si="15"/>
        <v>0</v>
      </c>
      <c r="AC76" s="1224"/>
      <c r="AD76" s="1219">
        <f>COUNTIFS(ШТАТ!$AL:$AL,$A76,ШТАТ!$AK:$AK,1,ШТАТ!$AJ:$AJ,"о",ШТАТ!$W:$W,"г. Белгород")</f>
        <v>0</v>
      </c>
      <c r="AE76" s="1219">
        <f>COUNTIFS(ШТАТ!$AL:$AL,$A76,ШТАТ!$AK:$AK,2,ШТАТ!$AJ:$AJ,"п",ШТАТ!$W:$W,"г. Белгород")</f>
        <v>0</v>
      </c>
      <c r="AF76" s="1219">
        <f>COUNTIFS(ШТАТ!$AL:$AL,$A76,ШТАТ!$AK:$AK,3,ШТАТ!$AJ:$AJ,"с/с",ШТАТ!$W:$W,"г. Белгород")</f>
        <v>0</v>
      </c>
      <c r="AG76" s="1219">
        <f>COUNTIFS(ШТАТ!$AL:$AL,$A76,ШТАТ!$AK:$AK,3,ШТАТ!$AJ:$AJ,"к/с",ШТАТ!$W:$W,"г. Белгород")</f>
        <v>0</v>
      </c>
      <c r="AH76" s="1222">
        <f t="shared" si="6"/>
        <v>0</v>
      </c>
      <c r="AI76" s="1219">
        <f>COUNTIFS(ШТАТ!$AL:$AL,$A76,ШТАТ!$AK:$AK,4,ШТАТ!$AJ:$AJ,"с/с",ШТАТ!$W:$W,"г. Белгород")</f>
        <v>0</v>
      </c>
      <c r="AJ76" s="1219">
        <f>COUNTIFS(ШТАТ!$AL:$AL,$A76,ШТАТ!$AK:$AK,4,ШТАТ!$AJ:$AJ,"к/с",ШТАТ!$W:$W,"г. Белгород")</f>
        <v>1</v>
      </c>
      <c r="AK76" s="1222">
        <f t="shared" si="7"/>
        <v>1</v>
      </c>
      <c r="AL76" s="1221">
        <f t="shared" si="16"/>
        <v>1</v>
      </c>
      <c r="AM76" s="1219">
        <f>COUNTIFS(ШТАТ!$AL:$AL,$A76,ШТАТ!$AK:$AK,1,ШТАТ!$AJ:$AJ,"о",ШТАТ!$U:$U,"")</f>
        <v>0</v>
      </c>
      <c r="AN76" s="1219">
        <f>COUNTIFS(ШТАТ!$AL:$AL,$A76,ШТАТ!$AK:$AK,2,ШТАТ!$AJ:$AJ,"п",ШТАТ!$U:$U,"")</f>
        <v>0</v>
      </c>
      <c r="AO76" s="1219">
        <f>COUNTIFS(ШТАТ!$AL:$AL,$A76,ШТАТ!$AK:$AK,3,ШТАТ!$AJ:$AJ,"с/с",ШТАТ!$U:$U,"")</f>
        <v>0</v>
      </c>
      <c r="AP76" s="1219">
        <f>COUNTIFS(ШТАТ!$AL:$AL,$A76,ШТАТ!$AK:$AK,3,ШТАТ!$AJ:$AJ,"к/с",ШТАТ!$U:$U,"")</f>
        <v>2</v>
      </c>
      <c r="AQ76" s="1222">
        <f t="shared" si="17"/>
        <v>2</v>
      </c>
      <c r="AR76" s="1219">
        <f>COUNTIFS(ШТАТ!$AL:$AL,$A76,ШТАТ!$AK:$AK,4,ШТАТ!$AJ:$AJ,"с/с",ШТАТ!$U:$U,"")</f>
        <v>15</v>
      </c>
      <c r="AS76" s="1219">
        <f>COUNTIFS(ШТАТ!$AL:$AL,$A76,ШТАТ!$AK:$AK,4,ШТАТ!$AJ:$AJ,"к/с",ШТАТ!$U:$U,"")</f>
        <v>0</v>
      </c>
      <c r="AT76" s="1222">
        <f t="shared" si="8"/>
        <v>15</v>
      </c>
      <c r="AU76" s="1221">
        <f t="shared" ref="AU76:AU94" si="40">SUM(AT76,AQ76,AM76:AN76)</f>
        <v>17</v>
      </c>
      <c r="AV76" s="1219">
        <f>COUNTIFS(ШТАТ!$AL:$AL,$A76,ШТАТ!$U:$U,"госп")</f>
        <v>0</v>
      </c>
      <c r="AW76" s="1225">
        <f t="shared" si="9"/>
        <v>2</v>
      </c>
      <c r="AX76" s="1219">
        <f>COUNTIFS(ШТАТ!$AL:$AL,$A76,ШТАТ!$U:$U,"отпуск")</f>
        <v>0</v>
      </c>
      <c r="AY76" s="1219">
        <f>COUNTIFS(ШТАТ!$AL:$AL,$A76,ШТАТ!$U:$U,"соч")</f>
        <v>0</v>
      </c>
      <c r="AZ76" s="1225"/>
      <c r="BA76" s="1219">
        <f>COUNTIFS(ШТАТ!$AL:$AL,$A76,ШТАТ!$U:$U,"МП")</f>
        <v>0</v>
      </c>
      <c r="BB76" s="1226"/>
      <c r="BC76" s="1226"/>
      <c r="BD76" s="1219"/>
      <c r="BE76" s="1226"/>
      <c r="BF76" s="1226"/>
      <c r="BG76" s="1226"/>
      <c r="BH76" s="1226"/>
      <c r="BI76" s="1226"/>
      <c r="BJ76" s="1226"/>
      <c r="BK76" s="1226"/>
      <c r="BL76" s="1226"/>
      <c r="BM76" s="1226"/>
      <c r="BN76" s="1226"/>
      <c r="BO76" s="1226"/>
      <c r="BP76" s="1226"/>
      <c r="BQ76" s="1226"/>
      <c r="BR76" s="1226"/>
      <c r="BS76" s="1226"/>
      <c r="BT76" s="1226"/>
      <c r="BU76" s="1226"/>
      <c r="BV76" s="1226"/>
      <c r="BW76" s="1226"/>
      <c r="BX76" s="1226"/>
      <c r="BY76" s="1226"/>
      <c r="BZ76" s="1226"/>
      <c r="CA76" s="1226"/>
      <c r="CB76" s="1226"/>
      <c r="CC76" s="1226"/>
      <c r="CD76" s="1226"/>
      <c r="CE76" s="1226"/>
      <c r="CF76" s="1226"/>
      <c r="CG76" s="1226"/>
      <c r="CH76" s="1226"/>
      <c r="CI76" s="1226"/>
      <c r="CJ76" s="1226"/>
      <c r="CK76" s="1226"/>
      <c r="CL76" s="1226"/>
      <c r="CM76" s="1226"/>
      <c r="CN76" s="1226"/>
      <c r="CO76" s="1226"/>
      <c r="CP76" s="1226"/>
      <c r="CQ76" s="1226"/>
      <c r="CR76" s="1226"/>
      <c r="CS76" s="1226"/>
      <c r="CT76" s="1226"/>
      <c r="CU76" s="1226"/>
      <c r="CV76" s="1226"/>
      <c r="CW76" s="1226"/>
      <c r="CX76" s="1226"/>
      <c r="CY76" s="1226"/>
      <c r="CZ76" s="1226"/>
      <c r="DA76" s="1226"/>
      <c r="DB76" s="1226"/>
      <c r="DC76" s="1226"/>
      <c r="DD76" s="1226"/>
      <c r="DE76" s="1226"/>
      <c r="DF76" s="1226"/>
      <c r="DG76" s="1226"/>
      <c r="DH76" s="1226"/>
      <c r="DI76" s="1226"/>
      <c r="DJ76" s="1226"/>
      <c r="DK76" s="1226"/>
      <c r="DL76" s="1226"/>
      <c r="DM76" s="1226"/>
      <c r="DN76" s="1226"/>
      <c r="DO76" s="1226"/>
      <c r="DP76" s="1226"/>
      <c r="DQ76" s="1226"/>
      <c r="DR76" s="1226"/>
      <c r="DS76" s="1226"/>
      <c r="DT76" s="1226"/>
      <c r="DU76" s="1226"/>
      <c r="DV76" s="1226">
        <f>COUNTIFS(ШТАТ!$AN:$AN,"Урал-4320-31",ШТАТ!AL:AL,"Управление")</f>
        <v>0</v>
      </c>
      <c r="DW76" s="1226"/>
      <c r="DX76" s="1226"/>
      <c r="DY76" s="1226"/>
      <c r="DZ76" s="1226"/>
      <c r="EA76" s="1226"/>
      <c r="EB76" s="1226"/>
      <c r="EC76" s="1226"/>
      <c r="ED76" s="1226"/>
      <c r="EE76" s="1226"/>
      <c r="EF76" s="1226"/>
      <c r="EG76" s="1226"/>
      <c r="EH76" s="1226">
        <v>2</v>
      </c>
      <c r="EI76" s="1226">
        <v>1</v>
      </c>
      <c r="EJ76" s="1226"/>
      <c r="EK76" s="1226"/>
      <c r="EL76" s="1226"/>
      <c r="EM76" s="1226"/>
      <c r="EN76" s="1226"/>
      <c r="EO76" s="1226"/>
      <c r="EP76" s="1226"/>
      <c r="EQ76" s="1226"/>
      <c r="ER76" s="1226"/>
      <c r="ES76" s="1226"/>
      <c r="ET76" s="1226"/>
      <c r="EU76" s="1226"/>
      <c r="EV76" s="1226"/>
      <c r="EW76" s="1226"/>
      <c r="EX76" s="1226"/>
      <c r="EY76" s="1226"/>
      <c r="EZ76" s="1226"/>
      <c r="FA76" s="1226"/>
      <c r="FB76" s="1226"/>
      <c r="FC76" s="1226"/>
      <c r="FD76" s="1226"/>
      <c r="FE76" s="1226"/>
      <c r="FF76" s="1226"/>
      <c r="FG76" s="1226"/>
      <c r="FH76" s="1226">
        <v>3</v>
      </c>
      <c r="FI76" s="1226"/>
      <c r="FJ76" s="1226"/>
      <c r="FK76" s="1226"/>
      <c r="FL76" s="1226"/>
      <c r="FM76" s="1226"/>
      <c r="FN76" s="1226"/>
      <c r="FO76" s="1226"/>
      <c r="FP76" s="1226"/>
      <c r="FQ76" s="1226"/>
      <c r="FR76" s="1226"/>
    </row>
    <row r="77" spans="1:174" ht="33" x14ac:dyDescent="0.25">
      <c r="A77" s="1228" t="s">
        <v>805</v>
      </c>
      <c r="B77" s="1228"/>
      <c r="C77" s="1275">
        <f t="shared" si="34"/>
        <v>12</v>
      </c>
      <c r="D77" s="1276" t="s">
        <v>4805</v>
      </c>
      <c r="E77" s="1219">
        <f>COUNTIFS(ШТАТ!$AL:$AL,'БЧС Дерябин'!$A77,ШТАТ!$AK:$AK,1)</f>
        <v>0</v>
      </c>
      <c r="F77" s="1219">
        <f>COUNTIFS(ШТАТ!$AL:$AL,'БЧС Дерябин'!$A77,ШТАТ!$AK:$AK,2)</f>
        <v>1</v>
      </c>
      <c r="G77" s="1219">
        <f>COUNTIFS(ШТАТ!$AL:$AL,'БЧС Дерябин'!$A77,ШТАТ!$AK:$AK,3)</f>
        <v>4</v>
      </c>
      <c r="H77" s="1219">
        <f>COUNTIFS(ШТАТ!$AL:$AL,'БЧС Дерябин'!$A77,ШТАТ!$AK:$AK,4)</f>
        <v>14</v>
      </c>
      <c r="I77" s="1221">
        <f t="shared" si="3"/>
        <v>19</v>
      </c>
      <c r="J77" s="1219">
        <f>COUNTIFS(ШТАТ!AL:AL,A77,ШТАТ!AJ:AJ,"о")</f>
        <v>0</v>
      </c>
      <c r="K77" s="1219">
        <f>COUNTIFS(ШТАТ!AL:AL,A77,ШТАТ!AJ:AJ,"п")</f>
        <v>1</v>
      </c>
      <c r="L77" s="1219">
        <f>COUNTIFS(ШТАТ!$AL:$AL,$A77,ШТАТ!AK:AK,3,ШТАТ!AJ:AJ,"с/с")</f>
        <v>0</v>
      </c>
      <c r="M77" s="1219">
        <f>COUNTIFS(ШТАТ!$AL:$AL,$A77,ШТАТ!AK:AK,3,ШТАТ!AJ:AJ,"к/с")</f>
        <v>2</v>
      </c>
      <c r="N77" s="1222">
        <f t="shared" si="11"/>
        <v>2</v>
      </c>
      <c r="O77" s="1220">
        <f>COUNTIFS(ШТАТ!$AL:$AL,$A77,ШТАТ!AK:AK,4,ШТАТ!AJ:AJ,"с/с")</f>
        <v>11</v>
      </c>
      <c r="P77" s="1220">
        <f>COUNTIFS(ШТАТ!$AL:$AL,$A77,ШТАТ!AK:AK,4,ШТАТ!AJ:AJ,"к/с")</f>
        <v>2</v>
      </c>
      <c r="Q77" s="1222">
        <f t="shared" si="39"/>
        <v>13</v>
      </c>
      <c r="R77" s="1221">
        <f t="shared" si="13"/>
        <v>16</v>
      </c>
      <c r="S77" s="1223">
        <f t="shared" si="14"/>
        <v>0.84210526315789469</v>
      </c>
      <c r="T77" s="1219">
        <f>COUNTIFS(ШТАТ!$AL:$AL,$A77,ШТАТ!$AJ:$AJ,"о",ШТАТ!$X:$X,"выполнение специальных задач")</f>
        <v>0</v>
      </c>
      <c r="U77" s="1219">
        <f>COUNTIFS(ШТАТ!$AL:$AL,$A77,ШТАТ!$AJ:$AJ,"п",ШТАТ!$X:$X,"выполнение специальных задач")</f>
        <v>0</v>
      </c>
      <c r="V77" s="1219">
        <f>COUNTIFS(ШТАТ!$AL:$AL,$A77,ШТАТ!$AK:$AK,3,ШТАТ!$AJ:$AJ,"с/с",ШТАТ!$X:$X,"выполнение специальных задач")</f>
        <v>0</v>
      </c>
      <c r="W77" s="1219">
        <f>COUNTIFS(ШТАТ!$AL:$AL,$A77,ШТАТ!$AK:$AK,3,ШТАТ!$AJ:$AJ,"к/с",ШТАТ!$X:$X,"выполнение специальных задач")</f>
        <v>1</v>
      </c>
      <c r="X77" s="1222">
        <f t="shared" si="4"/>
        <v>1</v>
      </c>
      <c r="Y77" s="1219">
        <f>COUNTIFS(ШТАТ!$AL:$AL,$A77,ШТАТ!$AK:$AK,4,ШТАТ!$AJ:$AJ,"с/с",ШТАТ!$X:$X,"выполнение специальных задач")</f>
        <v>0</v>
      </c>
      <c r="Z77" s="1219">
        <f>COUNTIFS(ШТАТ!$AL:$AL,$A77,ШТАТ!$AK:$AK,4,ШТАТ!$AJ:$AJ,"к/с",ШТАТ!$X:$X,"выполнение специальных задач")</f>
        <v>0</v>
      </c>
      <c r="AA77" s="1222">
        <f t="shared" si="5"/>
        <v>0</v>
      </c>
      <c r="AB77" s="1221">
        <f t="shared" si="15"/>
        <v>1</v>
      </c>
      <c r="AC77" s="1224"/>
      <c r="AD77" s="1219">
        <f>COUNTIFS(ШТАТ!$AL:$AL,$A77,ШТАТ!$AK:$AK,1,ШТАТ!$AJ:$AJ,"о",ШТАТ!$W:$W,"г. Белгород")</f>
        <v>0</v>
      </c>
      <c r="AE77" s="1219">
        <f>COUNTIFS(ШТАТ!$AL:$AL,$A77,ШТАТ!$AK:$AK,2,ШТАТ!$AJ:$AJ,"п",ШТАТ!$W:$W,"г. Белгород")</f>
        <v>0</v>
      </c>
      <c r="AF77" s="1219">
        <f>COUNTIFS(ШТАТ!$AL:$AL,$A77,ШТАТ!$AK:$AK,3,ШТАТ!$AJ:$AJ,"с/с",ШТАТ!$W:$W,"г. Белгород")</f>
        <v>0</v>
      </c>
      <c r="AG77" s="1219">
        <f>COUNTIFS(ШТАТ!$AL:$AL,$A77,ШТАТ!$AK:$AK,3,ШТАТ!$AJ:$AJ,"к/с",ШТАТ!$W:$W,"г. Белгород")</f>
        <v>0</v>
      </c>
      <c r="AH77" s="1222">
        <f t="shared" si="6"/>
        <v>0</v>
      </c>
      <c r="AI77" s="1219">
        <f>COUNTIFS(ШТАТ!$AL:$AL,$A77,ШТАТ!$AK:$AK,4,ШТАТ!$AJ:$AJ,"с/с",ШТАТ!$W:$W,"г. Белгород")</f>
        <v>0</v>
      </c>
      <c r="AJ77" s="1219">
        <f>COUNTIFS(ШТАТ!$AL:$AL,$A77,ШТАТ!$AK:$AK,4,ШТАТ!$AJ:$AJ,"к/с",ШТАТ!$W:$W,"г. Белгород")</f>
        <v>1</v>
      </c>
      <c r="AK77" s="1222">
        <f t="shared" si="7"/>
        <v>1</v>
      </c>
      <c r="AL77" s="1221">
        <f t="shared" si="16"/>
        <v>1</v>
      </c>
      <c r="AM77" s="1219">
        <f>COUNTIFS(ШТАТ!$AL:$AL,$A77,ШТАТ!$AK:$AK,1,ШТАТ!$AJ:$AJ,"о",ШТАТ!$U:$U,"")</f>
        <v>0</v>
      </c>
      <c r="AN77" s="1219">
        <f>COUNTIFS(ШТАТ!$AL:$AL,$A77,ШТАТ!$AK:$AK,2,ШТАТ!$AJ:$AJ,"п",ШТАТ!$U:$U,"")</f>
        <v>1</v>
      </c>
      <c r="AO77" s="1219">
        <f>COUNTIFS(ШТАТ!$AL:$AL,$A77,ШТАТ!$AK:$AK,3,ШТАТ!$AJ:$AJ,"с/с",ШТАТ!$U:$U,"")</f>
        <v>0</v>
      </c>
      <c r="AP77" s="1219">
        <f>COUNTIFS(ШТАТ!$AL:$AL,$A77,ШТАТ!$AK:$AK,3,ШТАТ!$AJ:$AJ,"к/с",ШТАТ!$U:$U,"")</f>
        <v>1</v>
      </c>
      <c r="AQ77" s="1222">
        <f t="shared" si="17"/>
        <v>1</v>
      </c>
      <c r="AR77" s="1219">
        <f>COUNTIFS(ШТАТ!$AL:$AL,$A77,ШТАТ!$AK:$AK,4,ШТАТ!$AJ:$AJ,"с/с",ШТАТ!$U:$U,"")</f>
        <v>10</v>
      </c>
      <c r="AS77" s="1219">
        <f>COUNTIFS(ШТАТ!$AL:$AL,$A77,ШТАТ!$AK:$AK,4,ШТАТ!$AJ:$AJ,"к/с",ШТАТ!$U:$U,"")</f>
        <v>0</v>
      </c>
      <c r="AT77" s="1222">
        <f t="shared" si="8"/>
        <v>10</v>
      </c>
      <c r="AU77" s="1221">
        <f t="shared" si="40"/>
        <v>12</v>
      </c>
      <c r="AV77" s="1219">
        <f>COUNTIFS(ШТАТ!$AL:$AL,$A77,ШТАТ!$U:$U,"госп")</f>
        <v>1</v>
      </c>
      <c r="AW77" s="1225">
        <f t="shared" si="9"/>
        <v>1</v>
      </c>
      <c r="AX77" s="1219">
        <f>COUNTIFS(ШТАТ!$AL:$AL,$A77,ШТАТ!$U:$U,"отпуск")</f>
        <v>0</v>
      </c>
      <c r="AY77" s="1219">
        <f>COUNTIFS(ШТАТ!$AL:$AL,$A77,ШТАТ!$U:$U,"соч")</f>
        <v>0</v>
      </c>
      <c r="AZ77" s="1225"/>
      <c r="BA77" s="1219">
        <f>COUNTIFS(ШТАТ!$AL:$AL,$A77,ШТАТ!$U:$U,"МП")</f>
        <v>0</v>
      </c>
      <c r="BB77" s="1226"/>
      <c r="BC77" s="1226"/>
      <c r="BD77" s="1219"/>
      <c r="BE77" s="1226"/>
      <c r="BF77" s="1226"/>
      <c r="BG77" s="1226"/>
      <c r="BH77" s="1226"/>
      <c r="BI77" s="1226"/>
      <c r="BJ77" s="1226"/>
      <c r="BK77" s="1226"/>
      <c r="BL77" s="1226"/>
      <c r="BM77" s="1226"/>
      <c r="BN77" s="1226"/>
      <c r="BO77" s="1226"/>
      <c r="BP77" s="1226"/>
      <c r="BQ77" s="1226"/>
      <c r="BR77" s="1226"/>
      <c r="BS77" s="1226"/>
      <c r="BT77" s="1226"/>
      <c r="BU77" s="1226"/>
      <c r="BV77" s="1226"/>
      <c r="BW77" s="1226"/>
      <c r="BX77" s="1226"/>
      <c r="BY77" s="1226"/>
      <c r="BZ77" s="1226"/>
      <c r="CA77" s="1226"/>
      <c r="CB77" s="1226"/>
      <c r="CC77" s="1226"/>
      <c r="CD77" s="1226"/>
      <c r="CE77" s="1226"/>
      <c r="CF77" s="1226"/>
      <c r="CG77" s="1226"/>
      <c r="CH77" s="1226"/>
      <c r="CI77" s="1226"/>
      <c r="CJ77" s="1226"/>
      <c r="CK77" s="1226"/>
      <c r="CL77" s="1226"/>
      <c r="CM77" s="1226"/>
      <c r="CN77" s="1226"/>
      <c r="CO77" s="1226"/>
      <c r="CP77" s="1226"/>
      <c r="CQ77" s="1226"/>
      <c r="CR77" s="1226"/>
      <c r="CS77" s="1226"/>
      <c r="CT77" s="1226"/>
      <c r="CU77" s="1226"/>
      <c r="CV77" s="1226"/>
      <c r="CW77" s="1226"/>
      <c r="CX77" s="1226"/>
      <c r="CY77" s="1226"/>
      <c r="CZ77" s="1226"/>
      <c r="DA77" s="1226"/>
      <c r="DB77" s="1226"/>
      <c r="DC77" s="1226"/>
      <c r="DD77" s="1226"/>
      <c r="DE77" s="1226"/>
      <c r="DF77" s="1226"/>
      <c r="DG77" s="1226"/>
      <c r="DH77" s="1226"/>
      <c r="DI77" s="1226"/>
      <c r="DJ77" s="1226"/>
      <c r="DK77" s="1226"/>
      <c r="DL77" s="1226"/>
      <c r="DM77" s="1226"/>
      <c r="DN77" s="1226"/>
      <c r="DO77" s="1226"/>
      <c r="DP77" s="1226"/>
      <c r="DQ77" s="1226"/>
      <c r="DR77" s="1226"/>
      <c r="DS77" s="1226"/>
      <c r="DT77" s="1226"/>
      <c r="DU77" s="1226"/>
      <c r="DV77" s="1226">
        <f>COUNTIFS(ШТАТ!$AN:$AN,"Урал-4320-31",ШТАТ!AL:AL,"Управление")</f>
        <v>0</v>
      </c>
      <c r="DW77" s="1226"/>
      <c r="DX77" s="1226"/>
      <c r="DY77" s="1226"/>
      <c r="DZ77" s="1226"/>
      <c r="EA77" s="1226"/>
      <c r="EB77" s="1226"/>
      <c r="EC77" s="1226"/>
      <c r="ED77" s="1226"/>
      <c r="EE77" s="1226"/>
      <c r="EF77" s="1226"/>
      <c r="EG77" s="1226"/>
      <c r="EH77" s="1226"/>
      <c r="EI77" s="1226"/>
      <c r="EJ77" s="1226"/>
      <c r="EK77" s="1226"/>
      <c r="EL77" s="1226"/>
      <c r="EM77" s="1226"/>
      <c r="EN77" s="1226"/>
      <c r="EO77" s="1226"/>
      <c r="EP77" s="1226"/>
      <c r="EQ77" s="1226"/>
      <c r="ER77" s="1226"/>
      <c r="ES77" s="1226"/>
      <c r="ET77" s="1226"/>
      <c r="EU77" s="1226"/>
      <c r="EV77" s="1226"/>
      <c r="EW77" s="1226"/>
      <c r="EX77" s="1226"/>
      <c r="EY77" s="1226"/>
      <c r="EZ77" s="1226"/>
      <c r="FA77" s="1226"/>
      <c r="FB77" s="1226"/>
      <c r="FC77" s="1226"/>
      <c r="FD77" s="1226"/>
      <c r="FE77" s="1226"/>
      <c r="FF77" s="1226"/>
      <c r="FG77" s="1226"/>
      <c r="FH77" s="1226"/>
      <c r="FI77" s="1226">
        <v>3</v>
      </c>
      <c r="FJ77" s="1226"/>
      <c r="FK77" s="1226">
        <v>3</v>
      </c>
      <c r="FL77" s="1226"/>
      <c r="FM77" s="1226"/>
      <c r="FN77" s="1226"/>
      <c r="FO77" s="1226"/>
      <c r="FP77" s="1226"/>
      <c r="FQ77" s="1226"/>
      <c r="FR77" s="1226"/>
    </row>
    <row r="78" spans="1:174" ht="33" x14ac:dyDescent="0.25">
      <c r="A78" s="1228" t="s">
        <v>819</v>
      </c>
      <c r="B78" s="1228"/>
      <c r="C78" s="1275">
        <f t="shared" si="34"/>
        <v>4</v>
      </c>
      <c r="D78" s="1276" t="s">
        <v>4805</v>
      </c>
      <c r="E78" s="1219">
        <f>COUNTIFS(ШТАТ!$AL:$AL,'БЧС Дерябин'!$A78,ШТАТ!$AK:$AK,1)</f>
        <v>0</v>
      </c>
      <c r="F78" s="1219">
        <f>COUNTIFS(ШТАТ!$AL:$AL,'БЧС Дерябин'!$A78,ШТАТ!$AK:$AK,2)</f>
        <v>1</v>
      </c>
      <c r="G78" s="1219">
        <f>COUNTIFS(ШТАТ!$AL:$AL,'БЧС Дерябин'!$A78,ШТАТ!$AK:$AK,3)</f>
        <v>0</v>
      </c>
      <c r="H78" s="1219">
        <f>COUNTIFS(ШТАТ!$AL:$AL,'БЧС Дерябин'!$A78,ШТАТ!$AK:$AK,4)</f>
        <v>8</v>
      </c>
      <c r="I78" s="1221">
        <f t="shared" si="3"/>
        <v>9</v>
      </c>
      <c r="J78" s="1219">
        <f>COUNTIFS(ШТАТ!AL:AL,A78,ШТАТ!AJ:AJ,"о")</f>
        <v>0</v>
      </c>
      <c r="K78" s="1219">
        <f>COUNTIFS(ШТАТ!AL:AL,A78,ШТАТ!AJ:AJ,"п")</f>
        <v>0</v>
      </c>
      <c r="L78" s="1219">
        <f>COUNTIFS(ШТАТ!$AL:$AL,$A78,ШТАТ!AK:AK,3,ШТАТ!AJ:AJ,"с/с")</f>
        <v>0</v>
      </c>
      <c r="M78" s="1219">
        <f>COUNTIFS(ШТАТ!$AL:$AL,$A78,ШТАТ!AK:AK,3,ШТАТ!AJ:AJ,"к/с")</f>
        <v>0</v>
      </c>
      <c r="N78" s="1222">
        <f t="shared" si="11"/>
        <v>0</v>
      </c>
      <c r="O78" s="1220">
        <f>COUNTIFS(ШТАТ!$AL:$AL,$A78,ШТАТ!AK:AK,4,ШТАТ!AJ:AJ,"с/с")</f>
        <v>4</v>
      </c>
      <c r="P78" s="1220">
        <f>COUNTIFS(ШТАТ!$AL:$AL,$A78,ШТАТ!AK:AK,4,ШТАТ!AJ:AJ,"к/с")</f>
        <v>4</v>
      </c>
      <c r="Q78" s="1222">
        <f t="shared" si="39"/>
        <v>8</v>
      </c>
      <c r="R78" s="1221">
        <f t="shared" si="13"/>
        <v>8</v>
      </c>
      <c r="S78" s="1223">
        <f t="shared" si="14"/>
        <v>0.88888888888888884</v>
      </c>
      <c r="T78" s="1219">
        <f>COUNTIFS(ШТАТ!$AL:$AL,$A78,ШТАТ!$AJ:$AJ,"о",ШТАТ!$X:$X,"выполнение специальных задач")</f>
        <v>0</v>
      </c>
      <c r="U78" s="1219">
        <f>COUNTIFS(ШТАТ!$AL:$AL,$A78,ШТАТ!$AJ:$AJ,"п",ШТАТ!$X:$X,"выполнение специальных задач")</f>
        <v>0</v>
      </c>
      <c r="V78" s="1219">
        <f>COUNTIFS(ШТАТ!$AL:$AL,$A78,ШТАТ!$AK:$AK,3,ШТАТ!$AJ:$AJ,"с/с",ШТАТ!$X:$X,"выполнение специальных задач")</f>
        <v>0</v>
      </c>
      <c r="W78" s="1219">
        <f>COUNTIFS(ШТАТ!$AL:$AL,$A78,ШТАТ!$AK:$AK,3,ШТАТ!$AJ:$AJ,"к/с",ШТАТ!$X:$X,"выполнение специальных задач")</f>
        <v>0</v>
      </c>
      <c r="X78" s="1222">
        <f t="shared" si="4"/>
        <v>0</v>
      </c>
      <c r="Y78" s="1219">
        <f>COUNTIFS(ШТАТ!$AL:$AL,$A78,ШТАТ!$AK:$AK,4,ШТАТ!$AJ:$AJ,"с/с",ШТАТ!$X:$X,"выполнение специальных задач")</f>
        <v>0</v>
      </c>
      <c r="Z78" s="1219">
        <f>COUNTIFS(ШТАТ!$AL:$AL,$A78,ШТАТ!$AK:$AK,4,ШТАТ!$AJ:$AJ,"к/с",ШТАТ!$X:$X,"выполнение специальных задач")</f>
        <v>0</v>
      </c>
      <c r="AA78" s="1222">
        <f t="shared" si="5"/>
        <v>0</v>
      </c>
      <c r="AB78" s="1221">
        <f t="shared" si="15"/>
        <v>0</v>
      </c>
      <c r="AC78" s="1224"/>
      <c r="AD78" s="1219">
        <f>COUNTIFS(ШТАТ!$AL:$AL,$A78,ШТАТ!$AK:$AK,1,ШТАТ!$AJ:$AJ,"о",ШТАТ!$W:$W,"г. Белгород")</f>
        <v>0</v>
      </c>
      <c r="AE78" s="1219">
        <f>COUNTIFS(ШТАТ!$AL:$AL,$A78,ШТАТ!$AK:$AK,2,ШТАТ!$AJ:$AJ,"п",ШТАТ!$W:$W,"г. Белгород")</f>
        <v>0</v>
      </c>
      <c r="AF78" s="1219">
        <f>COUNTIFS(ШТАТ!$AL:$AL,$A78,ШТАТ!$AK:$AK,3,ШТАТ!$AJ:$AJ,"с/с",ШТАТ!$W:$W,"г. Белгород")</f>
        <v>0</v>
      </c>
      <c r="AG78" s="1219">
        <f>COUNTIFS(ШТАТ!$AL:$AL,$A78,ШТАТ!$AK:$AK,3,ШТАТ!$AJ:$AJ,"к/с",ШТАТ!$W:$W,"г. Белгород")</f>
        <v>0</v>
      </c>
      <c r="AH78" s="1222">
        <f t="shared" si="6"/>
        <v>0</v>
      </c>
      <c r="AI78" s="1219">
        <f>COUNTIFS(ШТАТ!$AL:$AL,$A78,ШТАТ!$AK:$AK,4,ШТАТ!$AJ:$AJ,"с/с",ШТАТ!$W:$W,"г. Белгород")</f>
        <v>0</v>
      </c>
      <c r="AJ78" s="1219">
        <f>COUNTIFS(ШТАТ!$AL:$AL,$A78,ШТАТ!$AK:$AK,4,ШТАТ!$AJ:$AJ,"к/с",ШТАТ!$W:$W,"г. Белгород")</f>
        <v>3</v>
      </c>
      <c r="AK78" s="1222">
        <f t="shared" si="7"/>
        <v>3</v>
      </c>
      <c r="AL78" s="1221">
        <f t="shared" si="16"/>
        <v>3</v>
      </c>
      <c r="AM78" s="1219">
        <f>COUNTIFS(ШТАТ!$AL:$AL,$A78,ШТАТ!$AK:$AK,1,ШТАТ!$AJ:$AJ,"о",ШТАТ!$U:$U,"")</f>
        <v>0</v>
      </c>
      <c r="AN78" s="1219">
        <f>COUNTIFS(ШТАТ!$AL:$AL,$A78,ШТАТ!$AK:$AK,2,ШТАТ!$AJ:$AJ,"п",ШТАТ!$U:$U,"")</f>
        <v>0</v>
      </c>
      <c r="AO78" s="1219">
        <f>COUNTIFS(ШТАТ!$AL:$AL,$A78,ШТАТ!$AK:$AK,3,ШТАТ!$AJ:$AJ,"с/с",ШТАТ!$U:$U,"")</f>
        <v>0</v>
      </c>
      <c r="AP78" s="1219">
        <f>COUNTIFS(ШТАТ!$AL:$AL,$A78,ШТАТ!$AK:$AK,3,ШТАТ!$AJ:$AJ,"к/с",ШТАТ!$U:$U,"")</f>
        <v>0</v>
      </c>
      <c r="AQ78" s="1222">
        <f t="shared" si="17"/>
        <v>0</v>
      </c>
      <c r="AR78" s="1219">
        <f>COUNTIFS(ШТАТ!$AL:$AL,$A78,ШТАТ!$AK:$AK,4,ШТАТ!$AJ:$AJ,"с/с",ШТАТ!$U:$U,"")</f>
        <v>3</v>
      </c>
      <c r="AS78" s="1219">
        <f>COUNTIFS(ШТАТ!$AL:$AL,$A78,ШТАТ!$AK:$AK,4,ШТАТ!$AJ:$AJ,"к/с",ШТАТ!$U:$U,"")</f>
        <v>1</v>
      </c>
      <c r="AT78" s="1222">
        <f t="shared" si="8"/>
        <v>4</v>
      </c>
      <c r="AU78" s="1221">
        <f t="shared" si="40"/>
        <v>4</v>
      </c>
      <c r="AV78" s="1219">
        <f>COUNTIFS(ШТАТ!$AL:$AL,$A78,ШТАТ!$U:$U,"госп")</f>
        <v>0</v>
      </c>
      <c r="AW78" s="1225">
        <f t="shared" si="9"/>
        <v>-1</v>
      </c>
      <c r="AX78" s="1219">
        <f>COUNTIFS(ШТАТ!$AL:$AL,$A78,ШТАТ!$U:$U,"отпуск")</f>
        <v>1</v>
      </c>
      <c r="AY78" s="1219">
        <f>COUNTIFS(ШТАТ!$AL:$AL,$A78,ШТАТ!$U:$U,"соч")</f>
        <v>0</v>
      </c>
      <c r="AZ78" s="1225"/>
      <c r="BA78" s="1219">
        <f>COUNTIFS(ШТАТ!$AL:$AL,$A78,ШТАТ!$U:$U,"МП")</f>
        <v>1</v>
      </c>
      <c r="BB78" s="1226"/>
      <c r="BC78" s="1226"/>
      <c r="BD78" s="1219"/>
      <c r="BE78" s="1226"/>
      <c r="BF78" s="1226"/>
      <c r="BG78" s="1226"/>
      <c r="BH78" s="1226"/>
      <c r="BI78" s="1226"/>
      <c r="BJ78" s="1226"/>
      <c r="BK78" s="1226"/>
      <c r="BL78" s="1226"/>
      <c r="BM78" s="1226"/>
      <c r="BN78" s="1226"/>
      <c r="BO78" s="1226"/>
      <c r="BP78" s="1226"/>
      <c r="BQ78" s="1226"/>
      <c r="BR78" s="1226"/>
      <c r="BS78" s="1226"/>
      <c r="BT78" s="1226"/>
      <c r="BU78" s="1226"/>
      <c r="BV78" s="1226"/>
      <c r="BW78" s="1226"/>
      <c r="BX78" s="1226"/>
      <c r="BY78" s="1226"/>
      <c r="BZ78" s="1226"/>
      <c r="CA78" s="1226"/>
      <c r="CB78" s="1226"/>
      <c r="CC78" s="1226"/>
      <c r="CD78" s="1226"/>
      <c r="CE78" s="1226"/>
      <c r="CF78" s="1226"/>
      <c r="CG78" s="1226"/>
      <c r="CH78" s="1226"/>
      <c r="CI78" s="1226"/>
      <c r="CJ78" s="1226"/>
      <c r="CK78" s="1226"/>
      <c r="CL78" s="1226"/>
      <c r="CM78" s="1226"/>
      <c r="CN78" s="1226"/>
      <c r="CO78" s="1226"/>
      <c r="CP78" s="1226"/>
      <c r="CQ78" s="1226"/>
      <c r="CR78" s="1226"/>
      <c r="CS78" s="1226"/>
      <c r="CT78" s="1226"/>
      <c r="CU78" s="1226"/>
      <c r="CV78" s="1226"/>
      <c r="CW78" s="1226"/>
      <c r="CX78" s="1226"/>
      <c r="CY78" s="1226"/>
      <c r="CZ78" s="1226"/>
      <c r="DA78" s="1226"/>
      <c r="DB78" s="1226"/>
      <c r="DC78" s="1226"/>
      <c r="DD78" s="1226"/>
      <c r="DE78" s="1226"/>
      <c r="DF78" s="1226"/>
      <c r="DG78" s="1226"/>
      <c r="DH78" s="1226"/>
      <c r="DI78" s="1226"/>
      <c r="DJ78" s="1226"/>
      <c r="DK78" s="1226"/>
      <c r="DL78" s="1226"/>
      <c r="DM78" s="1226"/>
      <c r="DN78" s="1226"/>
      <c r="DO78" s="1226"/>
      <c r="DP78" s="1226"/>
      <c r="DQ78" s="1226"/>
      <c r="DR78" s="1226"/>
      <c r="DS78" s="1226"/>
      <c r="DT78" s="1226"/>
      <c r="DU78" s="1226"/>
      <c r="DV78" s="1226">
        <f>COUNTIFS(ШТАТ!$AN:$AN,"Урал-4320-31",ШТАТ!AL:AL,"Управление")</f>
        <v>0</v>
      </c>
      <c r="DW78" s="1226"/>
      <c r="DX78" s="1226"/>
      <c r="DY78" s="1226"/>
      <c r="DZ78" s="1226"/>
      <c r="EA78" s="1226"/>
      <c r="EB78" s="1226"/>
      <c r="EC78" s="1226"/>
      <c r="ED78" s="1226"/>
      <c r="EE78" s="1226"/>
      <c r="EF78" s="1226"/>
      <c r="EG78" s="1226"/>
      <c r="EH78" s="1226"/>
      <c r="EI78" s="1226"/>
      <c r="EJ78" s="1226"/>
      <c r="EK78" s="1226"/>
      <c r="EL78" s="1226"/>
      <c r="EM78" s="1226"/>
      <c r="EN78" s="1226"/>
      <c r="EO78" s="1226"/>
      <c r="EP78" s="1226"/>
      <c r="EQ78" s="1226"/>
      <c r="ER78" s="1226"/>
      <c r="ES78" s="1226"/>
      <c r="ET78" s="1226"/>
      <c r="EU78" s="1226"/>
      <c r="EV78" s="1226"/>
      <c r="EW78" s="1226"/>
      <c r="EX78" s="1226"/>
      <c r="EY78" s="1226"/>
      <c r="EZ78" s="1226"/>
      <c r="FA78" s="1226"/>
      <c r="FB78" s="1226"/>
      <c r="FC78" s="1226"/>
      <c r="FD78" s="1226"/>
      <c r="FE78" s="1226"/>
      <c r="FF78" s="1226"/>
      <c r="FG78" s="1226"/>
      <c r="FH78" s="1226"/>
      <c r="FI78" s="1226">
        <v>3</v>
      </c>
      <c r="FJ78" s="1226"/>
      <c r="FK78" s="1226"/>
      <c r="FL78" s="1226"/>
      <c r="FM78" s="1226"/>
      <c r="FN78" s="1226"/>
      <c r="FO78" s="1226"/>
      <c r="FP78" s="1226"/>
      <c r="FQ78" s="1226"/>
      <c r="FR78" s="1226"/>
    </row>
    <row r="79" spans="1:174" ht="33" x14ac:dyDescent="0.25">
      <c r="A79" s="1228" t="s">
        <v>834</v>
      </c>
      <c r="B79" s="1228"/>
      <c r="C79" s="1275">
        <f t="shared" si="34"/>
        <v>13</v>
      </c>
      <c r="D79" s="1276" t="s">
        <v>4805</v>
      </c>
      <c r="E79" s="1219">
        <f>COUNTIFS(ШТАТ!$AL:$AL,'БЧС Дерябин'!$A79,ШТАТ!$AK:$AK,1)</f>
        <v>0</v>
      </c>
      <c r="F79" s="1219">
        <f>COUNTIFS(ШТАТ!$AL:$AL,'БЧС Дерябин'!$A79,ШТАТ!$AK:$AK,2)</f>
        <v>1</v>
      </c>
      <c r="G79" s="1219">
        <f>COUNTIFS(ШТАТ!$AL:$AL,'БЧС Дерябин'!$A79,ШТАТ!$AK:$AK,3)</f>
        <v>3</v>
      </c>
      <c r="H79" s="1219">
        <f>COUNTIFS(ШТАТ!$AL:$AL,'БЧС Дерябин'!$A79,ШТАТ!$AK:$AK,4)</f>
        <v>15</v>
      </c>
      <c r="I79" s="1221">
        <f t="shared" si="3"/>
        <v>19</v>
      </c>
      <c r="J79" s="1219">
        <f>COUNTIFS(ШТАТ!AL:AL,A79,ШТАТ!AJ:AJ,"о")</f>
        <v>0</v>
      </c>
      <c r="K79" s="1219">
        <f>COUNTIFS(ШТАТ!AL:AL,A79,ШТАТ!AJ:AJ,"п")</f>
        <v>0</v>
      </c>
      <c r="L79" s="1219">
        <f>COUNTIFS(ШТАТ!$AL:$AL,$A79,ШТАТ!AK:AK,3,ШТАТ!AJ:AJ,"с/с")</f>
        <v>0</v>
      </c>
      <c r="M79" s="1219">
        <f>COUNTIFS(ШТАТ!$AL:$AL,$A79,ШТАТ!AK:AK,3,ШТАТ!AJ:AJ,"к/с")</f>
        <v>1</v>
      </c>
      <c r="N79" s="1222">
        <f t="shared" si="11"/>
        <v>1</v>
      </c>
      <c r="O79" s="1220">
        <f>COUNTIFS(ШТАТ!$AL:$AL,$A79,ШТАТ!AK:AK,4,ШТАТ!AJ:AJ,"с/с")</f>
        <v>12</v>
      </c>
      <c r="P79" s="1220">
        <f>COUNTIFS(ШТАТ!$AL:$AL,$A79,ШТАТ!AK:AK,4,ШТАТ!AJ:AJ,"к/с")</f>
        <v>3</v>
      </c>
      <c r="Q79" s="1222">
        <f t="shared" si="39"/>
        <v>15</v>
      </c>
      <c r="R79" s="1221">
        <f t="shared" si="13"/>
        <v>16</v>
      </c>
      <c r="S79" s="1223">
        <f t="shared" si="14"/>
        <v>0.84210526315789469</v>
      </c>
      <c r="T79" s="1219">
        <f>COUNTIFS(ШТАТ!$AL:$AL,$A79,ШТАТ!$AJ:$AJ,"о",ШТАТ!$X:$X,"выполнение специальных задач")</f>
        <v>0</v>
      </c>
      <c r="U79" s="1219">
        <f>COUNTIFS(ШТАТ!$AL:$AL,$A79,ШТАТ!$AJ:$AJ,"п",ШТАТ!$X:$X,"выполнение специальных задач")</f>
        <v>0</v>
      </c>
      <c r="V79" s="1219">
        <f>COUNTIFS(ШТАТ!$AL:$AL,$A79,ШТАТ!$AK:$AK,3,ШТАТ!$AJ:$AJ,"с/с",ШТАТ!$X:$X,"выполнение специальных задач")</f>
        <v>0</v>
      </c>
      <c r="W79" s="1219">
        <f>COUNTIFS(ШТАТ!$AL:$AL,$A79,ШТАТ!$AK:$AK,3,ШТАТ!$AJ:$AJ,"к/с",ШТАТ!$X:$X,"выполнение специальных задач")</f>
        <v>0</v>
      </c>
      <c r="X79" s="1222">
        <f t="shared" si="4"/>
        <v>0</v>
      </c>
      <c r="Y79" s="1219">
        <f>COUNTIFS(ШТАТ!$AL:$AL,$A79,ШТАТ!$AK:$AK,4,ШТАТ!$AJ:$AJ,"с/с",ШТАТ!$X:$X,"выполнение специальных задач")</f>
        <v>0</v>
      </c>
      <c r="Z79" s="1219">
        <f>COUNTIFS(ШТАТ!$AL:$AL,$A79,ШТАТ!$AK:$AK,4,ШТАТ!$AJ:$AJ,"к/с",ШТАТ!$X:$X,"выполнение специальных задач")</f>
        <v>0</v>
      </c>
      <c r="AA79" s="1222">
        <f t="shared" si="5"/>
        <v>0</v>
      </c>
      <c r="AB79" s="1221">
        <f t="shared" si="15"/>
        <v>0</v>
      </c>
      <c r="AC79" s="1224"/>
      <c r="AD79" s="1219">
        <f>COUNTIFS(ШТАТ!$AL:$AL,$A79,ШТАТ!$AK:$AK,1,ШТАТ!$AJ:$AJ,"о",ШТАТ!$W:$W,"г. Белгород")</f>
        <v>0</v>
      </c>
      <c r="AE79" s="1219">
        <f>COUNTIFS(ШТАТ!$AL:$AL,$A79,ШТАТ!$AK:$AK,2,ШТАТ!$AJ:$AJ,"п",ШТАТ!$W:$W,"г. Белгород")</f>
        <v>0</v>
      </c>
      <c r="AF79" s="1219">
        <f>COUNTIFS(ШТАТ!$AL:$AL,$A79,ШТАТ!$AK:$AK,3,ШТАТ!$AJ:$AJ,"с/с",ШТАТ!$W:$W,"г. Белгород")</f>
        <v>0</v>
      </c>
      <c r="AG79" s="1219">
        <f>COUNTIFS(ШТАТ!$AL:$AL,$A79,ШТАТ!$AK:$AK,3,ШТАТ!$AJ:$AJ,"к/с",ШТАТ!$W:$W,"г. Белгород")</f>
        <v>1</v>
      </c>
      <c r="AH79" s="1222">
        <f t="shared" si="6"/>
        <v>1</v>
      </c>
      <c r="AI79" s="1219">
        <f>COUNTIFS(ШТАТ!$AL:$AL,$A79,ШТАТ!$AK:$AK,4,ШТАТ!$AJ:$AJ,"с/с",ШТАТ!$W:$W,"г. Белгород")</f>
        <v>0</v>
      </c>
      <c r="AJ79" s="1219">
        <f>COUNTIFS(ШТАТ!$AL:$AL,$A79,ШТАТ!$AK:$AK,4,ШТАТ!$AJ:$AJ,"к/с",ШТАТ!$W:$W,"г. Белгород")</f>
        <v>2</v>
      </c>
      <c r="AK79" s="1222">
        <f t="shared" si="7"/>
        <v>2</v>
      </c>
      <c r="AL79" s="1221">
        <f t="shared" si="16"/>
        <v>3</v>
      </c>
      <c r="AM79" s="1219">
        <f>COUNTIFS(ШТАТ!$AL:$AL,$A79,ШТАТ!$AK:$AK,1,ШТАТ!$AJ:$AJ,"о",ШТАТ!$U:$U,"")</f>
        <v>0</v>
      </c>
      <c r="AN79" s="1219">
        <f>COUNTIFS(ШТАТ!$AL:$AL,$A79,ШТАТ!$AK:$AK,2,ШТАТ!$AJ:$AJ,"п",ШТАТ!$U:$U,"")</f>
        <v>0</v>
      </c>
      <c r="AO79" s="1219">
        <f>COUNTIFS(ШТАТ!$AL:$AL,$A79,ШТАТ!$AK:$AK,3,ШТАТ!$AJ:$AJ,"с/с",ШТАТ!$U:$U,"")</f>
        <v>0</v>
      </c>
      <c r="AP79" s="1219">
        <f>COUNTIFS(ШТАТ!$AL:$AL,$A79,ШТАТ!$AK:$AK,3,ШТАТ!$AJ:$AJ,"к/с",ШТАТ!$U:$U,"")</f>
        <v>0</v>
      </c>
      <c r="AQ79" s="1222">
        <f t="shared" si="17"/>
        <v>0</v>
      </c>
      <c r="AR79" s="1219">
        <f>COUNTIFS(ШТАТ!$AL:$AL,$A79,ШТАТ!$AK:$AK,4,ШТАТ!$AJ:$AJ,"с/с",ШТАТ!$U:$U,"")</f>
        <v>12</v>
      </c>
      <c r="AS79" s="1219">
        <f>COUNTIFS(ШТАТ!$AL:$AL,$A79,ШТАТ!$AK:$AK,4,ШТАТ!$AJ:$AJ,"к/с",ШТАТ!$U:$U,"")</f>
        <v>1</v>
      </c>
      <c r="AT79" s="1222">
        <f t="shared" si="8"/>
        <v>13</v>
      </c>
      <c r="AU79" s="1221">
        <f t="shared" si="40"/>
        <v>13</v>
      </c>
      <c r="AV79" s="1219">
        <f>COUNTIFS(ШТАТ!$AL:$AL,$A79,ШТАТ!$U:$U,"госп")</f>
        <v>0</v>
      </c>
      <c r="AW79" s="1225">
        <f t="shared" si="9"/>
        <v>0</v>
      </c>
      <c r="AX79" s="1219">
        <f>COUNTIFS(ШТАТ!$AL:$AL,$A79,ШТАТ!$U:$U,"отпуск")</f>
        <v>0</v>
      </c>
      <c r="AY79" s="1219">
        <f>COUNTIFS(ШТАТ!$AL:$AL,$A79,ШТАТ!$U:$U,"соч")</f>
        <v>0</v>
      </c>
      <c r="AZ79" s="1225"/>
      <c r="BA79" s="1219">
        <f>COUNTIFS(ШТАТ!$AL:$AL,$A79,ШТАТ!$U:$U,"МП")</f>
        <v>0</v>
      </c>
      <c r="BB79" s="1226"/>
      <c r="BC79" s="1226"/>
      <c r="BD79" s="1219"/>
      <c r="BE79" s="1226"/>
      <c r="BF79" s="1226"/>
      <c r="BG79" s="1226"/>
      <c r="BH79" s="1226"/>
      <c r="BI79" s="1226"/>
      <c r="BJ79" s="1226"/>
      <c r="BK79" s="1226"/>
      <c r="BL79" s="1226"/>
      <c r="BM79" s="1226"/>
      <c r="BN79" s="1226"/>
      <c r="BO79" s="1226"/>
      <c r="BP79" s="1226"/>
      <c r="BQ79" s="1226"/>
      <c r="BR79" s="1226"/>
      <c r="BS79" s="1226"/>
      <c r="BT79" s="1226"/>
      <c r="BU79" s="1226"/>
      <c r="BV79" s="1226"/>
      <c r="BW79" s="1226"/>
      <c r="BX79" s="1226"/>
      <c r="BY79" s="1226"/>
      <c r="BZ79" s="1226"/>
      <c r="CA79" s="1226"/>
      <c r="CB79" s="1226"/>
      <c r="CC79" s="1226"/>
      <c r="CD79" s="1226"/>
      <c r="CE79" s="1226"/>
      <c r="CF79" s="1226"/>
      <c r="CG79" s="1226"/>
      <c r="CH79" s="1226"/>
      <c r="CI79" s="1226"/>
      <c r="CJ79" s="1226"/>
      <c r="CK79" s="1226"/>
      <c r="CL79" s="1226"/>
      <c r="CM79" s="1226"/>
      <c r="CN79" s="1226"/>
      <c r="CO79" s="1226"/>
      <c r="CP79" s="1226"/>
      <c r="CQ79" s="1226"/>
      <c r="CR79" s="1226"/>
      <c r="CS79" s="1226"/>
      <c r="CT79" s="1226"/>
      <c r="CU79" s="1226"/>
      <c r="CV79" s="1226"/>
      <c r="CW79" s="1226"/>
      <c r="CX79" s="1226"/>
      <c r="CY79" s="1226"/>
      <c r="CZ79" s="1226"/>
      <c r="DA79" s="1226"/>
      <c r="DB79" s="1226"/>
      <c r="DC79" s="1226"/>
      <c r="DD79" s="1226"/>
      <c r="DE79" s="1226"/>
      <c r="DF79" s="1226"/>
      <c r="DG79" s="1226"/>
      <c r="DH79" s="1226"/>
      <c r="DI79" s="1226"/>
      <c r="DJ79" s="1226"/>
      <c r="DK79" s="1226"/>
      <c r="DL79" s="1226"/>
      <c r="DM79" s="1226"/>
      <c r="DN79" s="1226"/>
      <c r="DO79" s="1226"/>
      <c r="DP79" s="1226"/>
      <c r="DQ79" s="1226"/>
      <c r="DR79" s="1226"/>
      <c r="DS79" s="1226"/>
      <c r="DT79" s="1226"/>
      <c r="DU79" s="1226">
        <v>3</v>
      </c>
      <c r="DV79" s="1226">
        <f>COUNTIFS(ШТАТ!$AN:$AN,"Урал-4320-31",ШТАТ!AL:AL,"Управление")</f>
        <v>0</v>
      </c>
      <c r="DW79" s="1226"/>
      <c r="DX79" s="1226"/>
      <c r="DY79" s="1226"/>
      <c r="DZ79" s="1226"/>
      <c r="EA79" s="1226"/>
      <c r="EB79" s="1226"/>
      <c r="EC79" s="1226"/>
      <c r="ED79" s="1226">
        <v>1</v>
      </c>
      <c r="EE79" s="1226"/>
      <c r="EF79" s="1226"/>
      <c r="EG79" s="1226"/>
      <c r="EH79" s="1226"/>
      <c r="EI79" s="1226"/>
      <c r="EJ79" s="1226"/>
      <c r="EK79" s="1226"/>
      <c r="EL79" s="1226"/>
      <c r="EM79" s="1226"/>
      <c r="EN79" s="1226"/>
      <c r="EO79" s="1226"/>
      <c r="EP79" s="1226"/>
      <c r="EQ79" s="1226"/>
      <c r="ER79" s="1226"/>
      <c r="ES79" s="1226"/>
      <c r="ET79" s="1226"/>
      <c r="EU79" s="1226"/>
      <c r="EV79" s="1226"/>
      <c r="EW79" s="1226"/>
      <c r="EX79" s="1226"/>
      <c r="EY79" s="1226"/>
      <c r="EZ79" s="1226"/>
      <c r="FA79" s="1226"/>
      <c r="FB79" s="1226"/>
      <c r="FC79" s="1226"/>
      <c r="FD79" s="1226"/>
      <c r="FE79" s="1226"/>
      <c r="FF79" s="1226"/>
      <c r="FG79" s="1226"/>
      <c r="FH79" s="1226"/>
      <c r="FI79" s="1226">
        <v>1</v>
      </c>
      <c r="FJ79" s="1226"/>
      <c r="FK79" s="1226"/>
      <c r="FL79" s="1226"/>
      <c r="FM79" s="1226"/>
      <c r="FN79" s="1226"/>
      <c r="FO79" s="1226"/>
      <c r="FP79" s="1226"/>
      <c r="FQ79" s="1226"/>
      <c r="FR79" s="1226"/>
    </row>
    <row r="80" spans="1:174" ht="33" x14ac:dyDescent="0.25">
      <c r="A80" s="1218" t="s">
        <v>3483</v>
      </c>
      <c r="B80" s="1265" t="s">
        <v>4735</v>
      </c>
      <c r="C80" s="1265">
        <f t="shared" si="34"/>
        <v>48</v>
      </c>
      <c r="D80" s="1265" t="s">
        <v>4805</v>
      </c>
      <c r="E80" s="1219">
        <f>SUM(E75:E79)</f>
        <v>2</v>
      </c>
      <c r="F80" s="1219">
        <f>SUM(F75:F79)</f>
        <v>5</v>
      </c>
      <c r="G80" s="1219">
        <f>SUM(G75:G79)</f>
        <v>11</v>
      </c>
      <c r="H80" s="1219">
        <f>SUM(H75:H79)</f>
        <v>55</v>
      </c>
      <c r="I80" s="1221">
        <f t="shared" si="3"/>
        <v>73</v>
      </c>
      <c r="J80" s="1219">
        <f>SUM(J75:J79)</f>
        <v>2</v>
      </c>
      <c r="K80" s="1219">
        <f>SUM(K75:K79)</f>
        <v>3</v>
      </c>
      <c r="L80" s="1219">
        <f>SUM(L75:L79)</f>
        <v>0</v>
      </c>
      <c r="M80" s="1219">
        <f>SUM(M75:M79)</f>
        <v>5</v>
      </c>
      <c r="N80" s="1222">
        <f t="shared" si="11"/>
        <v>5</v>
      </c>
      <c r="O80" s="1219">
        <f>SUM(O75:O79)</f>
        <v>43</v>
      </c>
      <c r="P80" s="1219">
        <f>SUM(P75:P79)</f>
        <v>11</v>
      </c>
      <c r="Q80" s="1222">
        <f t="shared" si="39"/>
        <v>54</v>
      </c>
      <c r="R80" s="1221">
        <f t="shared" si="13"/>
        <v>64</v>
      </c>
      <c r="S80" s="1223">
        <f t="shared" si="14"/>
        <v>0.87671232876712324</v>
      </c>
      <c r="T80" s="1219">
        <f>SUM(T75:T79)</f>
        <v>1</v>
      </c>
      <c r="U80" s="1219">
        <f>SUM(U75:U79)</f>
        <v>0</v>
      </c>
      <c r="V80" s="1219">
        <f>SUM(V75:V79)</f>
        <v>0</v>
      </c>
      <c r="W80" s="1219">
        <f>SUM(W75:W79)</f>
        <v>1</v>
      </c>
      <c r="X80" s="1222">
        <f t="shared" si="4"/>
        <v>1</v>
      </c>
      <c r="Y80" s="1219">
        <f>SUM(Y75:Y79)</f>
        <v>0</v>
      </c>
      <c r="Z80" s="1219">
        <f>SUM(Z75:Z79)</f>
        <v>0</v>
      </c>
      <c r="AA80" s="1222">
        <f t="shared" si="5"/>
        <v>0</v>
      </c>
      <c r="AB80" s="1221">
        <f t="shared" si="15"/>
        <v>2</v>
      </c>
      <c r="AC80" s="1224">
        <f>AB80/R80</f>
        <v>3.125E-2</v>
      </c>
      <c r="AD80" s="1219">
        <f>SUM(AD75:AD79)</f>
        <v>1</v>
      </c>
      <c r="AE80" s="1219">
        <f>SUM(AE75:AE79)</f>
        <v>0</v>
      </c>
      <c r="AF80" s="1219">
        <f>SUM(AF75:AF79)</f>
        <v>0</v>
      </c>
      <c r="AG80" s="1219">
        <f>SUM(AG75:AG79)</f>
        <v>1</v>
      </c>
      <c r="AH80" s="1222">
        <f t="shared" si="6"/>
        <v>1</v>
      </c>
      <c r="AI80" s="1219">
        <f>SUM(AI75:AI79)</f>
        <v>0</v>
      </c>
      <c r="AJ80" s="1219">
        <f>SUM(AJ75:AJ79)</f>
        <v>7</v>
      </c>
      <c r="AK80" s="1222">
        <f t="shared" si="7"/>
        <v>7</v>
      </c>
      <c r="AL80" s="1221">
        <f t="shared" si="16"/>
        <v>9</v>
      </c>
      <c r="AM80" s="1219">
        <f>SUM(AM75:AM79)</f>
        <v>0</v>
      </c>
      <c r="AN80" s="1219">
        <f>SUM(AN75:AN79)</f>
        <v>2</v>
      </c>
      <c r="AO80" s="1219">
        <f>SUM(AO75:AO79)</f>
        <v>0</v>
      </c>
      <c r="AP80" s="1219">
        <f>SUM(AP75:AP79)</f>
        <v>3</v>
      </c>
      <c r="AQ80" s="1222">
        <f t="shared" si="17"/>
        <v>3</v>
      </c>
      <c r="AR80" s="1219">
        <f>SUM(AR75:AR79)</f>
        <v>41</v>
      </c>
      <c r="AS80" s="1219">
        <f>SUM(AS75:AS79)</f>
        <v>2</v>
      </c>
      <c r="AT80" s="1222">
        <f t="shared" si="8"/>
        <v>43</v>
      </c>
      <c r="AU80" s="1221">
        <f t="shared" si="40"/>
        <v>48</v>
      </c>
      <c r="AV80" s="1219">
        <f>SUM(AV75:AV79)</f>
        <v>1</v>
      </c>
      <c r="AW80" s="1225">
        <f t="shared" si="9"/>
        <v>2</v>
      </c>
      <c r="AX80" s="1219">
        <f>SUM(AX75:AX79)</f>
        <v>1</v>
      </c>
      <c r="AY80" s="1219">
        <f>SUM(AY75:AY79)</f>
        <v>0</v>
      </c>
      <c r="AZ80" s="1219">
        <f>SUM(AZ75:AZ79)</f>
        <v>0</v>
      </c>
      <c r="BA80" s="1219">
        <f>SUM(BA75:BA79)</f>
        <v>1</v>
      </c>
      <c r="BB80" s="1226">
        <v>1</v>
      </c>
      <c r="BC80" s="1226"/>
      <c r="BD80" s="1219">
        <v>0</v>
      </c>
      <c r="BE80" s="1226"/>
      <c r="BF80" s="1226"/>
      <c r="BG80" s="1226"/>
      <c r="BH80" s="1226"/>
      <c r="BI80" s="1226"/>
      <c r="BJ80" s="1226"/>
      <c r="BK80" s="1226"/>
      <c r="BL80" s="1226"/>
      <c r="BM80" s="1226"/>
      <c r="BN80" s="1226"/>
      <c r="BO80" s="1226"/>
      <c r="BP80" s="1226"/>
      <c r="BQ80" s="1226"/>
      <c r="BR80" s="1226"/>
      <c r="BS80" s="1226"/>
      <c r="BT80" s="1226"/>
      <c r="BU80" s="1226"/>
      <c r="BV80" s="1226"/>
      <c r="BW80" s="1226"/>
      <c r="BX80" s="1226"/>
      <c r="BY80" s="1226"/>
      <c r="BZ80" s="1226"/>
      <c r="CA80" s="1226"/>
      <c r="CB80" s="1226"/>
      <c r="CC80" s="1226"/>
      <c r="CD80" s="1226"/>
      <c r="CE80" s="1226"/>
      <c r="CF80" s="1226"/>
      <c r="CG80" s="1226"/>
      <c r="CH80" s="1226"/>
      <c r="CI80" s="1226"/>
      <c r="CJ80" s="1226"/>
      <c r="CK80" s="1226"/>
      <c r="CL80" s="1226"/>
      <c r="CM80" s="1226"/>
      <c r="CN80" s="1226"/>
      <c r="CO80" s="1226"/>
      <c r="CP80" s="1226"/>
      <c r="CQ80" s="1226"/>
      <c r="CR80" s="1226"/>
      <c r="CS80" s="1226"/>
      <c r="CT80" s="1226"/>
      <c r="CU80" s="1226"/>
      <c r="CV80" s="1226"/>
      <c r="CW80" s="1226"/>
      <c r="CX80" s="1226"/>
      <c r="CY80" s="1226"/>
      <c r="CZ80" s="1226"/>
      <c r="DA80" s="1226"/>
      <c r="DB80" s="1226"/>
      <c r="DC80" s="1219">
        <f>SUM(DC75:DC79)</f>
        <v>0</v>
      </c>
      <c r="DD80" s="1219">
        <f t="shared" ref="DD80:FO80" si="41">SUM(DD75:DD79)</f>
        <v>0</v>
      </c>
      <c r="DE80" s="1219">
        <f t="shared" si="41"/>
        <v>0</v>
      </c>
      <c r="DF80" s="1219">
        <f t="shared" si="41"/>
        <v>0</v>
      </c>
      <c r="DG80" s="1219">
        <f t="shared" si="41"/>
        <v>0</v>
      </c>
      <c r="DH80" s="1219">
        <f t="shared" si="41"/>
        <v>0</v>
      </c>
      <c r="DI80" s="1219">
        <f t="shared" si="41"/>
        <v>0</v>
      </c>
      <c r="DJ80" s="1219">
        <f t="shared" si="41"/>
        <v>0</v>
      </c>
      <c r="DK80" s="1219">
        <f t="shared" si="41"/>
        <v>0</v>
      </c>
      <c r="DL80" s="1219">
        <f t="shared" si="41"/>
        <v>0</v>
      </c>
      <c r="DM80" s="1219">
        <f t="shared" si="41"/>
        <v>0</v>
      </c>
      <c r="DN80" s="1219">
        <f t="shared" si="41"/>
        <v>0</v>
      </c>
      <c r="DO80" s="1219">
        <f t="shared" si="41"/>
        <v>0</v>
      </c>
      <c r="DP80" s="1219">
        <f t="shared" si="41"/>
        <v>0</v>
      </c>
      <c r="DQ80" s="1219">
        <f t="shared" si="41"/>
        <v>0</v>
      </c>
      <c r="DR80" s="1219">
        <f t="shared" si="41"/>
        <v>0</v>
      </c>
      <c r="DS80" s="1219">
        <f t="shared" si="41"/>
        <v>0</v>
      </c>
      <c r="DT80" s="1219">
        <f t="shared" si="41"/>
        <v>0</v>
      </c>
      <c r="DU80" s="1219">
        <f t="shared" si="41"/>
        <v>3</v>
      </c>
      <c r="DV80" s="1219">
        <f t="shared" si="41"/>
        <v>0</v>
      </c>
      <c r="DW80" s="1219">
        <f t="shared" si="41"/>
        <v>0</v>
      </c>
      <c r="DX80" s="1219">
        <f t="shared" si="41"/>
        <v>0</v>
      </c>
      <c r="DY80" s="1219">
        <f t="shared" si="41"/>
        <v>0</v>
      </c>
      <c r="DZ80" s="1219">
        <f t="shared" si="41"/>
        <v>0</v>
      </c>
      <c r="EA80" s="1219">
        <f t="shared" si="41"/>
        <v>0</v>
      </c>
      <c r="EB80" s="1219">
        <f t="shared" si="41"/>
        <v>0</v>
      </c>
      <c r="EC80" s="1219">
        <f t="shared" si="41"/>
        <v>0</v>
      </c>
      <c r="ED80" s="1219">
        <f t="shared" si="41"/>
        <v>1</v>
      </c>
      <c r="EE80" s="1219">
        <f t="shared" si="41"/>
        <v>0</v>
      </c>
      <c r="EF80" s="1219">
        <f t="shared" si="41"/>
        <v>0</v>
      </c>
      <c r="EG80" s="1219">
        <f t="shared" si="41"/>
        <v>0</v>
      </c>
      <c r="EH80" s="1219">
        <f t="shared" si="41"/>
        <v>2</v>
      </c>
      <c r="EI80" s="1219">
        <f t="shared" si="41"/>
        <v>1</v>
      </c>
      <c r="EJ80" s="1219">
        <f t="shared" si="41"/>
        <v>0</v>
      </c>
      <c r="EK80" s="1219">
        <f t="shared" si="41"/>
        <v>0</v>
      </c>
      <c r="EL80" s="1219">
        <f t="shared" si="41"/>
        <v>0</v>
      </c>
      <c r="EM80" s="1219">
        <f t="shared" si="41"/>
        <v>0</v>
      </c>
      <c r="EN80" s="1219">
        <f t="shared" si="41"/>
        <v>0</v>
      </c>
      <c r="EO80" s="1219">
        <f t="shared" si="41"/>
        <v>0</v>
      </c>
      <c r="EP80" s="1219">
        <f t="shared" si="41"/>
        <v>0</v>
      </c>
      <c r="EQ80" s="1219">
        <f t="shared" si="41"/>
        <v>0</v>
      </c>
      <c r="ER80" s="1219">
        <f t="shared" si="41"/>
        <v>0</v>
      </c>
      <c r="ES80" s="1219">
        <f t="shared" si="41"/>
        <v>0</v>
      </c>
      <c r="ET80" s="1219">
        <f t="shared" si="41"/>
        <v>0</v>
      </c>
      <c r="EU80" s="1219">
        <f t="shared" si="41"/>
        <v>0</v>
      </c>
      <c r="EV80" s="1219">
        <f t="shared" si="41"/>
        <v>0</v>
      </c>
      <c r="EW80" s="1219">
        <f t="shared" si="41"/>
        <v>0</v>
      </c>
      <c r="EX80" s="1219">
        <f t="shared" si="41"/>
        <v>0</v>
      </c>
      <c r="EY80" s="1219">
        <f t="shared" si="41"/>
        <v>0</v>
      </c>
      <c r="EZ80" s="1219">
        <f t="shared" si="41"/>
        <v>0</v>
      </c>
      <c r="FA80" s="1219">
        <f t="shared" si="41"/>
        <v>0</v>
      </c>
      <c r="FB80" s="1219">
        <f t="shared" si="41"/>
        <v>0</v>
      </c>
      <c r="FC80" s="1219">
        <f t="shared" si="41"/>
        <v>0</v>
      </c>
      <c r="FD80" s="1219">
        <f t="shared" si="41"/>
        <v>0</v>
      </c>
      <c r="FE80" s="1219">
        <f t="shared" si="41"/>
        <v>0</v>
      </c>
      <c r="FF80" s="1219">
        <f t="shared" si="41"/>
        <v>0</v>
      </c>
      <c r="FG80" s="1219">
        <f t="shared" si="41"/>
        <v>0</v>
      </c>
      <c r="FH80" s="1219">
        <f t="shared" si="41"/>
        <v>4</v>
      </c>
      <c r="FI80" s="1219">
        <f t="shared" si="41"/>
        <v>7</v>
      </c>
      <c r="FJ80" s="1219">
        <f t="shared" si="41"/>
        <v>0</v>
      </c>
      <c r="FK80" s="1219">
        <f t="shared" si="41"/>
        <v>3</v>
      </c>
      <c r="FL80" s="1219">
        <f t="shared" si="41"/>
        <v>0</v>
      </c>
      <c r="FM80" s="1219">
        <f t="shared" si="41"/>
        <v>0</v>
      </c>
      <c r="FN80" s="1219">
        <f t="shared" si="41"/>
        <v>0</v>
      </c>
      <c r="FO80" s="1219">
        <f t="shared" si="41"/>
        <v>0</v>
      </c>
      <c r="FP80" s="1219">
        <f t="shared" ref="FP80:FR80" si="42">SUM(FP75:FP79)</f>
        <v>0</v>
      </c>
      <c r="FQ80" s="1219">
        <f t="shared" si="42"/>
        <v>0</v>
      </c>
      <c r="FR80" s="1219">
        <f t="shared" si="42"/>
        <v>0</v>
      </c>
    </row>
    <row r="81" spans="1:174" ht="33" x14ac:dyDescent="0.25">
      <c r="A81" s="1218" t="s">
        <v>929</v>
      </c>
      <c r="B81" s="1265" t="s">
        <v>4735</v>
      </c>
      <c r="C81" s="1265">
        <f t="shared" si="34"/>
        <v>2</v>
      </c>
      <c r="D81" s="1265" t="s">
        <v>4805</v>
      </c>
      <c r="E81" s="1219">
        <v>0</v>
      </c>
      <c r="F81" s="1219">
        <v>1</v>
      </c>
      <c r="G81" s="1220">
        <v>2</v>
      </c>
      <c r="H81" s="1220">
        <v>16</v>
      </c>
      <c r="I81" s="1221">
        <f t="shared" si="3"/>
        <v>19</v>
      </c>
      <c r="J81" s="1219">
        <f>COUNTIFS(ШТАТ!AL:AL,A81,ШТАТ!AJ:AJ,"о")</f>
        <v>0</v>
      </c>
      <c r="K81" s="1219">
        <f>COUNTIFS(ШТАТ!AL:AL,A81,ШТАТ!AJ:AJ,"п")</f>
        <v>1</v>
      </c>
      <c r="L81" s="1219">
        <f>COUNTIFS(ШТАТ!$AL:$AL,$A81,ШТАТ!AK:AK,3,ШТАТ!AJ:AJ,"с/с")</f>
        <v>0</v>
      </c>
      <c r="M81" s="1219">
        <f>COUNTIFS(ШТАТ!$AL:$AL,$A81,ШТАТ!AK:AK,3,ШТАТ!AJ:AJ,"к/с")</f>
        <v>1</v>
      </c>
      <c r="N81" s="1222">
        <f t="shared" si="11"/>
        <v>1</v>
      </c>
      <c r="O81" s="1220">
        <f>COUNTIFS(ШТАТ!$AL:$AL,$A81,ШТАТ!AK:AK,4,ШТАТ!AJ:AJ,"с/с")</f>
        <v>0</v>
      </c>
      <c r="P81" s="1220">
        <f>COUNTIFS(ШТАТ!$AL:$AL,$A81,ШТАТ!AK:AK,4,ШТАТ!AJ:AJ,"к/с")</f>
        <v>12</v>
      </c>
      <c r="Q81" s="1222">
        <f t="shared" si="39"/>
        <v>12</v>
      </c>
      <c r="R81" s="1221">
        <f t="shared" si="13"/>
        <v>14</v>
      </c>
      <c r="S81" s="1223">
        <f t="shared" si="14"/>
        <v>0.73684210526315785</v>
      </c>
      <c r="T81" s="1219">
        <f>COUNTIFS(ШТАТ!$AL:$AL,$A81,ШТАТ!$AJ:$AJ,"о",ШТАТ!$X:$X,"выполнение специальных задач")</f>
        <v>0</v>
      </c>
      <c r="U81" s="1219">
        <f>COUNTIFS(ШТАТ!$AL:$AL,$A81,ШТАТ!$AJ:$AJ,"п",ШТАТ!$X:$X,"выполнение специальных задач")</f>
        <v>0</v>
      </c>
      <c r="V81" s="1219">
        <f>COUNTIFS(ШТАТ!$AL:$AL,$A81,ШТАТ!$AK:$AK,3,ШТАТ!$AJ:$AJ,"с/с",ШТАТ!$X:$X,"выполнение специальных задач")</f>
        <v>0</v>
      </c>
      <c r="W81" s="1219">
        <f>COUNTIFS(ШТАТ!$AL:$AL,$A81,ШТАТ!$AK:$AK,3,ШТАТ!$AJ:$AJ,"к/с",ШТАТ!$X:$X,"выполнение специальных задач")</f>
        <v>1</v>
      </c>
      <c r="X81" s="1222">
        <f t="shared" si="4"/>
        <v>1</v>
      </c>
      <c r="Y81" s="1219">
        <f>COUNTIFS(ШТАТ!$AL:$AL,$A81,ШТАТ!$AK:$AK,4,ШТАТ!$AJ:$AJ,"с/с",ШТАТ!$X:$X,"выполнение специальных задач")</f>
        <v>0</v>
      </c>
      <c r="Z81" s="1219">
        <f>COUNTIFS(ШТАТ!$AL:$AL,$A81,ШТАТ!$AK:$AK,4,ШТАТ!$AJ:$AJ,"к/с",ШТАТ!$X:$X,"выполнение специальных задач")</f>
        <v>6</v>
      </c>
      <c r="AA81" s="1222">
        <f t="shared" si="5"/>
        <v>6</v>
      </c>
      <c r="AB81" s="1221">
        <f t="shared" si="15"/>
        <v>7</v>
      </c>
      <c r="AC81" s="1224">
        <f>AB81/R81</f>
        <v>0.5</v>
      </c>
      <c r="AD81" s="1219">
        <f>COUNTIFS(ШТАТ!$AL:$AL,$A81,ШТАТ!$AK:$AK,1,ШТАТ!$AJ:$AJ,"о",ШТАТ!$W:$W,"г. Белгород")</f>
        <v>0</v>
      </c>
      <c r="AE81" s="1219">
        <f>COUNTIFS(ШТАТ!$AL:$AL,$A81,ШТАТ!$AK:$AK,2,ШТАТ!$AJ:$AJ,"п",ШТАТ!$W:$W,"г. Белгород")</f>
        <v>1</v>
      </c>
      <c r="AF81" s="1219">
        <f>COUNTIFS(ШТАТ!$AL:$AL,$A81,ШТАТ!$AK:$AK,3,ШТАТ!$AJ:$AJ,"с/с",ШТАТ!$W:$W,"г. Белгород")</f>
        <v>0</v>
      </c>
      <c r="AG81" s="1219">
        <f>COUNTIFS(ШТАТ!$AL:$AL,$A81,ШТАТ!$AK:$AK,3,ШТАТ!$AJ:$AJ,"к/с",ШТАТ!$W:$W,"г. Белгород")</f>
        <v>0</v>
      </c>
      <c r="AH81" s="1222">
        <f t="shared" si="6"/>
        <v>0</v>
      </c>
      <c r="AI81" s="1219">
        <f>COUNTIFS(ШТАТ!$AL:$AL,$A81,ШТАТ!$AK:$AK,4,ШТАТ!$AJ:$AJ,"с/с",ШТАТ!$W:$W,"г. Белгород")</f>
        <v>0</v>
      </c>
      <c r="AJ81" s="1219">
        <f>COUNTIFS(ШТАТ!$AL:$AL,$A81,ШТАТ!$AK:$AK,4,ШТАТ!$AJ:$AJ,"к/с",ШТАТ!$W:$W,"г. Белгород")</f>
        <v>3</v>
      </c>
      <c r="AK81" s="1222">
        <f t="shared" si="7"/>
        <v>3</v>
      </c>
      <c r="AL81" s="1221">
        <f t="shared" si="16"/>
        <v>4</v>
      </c>
      <c r="AM81" s="1219">
        <f>COUNTIFS(ШТАТ!$AL:$AL,$A81,ШТАТ!$AK:$AK,1,ШТАТ!$AJ:$AJ,"о",ШТАТ!$U:$U,"")</f>
        <v>0</v>
      </c>
      <c r="AN81" s="1219">
        <f>COUNTIFS(ШТАТ!$AL:$AL,$A81,ШТАТ!$AK:$AK,2,ШТАТ!$AJ:$AJ,"п",ШТАТ!$U:$U,"")</f>
        <v>0</v>
      </c>
      <c r="AO81" s="1219">
        <f>COUNTIFS(ШТАТ!$AL:$AL,$A81,ШТАТ!$AK:$AK,3,ШТАТ!$AJ:$AJ,"с/с",ШТАТ!$U:$U,"")</f>
        <v>0</v>
      </c>
      <c r="AP81" s="1219">
        <f>COUNTIFS(ШТАТ!$AL:$AL,$A81,ШТАТ!$AK:$AK,3,ШТАТ!$AJ:$AJ,"к/с",ШТАТ!$U:$U,"")</f>
        <v>0</v>
      </c>
      <c r="AQ81" s="1222">
        <f t="shared" si="17"/>
        <v>0</v>
      </c>
      <c r="AR81" s="1219">
        <f>COUNTIFS(ШТАТ!$AL:$AL,$A81,ШТАТ!$AK:$AK,4,ШТАТ!$AJ:$AJ,"с/с",ШТАТ!$U:$U,"")</f>
        <v>0</v>
      </c>
      <c r="AS81" s="1219">
        <f>COUNTIFS(ШТАТ!$AL:$AL,$A81,ШТАТ!$AK:$AK,4,ШТАТ!$AJ:$AJ,"к/с",ШТАТ!$U:$U,"")</f>
        <v>2</v>
      </c>
      <c r="AT81" s="1222">
        <f t="shared" si="8"/>
        <v>2</v>
      </c>
      <c r="AU81" s="1221">
        <f t="shared" si="40"/>
        <v>2</v>
      </c>
      <c r="AV81" s="1219">
        <f>COUNTIFS(ШТАТ!$AL:$AL,$A81,ШТАТ!$U:$U,"госп")</f>
        <v>0</v>
      </c>
      <c r="AW81" s="1225">
        <f t="shared" si="9"/>
        <v>1</v>
      </c>
      <c r="AX81" s="1219">
        <f>COUNTIFS(ШТАТ!$AL:$AL,$A81,ШТАТ!$U:$U,"отпуск")</f>
        <v>0</v>
      </c>
      <c r="AY81" s="1219">
        <f>COUNTIFS(ШТАТ!$AL:$AL,$A81,ШТАТ!$U:$U,"соч")</f>
        <v>0</v>
      </c>
      <c r="AZ81" s="1225"/>
      <c r="BA81" s="1219">
        <f>COUNTIFS(ШТАТ!$AL:$AL,$A81,ШТАТ!$U:$U,"МП")</f>
        <v>0</v>
      </c>
      <c r="BB81" s="1226">
        <v>2</v>
      </c>
      <c r="BC81" s="1226"/>
      <c r="BD81" s="1219">
        <v>0</v>
      </c>
      <c r="BE81" s="1226"/>
      <c r="BF81" s="1226"/>
      <c r="BG81" s="1226"/>
      <c r="BH81" s="1226"/>
      <c r="BI81" s="1226"/>
      <c r="BJ81" s="1226"/>
      <c r="BK81" s="1226"/>
      <c r="BL81" s="1226"/>
      <c r="BM81" s="1226"/>
      <c r="BN81" s="1226"/>
      <c r="BO81" s="1226"/>
      <c r="BP81" s="1226"/>
      <c r="BQ81" s="1226"/>
      <c r="BR81" s="1226"/>
      <c r="BS81" s="1226"/>
      <c r="BT81" s="1226"/>
      <c r="BU81" s="1226"/>
      <c r="BV81" s="1226"/>
      <c r="BW81" s="1226"/>
      <c r="BX81" s="1226"/>
      <c r="BY81" s="1226"/>
      <c r="BZ81" s="1226"/>
      <c r="CA81" s="1226"/>
      <c r="CB81" s="1226"/>
      <c r="CC81" s="1226"/>
      <c r="CD81" s="1226"/>
      <c r="CE81" s="1226"/>
      <c r="CF81" s="1226"/>
      <c r="CG81" s="1226"/>
      <c r="CH81" s="1226"/>
      <c r="CI81" s="1226"/>
      <c r="CJ81" s="1226"/>
      <c r="CK81" s="1226"/>
      <c r="CL81" s="1226"/>
      <c r="CM81" s="1226"/>
      <c r="CN81" s="1226"/>
      <c r="CO81" s="1226"/>
      <c r="CP81" s="1226"/>
      <c r="CQ81" s="1226"/>
      <c r="CR81" s="1226"/>
      <c r="CS81" s="1226"/>
      <c r="CT81" s="1226"/>
      <c r="CU81" s="1226"/>
      <c r="CV81" s="1226"/>
      <c r="CW81" s="1226"/>
      <c r="CX81" s="1226"/>
      <c r="CY81" s="1226"/>
      <c r="CZ81" s="1226"/>
      <c r="DA81" s="1226"/>
      <c r="DB81" s="1226"/>
      <c r="DC81" s="1226"/>
      <c r="DD81" s="1226"/>
      <c r="DE81" s="1226"/>
      <c r="DF81" s="1226"/>
      <c r="DG81" s="1226"/>
      <c r="DH81" s="1226"/>
      <c r="DI81" s="1226"/>
      <c r="DJ81" s="1226"/>
      <c r="DK81" s="1226"/>
      <c r="DL81" s="1226"/>
      <c r="DM81" s="1226"/>
      <c r="DN81" s="1226"/>
      <c r="DO81" s="1226"/>
      <c r="DP81" s="1226"/>
      <c r="DQ81" s="1226"/>
      <c r="DR81" s="1226"/>
      <c r="DS81" s="1226"/>
      <c r="DT81" s="1226"/>
      <c r="DU81" s="1226"/>
      <c r="DV81" s="1226">
        <f>COUNTIFS(ШТАТ!$AN:$AN,"Урал-4320-31",ШТАТ!AL:AL,"Управление")</f>
        <v>0</v>
      </c>
      <c r="DW81" s="1226"/>
      <c r="DX81" s="1226"/>
      <c r="DY81" s="1226"/>
      <c r="DZ81" s="1226"/>
      <c r="EA81" s="1226"/>
      <c r="EB81" s="1226"/>
      <c r="EC81" s="1226"/>
      <c r="ED81" s="1226"/>
      <c r="EE81" s="1226"/>
      <c r="EF81" s="1226"/>
      <c r="EG81" s="1226"/>
      <c r="EH81" s="1226"/>
      <c r="EI81" s="1226"/>
      <c r="EJ81" s="1226"/>
      <c r="EK81" s="1226"/>
      <c r="EL81" s="1226"/>
      <c r="EM81" s="1226"/>
      <c r="EN81" s="1226"/>
      <c r="EO81" s="1226"/>
      <c r="EP81" s="1226"/>
      <c r="EQ81" s="1226"/>
      <c r="ER81" s="1226"/>
      <c r="ES81" s="1226"/>
      <c r="ET81" s="1226"/>
      <c r="EU81" s="1226"/>
      <c r="EV81" s="1226"/>
      <c r="EW81" s="1226"/>
      <c r="EX81" s="1226"/>
      <c r="EY81" s="1226"/>
      <c r="EZ81" s="1226"/>
      <c r="FA81" s="1226"/>
      <c r="FB81" s="1226"/>
      <c r="FC81" s="1226"/>
      <c r="FD81" s="1226"/>
      <c r="FE81" s="1226"/>
      <c r="FF81" s="1226"/>
      <c r="FG81" s="1226"/>
      <c r="FH81" s="1226">
        <v>5</v>
      </c>
      <c r="FI81" s="1226"/>
      <c r="FJ81" s="1226"/>
      <c r="FK81" s="1226">
        <v>1</v>
      </c>
      <c r="FL81" s="1226">
        <v>3</v>
      </c>
      <c r="FM81" s="1226"/>
      <c r="FN81" s="1226"/>
      <c r="FO81" s="1226"/>
      <c r="FP81" s="1226"/>
      <c r="FQ81" s="1226">
        <v>4</v>
      </c>
      <c r="FR81" s="1226"/>
    </row>
    <row r="82" spans="1:174" ht="33" x14ac:dyDescent="0.25">
      <c r="A82" s="1218" t="s">
        <v>848</v>
      </c>
      <c r="B82" s="1265" t="s">
        <v>4735</v>
      </c>
      <c r="C82" s="1265">
        <f t="shared" si="34"/>
        <v>7</v>
      </c>
      <c r="D82" s="1265" t="s">
        <v>4805</v>
      </c>
      <c r="E82" s="1219">
        <v>2</v>
      </c>
      <c r="F82" s="1219">
        <v>1</v>
      </c>
      <c r="G82" s="1220">
        <v>1</v>
      </c>
      <c r="H82" s="1220">
        <v>9</v>
      </c>
      <c r="I82" s="1221">
        <f t="shared" si="3"/>
        <v>13</v>
      </c>
      <c r="J82" s="1219">
        <f>COUNTIFS(ШТАТ!AL:AL,A82,ШТАТ!AJ:AJ,"о")</f>
        <v>1</v>
      </c>
      <c r="K82" s="1219">
        <f>COUNTIFS(ШТАТ!AL:AL,A82,ШТАТ!AJ:AJ,"п")</f>
        <v>1</v>
      </c>
      <c r="L82" s="1219">
        <f>COUNTIFS(ШТАТ!$AL:$AL,$A82,ШТАТ!AK:AK,3,ШТАТ!AJ:AJ,"с/с")</f>
        <v>0</v>
      </c>
      <c r="M82" s="1219">
        <f>COUNTIFS(ШТАТ!$AL:$AL,$A82,ШТАТ!AK:AK,3,ШТАТ!AJ:AJ,"к/с")</f>
        <v>0</v>
      </c>
      <c r="N82" s="1222">
        <f t="shared" si="11"/>
        <v>0</v>
      </c>
      <c r="O82" s="1220">
        <f>COUNTIFS(ШТАТ!$AL:$AL,$A82,ШТАТ!AK:AK,4,ШТАТ!AJ:AJ,"с/с")</f>
        <v>3</v>
      </c>
      <c r="P82" s="1220">
        <f>COUNTIFS(ШТАТ!$AL:$AL,$A82,ШТАТ!AK:AK,4,ШТАТ!AJ:AJ,"к/с")</f>
        <v>6</v>
      </c>
      <c r="Q82" s="1222">
        <f t="shared" si="39"/>
        <v>9</v>
      </c>
      <c r="R82" s="1221">
        <f t="shared" si="13"/>
        <v>11</v>
      </c>
      <c r="S82" s="1223">
        <f t="shared" si="14"/>
        <v>0.84615384615384615</v>
      </c>
      <c r="T82" s="1219">
        <f>COUNTIFS(ШТАТ!$AL:$AL,$A82,ШТАТ!$AJ:$AJ,"о",ШТАТ!$X:$X,"выполнение специальных задач")</f>
        <v>0</v>
      </c>
      <c r="U82" s="1219">
        <f>COUNTIFS(ШТАТ!$AL:$AL,$A82,ШТАТ!$AJ:$AJ,"п",ШТАТ!$X:$X,"выполнение специальных задач")</f>
        <v>0</v>
      </c>
      <c r="V82" s="1219">
        <f>COUNTIFS(ШТАТ!$AL:$AL,$A82,ШТАТ!$AK:$AK,3,ШТАТ!$AJ:$AJ,"с/с",ШТАТ!$X:$X,"выполнение специальных задач")</f>
        <v>0</v>
      </c>
      <c r="W82" s="1219">
        <f>COUNTIFS(ШТАТ!$AL:$AL,$A82,ШТАТ!$AK:$AK,3,ШТАТ!$AJ:$AJ,"к/с",ШТАТ!$X:$X,"выполнение специальных задач")</f>
        <v>0</v>
      </c>
      <c r="X82" s="1222">
        <f t="shared" si="4"/>
        <v>0</v>
      </c>
      <c r="Y82" s="1219">
        <f>COUNTIFS(ШТАТ!$AL:$AL,$A82,ШТАТ!$AK:$AK,4,ШТАТ!$AJ:$AJ,"с/с",ШТАТ!$X:$X,"выполнение специальных задач")</f>
        <v>0</v>
      </c>
      <c r="Z82" s="1219">
        <f>COUNTIFS(ШТАТ!$AL:$AL,$A82,ШТАТ!$AK:$AK,4,ШТАТ!$AJ:$AJ,"к/с",ШТАТ!$X:$X,"выполнение специальных задач")</f>
        <v>2</v>
      </c>
      <c r="AA82" s="1222">
        <f t="shared" si="5"/>
        <v>2</v>
      </c>
      <c r="AB82" s="1221">
        <f t="shared" si="15"/>
        <v>2</v>
      </c>
      <c r="AC82" s="1224">
        <f>AB82/R82</f>
        <v>0.18181818181818182</v>
      </c>
      <c r="AD82" s="1219">
        <f>COUNTIFS(ШТАТ!$AL:$AL,$A82,ШТАТ!$AK:$AK,1,ШТАТ!$AJ:$AJ,"о",ШТАТ!$W:$W,"г. Белгород")</f>
        <v>0</v>
      </c>
      <c r="AE82" s="1219">
        <f>COUNTIFS(ШТАТ!$AL:$AL,$A82,ШТАТ!$AK:$AK,2,ШТАТ!$AJ:$AJ,"п",ШТАТ!$W:$W,"г. Белгород")</f>
        <v>0</v>
      </c>
      <c r="AF82" s="1219">
        <f>COUNTIFS(ШТАТ!$AL:$AL,$A82,ШТАТ!$AK:$AK,3,ШТАТ!$AJ:$AJ,"с/с",ШТАТ!$W:$W,"г. Белгород")</f>
        <v>0</v>
      </c>
      <c r="AG82" s="1219">
        <f>COUNTIFS(ШТАТ!$AL:$AL,$A82,ШТАТ!$AK:$AK,3,ШТАТ!$AJ:$AJ,"к/с",ШТАТ!$W:$W,"г. Белгород")</f>
        <v>0</v>
      </c>
      <c r="AH82" s="1222">
        <f t="shared" si="6"/>
        <v>0</v>
      </c>
      <c r="AI82" s="1219">
        <f>COUNTIFS(ШТАТ!$AL:$AL,$A82,ШТАТ!$AK:$AK,4,ШТАТ!$AJ:$AJ,"с/с",ШТАТ!$W:$W,"г. Белгород")</f>
        <v>0</v>
      </c>
      <c r="AJ82" s="1219">
        <f>COUNTIFS(ШТАТ!$AL:$AL,$A82,ШТАТ!$AK:$AK,4,ШТАТ!$AJ:$AJ,"к/с",ШТАТ!$W:$W,"г. Белгород")</f>
        <v>1</v>
      </c>
      <c r="AK82" s="1222">
        <f t="shared" si="7"/>
        <v>1</v>
      </c>
      <c r="AL82" s="1221">
        <f t="shared" si="16"/>
        <v>1</v>
      </c>
      <c r="AM82" s="1219">
        <f>COUNTIFS(ШТАТ!$AL:$AL,$A82,ШТАТ!$AK:$AK,1,ШТАТ!$AJ:$AJ,"о",ШТАТ!$U:$U,"")</f>
        <v>1</v>
      </c>
      <c r="AN82" s="1219">
        <f>COUNTIFS(ШТАТ!$AL:$AL,$A82,ШТАТ!$AK:$AK,2,ШТАТ!$AJ:$AJ,"п",ШТАТ!$U:$U,"")</f>
        <v>1</v>
      </c>
      <c r="AO82" s="1219">
        <f>COUNTIFS(ШТАТ!$AL:$AL,$A82,ШТАТ!$AK:$AK,3,ШТАТ!$AJ:$AJ,"с/с",ШТАТ!$U:$U,"")</f>
        <v>0</v>
      </c>
      <c r="AP82" s="1219">
        <f>COUNTIFS(ШТАТ!$AL:$AL,$A82,ШТАТ!$AK:$AK,3,ШТАТ!$AJ:$AJ,"к/с",ШТАТ!$U:$U,"")</f>
        <v>0</v>
      </c>
      <c r="AQ82" s="1222">
        <f t="shared" si="17"/>
        <v>0</v>
      </c>
      <c r="AR82" s="1219">
        <f>COUNTIFS(ШТАТ!$AL:$AL,$A82,ШТАТ!$AK:$AK,4,ШТАТ!$AJ:$AJ,"с/с",ШТАТ!$U:$U,"")</f>
        <v>2</v>
      </c>
      <c r="AS82" s="1219">
        <f>COUNTIFS(ШТАТ!$AL:$AL,$A82,ШТАТ!$AK:$AK,4,ШТАТ!$AJ:$AJ,"к/с",ШТАТ!$U:$U,"")</f>
        <v>3</v>
      </c>
      <c r="AT82" s="1222">
        <f t="shared" si="8"/>
        <v>5</v>
      </c>
      <c r="AU82" s="1221">
        <f t="shared" si="40"/>
        <v>7</v>
      </c>
      <c r="AV82" s="1219">
        <f>COUNTIFS(ШТАТ!$AL:$AL,$A82,ШТАТ!$U:$U,"госп")</f>
        <v>0</v>
      </c>
      <c r="AW82" s="1225">
        <f>SUM(R82-AB82-AL82-AU82-AV82-AX82-AY82-AZ82-BA82)</f>
        <v>0</v>
      </c>
      <c r="AX82" s="1219">
        <f>COUNTIFS(ШТАТ!$AL:$AL,$A82,ШТАТ!$U:$U,"отпуск")</f>
        <v>0</v>
      </c>
      <c r="AY82" s="1219">
        <f>COUNTIFS(ШТАТ!$AL:$AL,$A82,ШТАТ!$U:$U,"соч")</f>
        <v>0</v>
      </c>
      <c r="AZ82" s="1225"/>
      <c r="BA82" s="1219">
        <f>COUNTIFS(ШТАТ!$AL:$AL,$A82,ШТАТ!$U:$U,"МП")</f>
        <v>1</v>
      </c>
      <c r="BB82" s="1226">
        <v>3</v>
      </c>
      <c r="BC82" s="1226"/>
      <c r="BD82" s="1219">
        <v>1</v>
      </c>
      <c r="BE82" s="1226"/>
      <c r="BF82" s="1226"/>
      <c r="BG82" s="1226"/>
      <c r="BH82" s="1226"/>
      <c r="BI82" s="1226"/>
      <c r="BJ82" s="1226"/>
      <c r="BK82" s="1226"/>
      <c r="BL82" s="1226"/>
      <c r="BM82" s="1226"/>
      <c r="BN82" s="1226"/>
      <c r="BO82" s="1226"/>
      <c r="BP82" s="1226"/>
      <c r="BQ82" s="1226"/>
      <c r="BR82" s="1226"/>
      <c r="BS82" s="1226"/>
      <c r="BT82" s="1226"/>
      <c r="BU82" s="1226"/>
      <c r="BV82" s="1226"/>
      <c r="BW82" s="1226"/>
      <c r="BX82" s="1226"/>
      <c r="BY82" s="1226"/>
      <c r="BZ82" s="1226"/>
      <c r="CA82" s="1226"/>
      <c r="CB82" s="1226"/>
      <c r="CC82" s="1226"/>
      <c r="CD82" s="1226"/>
      <c r="CE82" s="1226"/>
      <c r="CF82" s="1226"/>
      <c r="CG82" s="1226"/>
      <c r="CH82" s="1226"/>
      <c r="CI82" s="1226"/>
      <c r="CJ82" s="1226"/>
      <c r="CK82" s="1226"/>
      <c r="CL82" s="1226"/>
      <c r="CM82" s="1226"/>
      <c r="CN82" s="1226"/>
      <c r="CO82" s="1226"/>
      <c r="CP82" s="1226"/>
      <c r="CQ82" s="1226"/>
      <c r="CR82" s="1226"/>
      <c r="CS82" s="1226"/>
      <c r="CT82" s="1226"/>
      <c r="CU82" s="1226"/>
      <c r="CV82" s="1226"/>
      <c r="CW82" s="1226"/>
      <c r="CX82" s="1226"/>
      <c r="CY82" s="1226"/>
      <c r="CZ82" s="1226"/>
      <c r="DA82" s="1226"/>
      <c r="DB82" s="1226"/>
      <c r="DC82" s="1226"/>
      <c r="DD82" s="1226"/>
      <c r="DE82" s="1226"/>
      <c r="DF82" s="1226"/>
      <c r="DG82" s="1226"/>
      <c r="DH82" s="1226"/>
      <c r="DI82" s="1226"/>
      <c r="DJ82" s="1226"/>
      <c r="DK82" s="1226"/>
      <c r="DL82" s="1226"/>
      <c r="DM82" s="1226"/>
      <c r="DN82" s="1226"/>
      <c r="DO82" s="1226"/>
      <c r="DP82" s="1226"/>
      <c r="DQ82" s="1226"/>
      <c r="DR82" s="1226"/>
      <c r="DS82" s="1226"/>
      <c r="DT82" s="1226"/>
      <c r="DU82" s="1226"/>
      <c r="DV82" s="1226">
        <f>COUNTIFS(ШТАТ!$AN:$AN,"Урал-4320-31",ШТАТ!AL:AL,"Управление")</f>
        <v>0</v>
      </c>
      <c r="DW82" s="1226"/>
      <c r="DX82" s="1226"/>
      <c r="DY82" s="1226"/>
      <c r="DZ82" s="1226"/>
      <c r="EA82" s="1226">
        <v>2</v>
      </c>
      <c r="EB82" s="1226"/>
      <c r="EC82" s="1226">
        <v>1</v>
      </c>
      <c r="ED82" s="1226"/>
      <c r="EE82" s="1226">
        <v>1</v>
      </c>
      <c r="EF82" s="1226">
        <v>1</v>
      </c>
      <c r="EG82" s="1226"/>
      <c r="EH82" s="1226"/>
      <c r="EI82" s="1226"/>
      <c r="EJ82" s="1226"/>
      <c r="EK82" s="1226"/>
      <c r="EL82" s="1226"/>
      <c r="EM82" s="1226"/>
      <c r="EN82" s="1226"/>
      <c r="EO82" s="1226"/>
      <c r="EP82" s="1226"/>
      <c r="EQ82" s="1226"/>
      <c r="ER82" s="1226"/>
      <c r="ES82" s="1226"/>
      <c r="ET82" s="1226"/>
      <c r="EU82" s="1226"/>
      <c r="EV82" s="1226"/>
      <c r="EW82" s="1226"/>
      <c r="EX82" s="1226"/>
      <c r="EY82" s="1226"/>
      <c r="EZ82" s="1226"/>
      <c r="FA82" s="1226"/>
      <c r="FB82" s="1226"/>
      <c r="FC82" s="1226"/>
      <c r="FD82" s="1226"/>
      <c r="FE82" s="1226"/>
      <c r="FF82" s="1226"/>
      <c r="FG82" s="1226"/>
      <c r="FH82" s="1226"/>
      <c r="FI82" s="1226"/>
      <c r="FJ82" s="1226"/>
      <c r="FK82" s="1226"/>
      <c r="FL82" s="1226"/>
      <c r="FM82" s="1226"/>
      <c r="FN82" s="1226"/>
      <c r="FO82" s="1226"/>
      <c r="FP82" s="1226"/>
      <c r="FQ82" s="1226"/>
      <c r="FR82" s="1226"/>
    </row>
    <row r="83" spans="1:174" ht="33" x14ac:dyDescent="0.25">
      <c r="A83" s="1227" t="s">
        <v>1422</v>
      </c>
      <c r="B83" s="1227"/>
      <c r="C83" s="1275">
        <f>AB83</f>
        <v>3</v>
      </c>
      <c r="D83" s="1275" t="s">
        <v>901</v>
      </c>
      <c r="E83" s="1219">
        <f>COUNTIFS(ШТАТ!$AL:$AL,'БЧС Дерябин'!$A83,ШТАТ!$AK:$AK,1)</f>
        <v>3</v>
      </c>
      <c r="F83" s="1219">
        <f>COUNTIFS(ШТАТ!$AL:$AL,'БЧС Дерябин'!$A83,ШТАТ!$AK:$AK,2)</f>
        <v>0</v>
      </c>
      <c r="G83" s="1219">
        <f>COUNTIFS(ШТАТ!$AL:$AL,'БЧС Дерябин'!$A83,ШТАТ!$AK:$AK,3)</f>
        <v>0</v>
      </c>
      <c r="H83" s="1219">
        <f>COUNTIFS(ШТАТ!$AL:$AL,'БЧС Дерябин'!$A83,ШТАТ!$AK:$AK,4)</f>
        <v>1</v>
      </c>
      <c r="I83" s="1221">
        <f t="shared" si="3"/>
        <v>4</v>
      </c>
      <c r="J83" s="1219">
        <f>COUNTIFS(ШТАТ!AL:AL,A83,ШТАТ!AJ:AJ,"о")</f>
        <v>3</v>
      </c>
      <c r="K83" s="1219">
        <f>COUNTIFS(ШТАТ!AL:AL,A83,ШТАТ!AJ:AJ,"п")</f>
        <v>0</v>
      </c>
      <c r="L83" s="1219">
        <f>COUNTIFS(ШТАТ!$AL:$AL,$A83,ШТАТ!AK:AK,3,ШТАТ!AJ:AJ,"с/с")</f>
        <v>0</v>
      </c>
      <c r="M83" s="1219">
        <f>COUNTIFS(ШТАТ!$AL:$AL,$A83,ШТАТ!AK:AK,3,ШТАТ!AJ:AJ,"к/с")</f>
        <v>0</v>
      </c>
      <c r="N83" s="1222">
        <f t="shared" si="11"/>
        <v>0</v>
      </c>
      <c r="O83" s="1220">
        <f>COUNTIFS(ШТАТ!$AL:$AL,$A83,ШТАТ!AK:AK,4,ШТАТ!AJ:AJ,"с/с")</f>
        <v>0</v>
      </c>
      <c r="P83" s="1220">
        <f>COUNTIFS(ШТАТ!$AL:$AL,$A83,ШТАТ!AK:AK,4,ШТАТ!AJ:AJ,"к/с")</f>
        <v>1</v>
      </c>
      <c r="Q83" s="1222">
        <f t="shared" si="39"/>
        <v>1</v>
      </c>
      <c r="R83" s="1221">
        <f t="shared" si="13"/>
        <v>4</v>
      </c>
      <c r="S83" s="1223">
        <f t="shared" si="14"/>
        <v>1</v>
      </c>
      <c r="T83" s="1219">
        <f>COUNTIFS(ШТАТ!$AL:$AL,$A83,ШТАТ!$AJ:$AJ,"о",ШТАТ!$X:$X,"выполнение специальных задач")</f>
        <v>3</v>
      </c>
      <c r="U83" s="1219">
        <f>COUNTIFS(ШТАТ!$AL:$AL,$A83,ШТАТ!$AJ:$AJ,"п",ШТАТ!$X:$X,"выполнение специальных задач")</f>
        <v>0</v>
      </c>
      <c r="V83" s="1219">
        <f>COUNTIFS(ШТАТ!$AL:$AL,$A83,ШТАТ!$AK:$AK,3,ШТАТ!$AJ:$AJ,"с/с",ШТАТ!$X:$X,"выполнение специальных задач")</f>
        <v>0</v>
      </c>
      <c r="W83" s="1219">
        <f>COUNTIFS(ШТАТ!$AL:$AL,$A83,ШТАТ!$AK:$AK,3,ШТАТ!$AJ:$AJ,"к/с",ШТАТ!$X:$X,"выполнение специальных задач")</f>
        <v>0</v>
      </c>
      <c r="X83" s="1222">
        <f t="shared" si="4"/>
        <v>0</v>
      </c>
      <c r="Y83" s="1219">
        <f>COUNTIFS(ШТАТ!$AL:$AL,$A83,ШТАТ!$AK:$AK,4,ШТАТ!$AJ:$AJ,"с/с",ШТАТ!$X:$X,"выполнение специальных задач")</f>
        <v>0</v>
      </c>
      <c r="Z83" s="1219">
        <f>COUNTIFS(ШТАТ!$AL:$AL,$A83,ШТАТ!$AK:$AK,4,ШТАТ!$AJ:$AJ,"к/с",ШТАТ!$X:$X,"выполнение специальных задач")</f>
        <v>0</v>
      </c>
      <c r="AA83" s="1222">
        <f t="shared" si="5"/>
        <v>0</v>
      </c>
      <c r="AB83" s="1221">
        <f t="shared" si="15"/>
        <v>3</v>
      </c>
      <c r="AC83" s="1224"/>
      <c r="AD83" s="1219">
        <f>COUNTIFS(ШТАТ!$AL:$AL,$A83,ШТАТ!$AK:$AK,1,ШТАТ!$AJ:$AJ,"о",ШТАТ!$W:$W,"г. Белгород")</f>
        <v>0</v>
      </c>
      <c r="AE83" s="1219">
        <f>COUNTIFS(ШТАТ!$AL:$AL,$A83,ШТАТ!$AK:$AK,2,ШТАТ!$AJ:$AJ,"п",ШТАТ!$W:$W,"г. Белгород")</f>
        <v>0</v>
      </c>
      <c r="AF83" s="1219">
        <f>COUNTIFS(ШТАТ!$AL:$AL,$A83,ШТАТ!$AK:$AK,3,ШТАТ!$AJ:$AJ,"с/с",ШТАТ!$W:$W,"г. Белгород")</f>
        <v>0</v>
      </c>
      <c r="AG83" s="1219">
        <f>COUNTIFS(ШТАТ!$AL:$AL,$A83,ШТАТ!$AK:$AK,3,ШТАТ!$AJ:$AJ,"к/с",ШТАТ!$W:$W,"г. Белгород")</f>
        <v>0</v>
      </c>
      <c r="AH83" s="1222">
        <f t="shared" si="6"/>
        <v>0</v>
      </c>
      <c r="AI83" s="1219">
        <f>COUNTIFS(ШТАТ!$AL:$AL,$A83,ШТАТ!$AK:$AK,4,ШТАТ!$AJ:$AJ,"с/с",ШТАТ!$W:$W,"г. Белгород")</f>
        <v>0</v>
      </c>
      <c r="AJ83" s="1219">
        <f>COUNTIFS(ШТАТ!$AL:$AL,$A83,ШТАТ!$AK:$AK,4,ШТАТ!$AJ:$AJ,"к/с",ШТАТ!$W:$W,"г. Белгород")</f>
        <v>0</v>
      </c>
      <c r="AK83" s="1222">
        <f t="shared" si="7"/>
        <v>0</v>
      </c>
      <c r="AL83" s="1221">
        <f t="shared" si="16"/>
        <v>0</v>
      </c>
      <c r="AM83" s="1219">
        <f>COUNTIFS(ШТАТ!$AL:$AL,$A83,ШТАТ!$AK:$AK,1,ШТАТ!$AJ:$AJ,"о",ШТАТ!$U:$U,"")</f>
        <v>0</v>
      </c>
      <c r="AN83" s="1219">
        <f>COUNTIFS(ШТАТ!$AL:$AL,$A83,ШТАТ!$AK:$AK,2,ШТАТ!$AJ:$AJ,"п",ШТАТ!$U:$U,"")</f>
        <v>0</v>
      </c>
      <c r="AO83" s="1219">
        <f>COUNTIFS(ШТАТ!$AL:$AL,$A83,ШТАТ!$AK:$AK,3,ШТАТ!$AJ:$AJ,"с/с",ШТАТ!$U:$U,"")</f>
        <v>0</v>
      </c>
      <c r="AP83" s="1219">
        <f>COUNTIFS(ШТАТ!$AL:$AL,$A83,ШТАТ!$AK:$AK,3,ШТАТ!$AJ:$AJ,"к/с",ШТАТ!$U:$U,"")</f>
        <v>0</v>
      </c>
      <c r="AQ83" s="1222">
        <f t="shared" si="17"/>
        <v>0</v>
      </c>
      <c r="AR83" s="1219">
        <f>COUNTIFS(ШТАТ!$AL:$AL,$A83,ШТАТ!$AK:$AK,4,ШТАТ!$AJ:$AJ,"с/с",ШТАТ!$U:$U,"")</f>
        <v>0</v>
      </c>
      <c r="AS83" s="1219">
        <f>COUNTIFS(ШТАТ!$AL:$AL,$A83,ШТАТ!$AK:$AK,4,ШТАТ!$AJ:$AJ,"к/с",ШТАТ!$U:$U,"")</f>
        <v>0</v>
      </c>
      <c r="AT83" s="1222">
        <f t="shared" si="8"/>
        <v>0</v>
      </c>
      <c r="AU83" s="1221">
        <f t="shared" si="40"/>
        <v>0</v>
      </c>
      <c r="AV83" s="1219">
        <f>COUNTIFS(ШТАТ!$AL:$AL,$A83,ШТАТ!$U:$U,"госп")</f>
        <v>0</v>
      </c>
      <c r="AW83" s="1225">
        <f t="shared" si="9"/>
        <v>0</v>
      </c>
      <c r="AX83" s="1219">
        <f>COUNTIFS(ШТАТ!$AL:$AL,$A83,ШТАТ!$U:$U,"отпуск")</f>
        <v>0</v>
      </c>
      <c r="AY83" s="1219">
        <f>COUNTIFS(ШТАТ!$AL:$AL,$A83,ШТАТ!$U:$U,"соч")</f>
        <v>1</v>
      </c>
      <c r="AZ83" s="1225"/>
      <c r="BA83" s="1219">
        <f>COUNTIFS(ШТАТ!$AL:$AL,$A83,ШТАТ!$U:$U,"МП")</f>
        <v>0</v>
      </c>
      <c r="BB83" s="1226"/>
      <c r="BC83" s="1226"/>
      <c r="BD83" s="1219"/>
      <c r="BE83" s="1226"/>
      <c r="BF83" s="1226"/>
      <c r="BG83" s="1226"/>
      <c r="BH83" s="1226"/>
      <c r="BI83" s="1226"/>
      <c r="BJ83" s="1226"/>
      <c r="BK83" s="1226"/>
      <c r="BL83" s="1226"/>
      <c r="BM83" s="1226"/>
      <c r="BN83" s="1226"/>
      <c r="BO83" s="1226"/>
      <c r="BP83" s="1226"/>
      <c r="BQ83" s="1226"/>
      <c r="BR83" s="1226"/>
      <c r="BS83" s="1226"/>
      <c r="BT83" s="1226"/>
      <c r="BU83" s="1226"/>
      <c r="BV83" s="1226"/>
      <c r="BW83" s="1226"/>
      <c r="BX83" s="1226"/>
      <c r="BY83" s="1226"/>
      <c r="BZ83" s="1226"/>
      <c r="CA83" s="1226"/>
      <c r="CB83" s="1226"/>
      <c r="CC83" s="1226"/>
      <c r="CD83" s="1226"/>
      <c r="CE83" s="1226"/>
      <c r="CF83" s="1226"/>
      <c r="CG83" s="1226"/>
      <c r="CH83" s="1226"/>
      <c r="CI83" s="1226"/>
      <c r="CJ83" s="1226"/>
      <c r="CK83" s="1226"/>
      <c r="CL83" s="1226"/>
      <c r="CM83" s="1226"/>
      <c r="CN83" s="1226"/>
      <c r="CO83" s="1226"/>
      <c r="CP83" s="1226"/>
      <c r="CQ83" s="1226"/>
      <c r="CR83" s="1226"/>
      <c r="CS83" s="1226"/>
      <c r="CT83" s="1226"/>
      <c r="CU83" s="1226"/>
      <c r="CV83" s="1226"/>
      <c r="CW83" s="1226"/>
      <c r="CX83" s="1226"/>
      <c r="CY83" s="1226"/>
      <c r="CZ83" s="1226"/>
      <c r="DA83" s="1226"/>
      <c r="DB83" s="1226"/>
      <c r="DC83" s="1226"/>
      <c r="DD83" s="1226"/>
      <c r="DE83" s="1226"/>
      <c r="DF83" s="1226"/>
      <c r="DG83" s="1226"/>
      <c r="DH83" s="1226"/>
      <c r="DI83" s="1226"/>
      <c r="DJ83" s="1226"/>
      <c r="DK83" s="1226"/>
      <c r="DL83" s="1226"/>
      <c r="DM83" s="1226"/>
      <c r="DN83" s="1226"/>
      <c r="DO83" s="1226"/>
      <c r="DP83" s="1226"/>
      <c r="DQ83" s="1226"/>
      <c r="DR83" s="1226"/>
      <c r="DS83" s="1226"/>
      <c r="DT83" s="1226"/>
      <c r="DU83" s="1226"/>
      <c r="DV83" s="1226">
        <f>COUNTIFS(ШТАТ!$AN:$AN,"Урал-4320-31",ШТАТ!AL:AL,"Управление")</f>
        <v>0</v>
      </c>
      <c r="DW83" s="1226"/>
      <c r="DX83" s="1226"/>
      <c r="DY83" s="1226"/>
      <c r="DZ83" s="1226"/>
      <c r="EA83" s="1226"/>
      <c r="EB83" s="1226"/>
      <c r="EC83" s="1226"/>
      <c r="ED83" s="1226"/>
      <c r="EE83" s="1226"/>
      <c r="EF83" s="1226"/>
      <c r="EG83" s="1226"/>
      <c r="EH83" s="1226"/>
      <c r="EI83" s="1226"/>
      <c r="EJ83" s="1226"/>
      <c r="EK83" s="1226"/>
      <c r="EL83" s="1226"/>
      <c r="EM83" s="1226"/>
      <c r="EN83" s="1226"/>
      <c r="EO83" s="1226"/>
      <c r="EP83" s="1226"/>
      <c r="EQ83" s="1226"/>
      <c r="ER83" s="1226"/>
      <c r="ES83" s="1226"/>
      <c r="ET83" s="1226"/>
      <c r="EU83" s="1226"/>
      <c r="EV83" s="1226"/>
      <c r="EW83" s="1226"/>
      <c r="EX83" s="1226"/>
      <c r="EY83" s="1226"/>
      <c r="EZ83" s="1226"/>
      <c r="FA83" s="1226"/>
      <c r="FB83" s="1226"/>
      <c r="FC83" s="1226"/>
      <c r="FD83" s="1226"/>
      <c r="FE83" s="1226"/>
      <c r="FF83" s="1226"/>
      <c r="FG83" s="1226"/>
      <c r="FH83" s="1226"/>
      <c r="FI83" s="1226"/>
      <c r="FJ83" s="1226"/>
      <c r="FK83" s="1226"/>
      <c r="FL83" s="1226"/>
      <c r="FM83" s="1226"/>
      <c r="FN83" s="1226"/>
      <c r="FO83" s="1226"/>
      <c r="FP83" s="1226"/>
      <c r="FQ83" s="1226"/>
      <c r="FR83" s="1226"/>
    </row>
    <row r="84" spans="1:174" ht="33" x14ac:dyDescent="0.25">
      <c r="A84" s="1227" t="s">
        <v>558</v>
      </c>
      <c r="B84" s="1227"/>
      <c r="C84" s="1275">
        <f t="shared" ref="C84:C94" si="43">AB84</f>
        <v>6</v>
      </c>
      <c r="D84" s="1275" t="s">
        <v>901</v>
      </c>
      <c r="E84" s="1219">
        <f>COUNTIFS(ШТАТ!$AL:$AL,'БЧС Дерябин'!$A84,ШТАТ!$AK:$AK,1)</f>
        <v>5</v>
      </c>
      <c r="F84" s="1219">
        <f>COUNTIFS(ШТАТ!$AL:$AL,'БЧС Дерябин'!$A84,ШТАТ!$AK:$AK,2)</f>
        <v>3</v>
      </c>
      <c r="G84" s="1219">
        <f>COUNTIFS(ШТАТ!$AL:$AL,'БЧС Дерябин'!$A84,ШТАТ!$AK:$AK,3)</f>
        <v>10</v>
      </c>
      <c r="H84" s="1219">
        <f>COUNTIFS(ШТАТ!$AL:$AL,'БЧС Дерябин'!$A84,ШТАТ!$AK:$AK,4)</f>
        <v>75</v>
      </c>
      <c r="I84" s="1221">
        <f t="shared" si="3"/>
        <v>93</v>
      </c>
      <c r="J84" s="1219">
        <f>COUNTIFS(ШТАТ!AL:AL,A84,ШТАТ!AJ:AJ,"о")</f>
        <v>5</v>
      </c>
      <c r="K84" s="1219">
        <f>COUNTIFS(ШТАТ!AL:AL,A84,ШТАТ!AJ:AJ,"п")</f>
        <v>2</v>
      </c>
      <c r="L84" s="1219">
        <f>COUNTIFS(ШТАТ!$AL:$AL,$A84,ШТАТ!AK:AK,3,ШТАТ!AJ:AJ,"с/с")</f>
        <v>0</v>
      </c>
      <c r="M84" s="1219">
        <f>COUNTIFS(ШТАТ!$AL:$AL,$A84,ШТАТ!AK:AK,3,ШТАТ!AJ:AJ,"к/с")</f>
        <v>10</v>
      </c>
      <c r="N84" s="1222">
        <f t="shared" si="11"/>
        <v>10</v>
      </c>
      <c r="O84" s="1220">
        <f>COUNTIFS(ШТАТ!$AL:$AL,$A84,ШТАТ!AK:AK,4,ШТАТ!AJ:AJ,"с/с")</f>
        <v>0</v>
      </c>
      <c r="P84" s="1220">
        <f>COUNTIFS(ШТАТ!$AL:$AL,$A84,ШТАТ!AK:AK,4,ШТАТ!AJ:AJ,"к/с")</f>
        <v>60</v>
      </c>
      <c r="Q84" s="1222">
        <f t="shared" si="39"/>
        <v>60</v>
      </c>
      <c r="R84" s="1221">
        <f t="shared" si="13"/>
        <v>77</v>
      </c>
      <c r="S84" s="1223">
        <f t="shared" si="14"/>
        <v>0.82795698924731187</v>
      </c>
      <c r="T84" s="1219">
        <f>COUNTIFS(ШТАТ!$AL:$AL,$A84,ШТАТ!$AJ:$AJ,"о",ШТАТ!$X:$X,"выполнение специальных задач")</f>
        <v>3</v>
      </c>
      <c r="U84" s="1219">
        <f>COUNTIFS(ШТАТ!$AL:$AL,$A84,ШТАТ!$AJ:$AJ,"п",ШТАТ!$X:$X,"выполнение специальных задач")</f>
        <v>1</v>
      </c>
      <c r="V84" s="1219">
        <f>COUNTIFS(ШТАТ!$AL:$AL,$A84,ШТАТ!$AK:$AK,3,ШТАТ!$AJ:$AJ,"с/с",ШТАТ!$X:$X,"выполнение специальных задач")</f>
        <v>0</v>
      </c>
      <c r="W84" s="1219">
        <f>COUNTIFS(ШТАТ!$AL:$AL,$A84,ШТАТ!$AK:$AK,3,ШТАТ!$AJ:$AJ,"к/с",ШТАТ!$X:$X,"выполнение специальных задач")</f>
        <v>0</v>
      </c>
      <c r="X84" s="1222">
        <f t="shared" si="4"/>
        <v>0</v>
      </c>
      <c r="Y84" s="1219">
        <f>COUNTIFS(ШТАТ!$AL:$AL,$A84,ШТАТ!$AK:$AK,4,ШТАТ!$AJ:$AJ,"с/с",ШТАТ!$X:$X,"выполнение специальных задач")</f>
        <v>0</v>
      </c>
      <c r="Z84" s="1219">
        <f>COUNTIFS(ШТАТ!$AL:$AL,$A84,ШТАТ!$AK:$AK,4,ШТАТ!$AJ:$AJ,"к/с",ШТАТ!$X:$X,"выполнение специальных задач")</f>
        <v>2</v>
      </c>
      <c r="AA84" s="1222">
        <f t="shared" si="5"/>
        <v>2</v>
      </c>
      <c r="AB84" s="1221">
        <f t="shared" si="15"/>
        <v>6</v>
      </c>
      <c r="AC84" s="1224"/>
      <c r="AD84" s="1219">
        <f>COUNTIFS(ШТАТ!$AL:$AL,$A84,ШТАТ!$AK:$AK,1,ШТАТ!$AJ:$AJ,"о",ШТАТ!$W:$W,"г. Белгород")</f>
        <v>1</v>
      </c>
      <c r="AE84" s="1219">
        <f>COUNTIFS(ШТАТ!$AL:$AL,$A84,ШТАТ!$AK:$AK,2,ШТАТ!$AJ:$AJ,"п",ШТАТ!$W:$W,"г. Белгород")</f>
        <v>0</v>
      </c>
      <c r="AF84" s="1219">
        <f>COUNTIFS(ШТАТ!$AL:$AL,$A84,ШТАТ!$AK:$AK,3,ШТАТ!$AJ:$AJ,"с/с",ШТАТ!$W:$W,"г. Белгород")</f>
        <v>0</v>
      </c>
      <c r="AG84" s="1219">
        <f>COUNTIFS(ШТАТ!$AL:$AL,$A84,ШТАТ!$AK:$AK,3,ШТАТ!$AJ:$AJ,"к/с",ШТАТ!$W:$W,"г. Белгород")</f>
        <v>9</v>
      </c>
      <c r="AH84" s="1222">
        <f t="shared" si="6"/>
        <v>9</v>
      </c>
      <c r="AI84" s="1219">
        <f>COUNTIFS(ШТАТ!$AL:$AL,$A84,ШТАТ!$AK:$AK,4,ШТАТ!$AJ:$AJ,"с/с",ШТАТ!$W:$W,"г. Белгород")</f>
        <v>0</v>
      </c>
      <c r="AJ84" s="1219">
        <f>COUNTIFS(ШТАТ!$AL:$AL,$A84,ШТАТ!$AK:$AK,4,ШТАТ!$AJ:$AJ,"к/с",ШТАТ!$W:$W,"г. Белгород")</f>
        <v>54</v>
      </c>
      <c r="AK84" s="1222">
        <f t="shared" si="7"/>
        <v>54</v>
      </c>
      <c r="AL84" s="1221">
        <f t="shared" si="16"/>
        <v>64</v>
      </c>
      <c r="AM84" s="1219">
        <f>COUNTIFS(ШТАТ!$AL:$AL,$A84,ШТАТ!$AK:$AK,1,ШТАТ!$AJ:$AJ,"о",ШТАТ!$U:$U,"")</f>
        <v>0</v>
      </c>
      <c r="AN84" s="1219">
        <f>COUNTIFS(ШТАТ!$AL:$AL,$A84,ШТАТ!$AK:$AK,2,ШТАТ!$AJ:$AJ,"п",ШТАТ!$U:$U,"")</f>
        <v>1</v>
      </c>
      <c r="AO84" s="1219">
        <f>COUNTIFS(ШТАТ!$AL:$AL,$A84,ШТАТ!$AK:$AK,3,ШТАТ!$AJ:$AJ,"с/с",ШТАТ!$U:$U,"")</f>
        <v>0</v>
      </c>
      <c r="AP84" s="1219">
        <f>COUNTIFS(ШТАТ!$AL:$AL,$A84,ШТАТ!$AK:$AK,3,ШТАТ!$AJ:$AJ,"к/с",ШТАТ!$U:$U,"")</f>
        <v>0</v>
      </c>
      <c r="AQ84" s="1222">
        <f t="shared" si="17"/>
        <v>0</v>
      </c>
      <c r="AR84" s="1219">
        <f>COUNTIFS(ШТАТ!$AL:$AL,$A84,ШТАТ!$AK:$AK,4,ШТАТ!$AJ:$AJ,"с/с",ШТАТ!$U:$U,"")</f>
        <v>0</v>
      </c>
      <c r="AS84" s="1219">
        <f>COUNTIFS(ШТАТ!$AL:$AL,$A84,ШТАТ!$AK:$AK,4,ШТАТ!$AJ:$AJ,"к/с",ШТАТ!$U:$U,"")</f>
        <v>0</v>
      </c>
      <c r="AT84" s="1222">
        <f t="shared" si="8"/>
        <v>0</v>
      </c>
      <c r="AU84" s="1221">
        <f t="shared" si="40"/>
        <v>1</v>
      </c>
      <c r="AV84" s="1219">
        <f>COUNTIFS(ШТАТ!$AL:$AL,$A84,ШТАТ!$U:$U,"госп")</f>
        <v>1</v>
      </c>
      <c r="AW84" s="1225">
        <f t="shared" si="9"/>
        <v>1</v>
      </c>
      <c r="AX84" s="1219">
        <f>COUNTIFS(ШТАТ!$AL:$AL,$A84,ШТАТ!$U:$U,"отпуск")</f>
        <v>1</v>
      </c>
      <c r="AY84" s="1219">
        <f>COUNTIFS(ШТАТ!$AL:$AL,$A84,ШТАТ!$U:$U,"соч")</f>
        <v>3</v>
      </c>
      <c r="AZ84" s="1225"/>
      <c r="BA84" s="1219">
        <f>COUNTIFS(ШТАТ!$AL:$AL,$A84,ШТАТ!$U:$U,"МП")</f>
        <v>0</v>
      </c>
      <c r="BB84" s="1226"/>
      <c r="BC84" s="1226"/>
      <c r="BD84" s="1219"/>
      <c r="BE84" s="1226"/>
      <c r="BF84" s="1226"/>
      <c r="BG84" s="1226"/>
      <c r="BH84" s="1226"/>
      <c r="BI84" s="1226"/>
      <c r="BJ84" s="1226"/>
      <c r="BK84" s="1226"/>
      <c r="BL84" s="1226"/>
      <c r="BM84" s="1226"/>
      <c r="BN84" s="1226"/>
      <c r="BO84" s="1226"/>
      <c r="BP84" s="1226"/>
      <c r="BQ84" s="1226"/>
      <c r="BR84" s="1226"/>
      <c r="BS84" s="1226"/>
      <c r="BT84" s="1226"/>
      <c r="BU84" s="1226"/>
      <c r="BV84" s="1226"/>
      <c r="BW84" s="1226"/>
      <c r="BX84" s="1226"/>
      <c r="BY84" s="1226"/>
      <c r="BZ84" s="1226"/>
      <c r="CA84" s="1226"/>
      <c r="CB84" s="1226"/>
      <c r="CC84" s="1226"/>
      <c r="CD84" s="1226"/>
      <c r="CE84" s="1226"/>
      <c r="CF84" s="1226"/>
      <c r="CG84" s="1226"/>
      <c r="CH84" s="1226"/>
      <c r="CI84" s="1226"/>
      <c r="CJ84" s="1226"/>
      <c r="CK84" s="1226"/>
      <c r="CL84" s="1226"/>
      <c r="CM84" s="1226"/>
      <c r="CN84" s="1226"/>
      <c r="CO84" s="1226"/>
      <c r="CP84" s="1226"/>
      <c r="CQ84" s="1226"/>
      <c r="CR84" s="1226"/>
      <c r="CS84" s="1226"/>
      <c r="CT84" s="1226"/>
      <c r="CU84" s="1226"/>
      <c r="CV84" s="1226"/>
      <c r="CW84" s="1226"/>
      <c r="CX84" s="1226"/>
      <c r="CY84" s="1226"/>
      <c r="CZ84" s="1226"/>
      <c r="DA84" s="1226"/>
      <c r="DB84" s="1226"/>
      <c r="DC84" s="1226"/>
      <c r="DD84" s="1226">
        <v>9</v>
      </c>
      <c r="DE84" s="1226"/>
      <c r="DF84" s="1226"/>
      <c r="DG84" s="1226"/>
      <c r="DH84" s="1226"/>
      <c r="DI84" s="1226"/>
      <c r="DJ84" s="1226"/>
      <c r="DK84" s="1226"/>
      <c r="DL84" s="1226"/>
      <c r="DM84" s="1226"/>
      <c r="DN84" s="1226"/>
      <c r="DO84" s="1226"/>
      <c r="DP84" s="1226"/>
      <c r="DQ84" s="1226"/>
      <c r="DR84" s="1226"/>
      <c r="DS84" s="1226"/>
      <c r="DT84" s="1226"/>
      <c r="DU84" s="1226"/>
      <c r="DV84" s="1226">
        <f>COUNTIFS(ШТАТ!$AN:$AN,"Урал-4320-31",ШТАТ!AL:AL,"Управление")</f>
        <v>0</v>
      </c>
      <c r="DW84" s="1226"/>
      <c r="DX84" s="1226"/>
      <c r="DY84" s="1226"/>
      <c r="DZ84" s="1226"/>
      <c r="EA84" s="1226"/>
      <c r="EB84" s="1226"/>
      <c r="EC84" s="1226"/>
      <c r="ED84" s="1226"/>
      <c r="EE84" s="1226"/>
      <c r="EF84" s="1226"/>
      <c r="EG84" s="1226"/>
      <c r="EH84" s="1226"/>
      <c r="EI84" s="1226"/>
      <c r="EJ84" s="1226"/>
      <c r="EK84" s="1226"/>
      <c r="EL84" s="1226"/>
      <c r="EM84" s="1226"/>
      <c r="EN84" s="1226"/>
      <c r="EO84" s="1226"/>
      <c r="EP84" s="1226"/>
      <c r="EQ84" s="1226"/>
      <c r="ER84" s="1226"/>
      <c r="ES84" s="1226"/>
      <c r="ET84" s="1226"/>
      <c r="EU84" s="1226"/>
      <c r="EV84" s="1226"/>
      <c r="EW84" s="1226"/>
      <c r="EX84" s="1226"/>
      <c r="EY84" s="1226"/>
      <c r="EZ84" s="1226"/>
      <c r="FA84" s="1226"/>
      <c r="FB84" s="1226"/>
      <c r="FC84" s="1226"/>
      <c r="FD84" s="1226"/>
      <c r="FE84" s="1226"/>
      <c r="FF84" s="1226"/>
      <c r="FG84" s="1226"/>
      <c r="FH84" s="1226"/>
      <c r="FI84" s="1226"/>
      <c r="FJ84" s="1226"/>
      <c r="FK84" s="1226"/>
      <c r="FL84" s="1226"/>
      <c r="FM84" s="1226"/>
      <c r="FN84" s="1226"/>
      <c r="FO84" s="1226"/>
      <c r="FP84" s="1226"/>
      <c r="FQ84" s="1226"/>
      <c r="FR84" s="1226"/>
    </row>
    <row r="85" spans="1:174" ht="33" x14ac:dyDescent="0.25">
      <c r="A85" s="1227" t="s">
        <v>573</v>
      </c>
      <c r="B85" s="1227"/>
      <c r="C85" s="1275">
        <f t="shared" si="43"/>
        <v>1</v>
      </c>
      <c r="D85" s="1275" t="s">
        <v>901</v>
      </c>
      <c r="E85" s="1219">
        <f>COUNTIFS(ШТАТ!$AL:$AL,'БЧС Дерябин'!$A85,ШТАТ!$AK:$AK,1)</f>
        <v>0</v>
      </c>
      <c r="F85" s="1219">
        <f>COUNTIFS(ШТАТ!$AL:$AL,'БЧС Дерябин'!$A85,ШТАТ!$AK:$AK,2)</f>
        <v>0</v>
      </c>
      <c r="G85" s="1219">
        <f>COUNTIFS(ШТАТ!$AL:$AL,'БЧС Дерябин'!$A85,ШТАТ!$AK:$AK,3)</f>
        <v>1</v>
      </c>
      <c r="H85" s="1219">
        <f>COUNTIFS(ШТАТ!$AL:$AL,'БЧС Дерябин'!$A85,ШТАТ!$AK:$AK,4)</f>
        <v>5</v>
      </c>
      <c r="I85" s="1221">
        <f t="shared" si="3"/>
        <v>6</v>
      </c>
      <c r="J85" s="1219">
        <f>COUNTIFS(ШТАТ!AL:AL,A85,ШТАТ!AJ:AJ,"о")</f>
        <v>0</v>
      </c>
      <c r="K85" s="1219">
        <f>COUNTIFS(ШТАТ!AL:AL,A85,ШТАТ!AJ:AJ,"п")</f>
        <v>0</v>
      </c>
      <c r="L85" s="1219">
        <f>COUNTIFS(ШТАТ!$AL:$AL,$A85,ШТАТ!AK:AK,3,ШТАТ!AJ:AJ,"с/с")</f>
        <v>0</v>
      </c>
      <c r="M85" s="1219">
        <f>COUNTIFS(ШТАТ!$AL:$AL,$A85,ШТАТ!AK:AK,3,ШТАТ!AJ:AJ,"к/с")</f>
        <v>1</v>
      </c>
      <c r="N85" s="1222">
        <f t="shared" si="11"/>
        <v>1</v>
      </c>
      <c r="O85" s="1220">
        <f>COUNTIFS(ШТАТ!$AL:$AL,$A85,ШТАТ!AK:AK,4,ШТАТ!AJ:AJ,"с/с")</f>
        <v>0</v>
      </c>
      <c r="P85" s="1220">
        <f>COUNTIFS(ШТАТ!$AL:$AL,$A85,ШТАТ!AK:AK,4,ШТАТ!AJ:AJ,"к/с")</f>
        <v>5</v>
      </c>
      <c r="Q85" s="1222">
        <f t="shared" si="39"/>
        <v>5</v>
      </c>
      <c r="R85" s="1221">
        <f t="shared" si="13"/>
        <v>6</v>
      </c>
      <c r="S85" s="1223">
        <f t="shared" si="14"/>
        <v>1</v>
      </c>
      <c r="T85" s="1219">
        <f>COUNTIFS(ШТАТ!$AL:$AL,$A85,ШТАТ!$AJ:$AJ,"о",ШТАТ!$X:$X,"выполнение специальных задач")</f>
        <v>0</v>
      </c>
      <c r="U85" s="1219">
        <f>COUNTIFS(ШТАТ!$AL:$AL,$A85,ШТАТ!$AJ:$AJ,"п",ШТАТ!$X:$X,"выполнение специальных задач")</f>
        <v>0</v>
      </c>
      <c r="V85" s="1219">
        <f>COUNTIFS(ШТАТ!$AL:$AL,$A85,ШТАТ!$AK:$AK,3,ШТАТ!$AJ:$AJ,"с/с",ШТАТ!$X:$X,"выполнение специальных задач")</f>
        <v>0</v>
      </c>
      <c r="W85" s="1219">
        <f>COUNTIFS(ШТАТ!$AL:$AL,$A85,ШТАТ!$AK:$AK,3,ШТАТ!$AJ:$AJ,"к/с",ШТАТ!$X:$X,"выполнение специальных задач")</f>
        <v>0</v>
      </c>
      <c r="X85" s="1222">
        <f t="shared" si="4"/>
        <v>0</v>
      </c>
      <c r="Y85" s="1219">
        <f>COUNTIFS(ШТАТ!$AL:$AL,$A85,ШТАТ!$AK:$AK,4,ШТАТ!$AJ:$AJ,"с/с",ШТАТ!$X:$X,"выполнение специальных задач")</f>
        <v>0</v>
      </c>
      <c r="Z85" s="1219">
        <f>COUNTIFS(ШТАТ!$AL:$AL,$A85,ШТАТ!$AK:$AK,4,ШТАТ!$AJ:$AJ,"к/с",ШТАТ!$X:$X,"выполнение специальных задач")</f>
        <v>1</v>
      </c>
      <c r="AA85" s="1222">
        <f t="shared" si="5"/>
        <v>1</v>
      </c>
      <c r="AB85" s="1221">
        <f t="shared" si="15"/>
        <v>1</v>
      </c>
      <c r="AC85" s="1224"/>
      <c r="AD85" s="1219">
        <f>COUNTIFS(ШТАТ!$AL:$AL,$A85,ШТАТ!$AK:$AK,1,ШТАТ!$AJ:$AJ,"о",ШТАТ!$W:$W,"г. Белгород")</f>
        <v>0</v>
      </c>
      <c r="AE85" s="1219">
        <f>COUNTIFS(ШТАТ!$AL:$AL,$A85,ШТАТ!$AK:$AK,2,ШТАТ!$AJ:$AJ,"п",ШТАТ!$W:$W,"г. Белгород")</f>
        <v>0</v>
      </c>
      <c r="AF85" s="1219">
        <f>COUNTIFS(ШТАТ!$AL:$AL,$A85,ШТАТ!$AK:$AK,3,ШТАТ!$AJ:$AJ,"с/с",ШТАТ!$W:$W,"г. Белгород")</f>
        <v>0</v>
      </c>
      <c r="AG85" s="1219">
        <f>COUNTIFS(ШТАТ!$AL:$AL,$A85,ШТАТ!$AK:$AK,3,ШТАТ!$AJ:$AJ,"к/с",ШТАТ!$W:$W,"г. Белгород")</f>
        <v>0</v>
      </c>
      <c r="AH85" s="1222">
        <f t="shared" si="6"/>
        <v>0</v>
      </c>
      <c r="AI85" s="1219">
        <f>COUNTIFS(ШТАТ!$AL:$AL,$A85,ШТАТ!$AK:$AK,4,ШТАТ!$AJ:$AJ,"с/с",ШТАТ!$W:$W,"г. Белгород")</f>
        <v>0</v>
      </c>
      <c r="AJ85" s="1219">
        <f>COUNTIFS(ШТАТ!$AL:$AL,$A85,ШТАТ!$AK:$AK,4,ШТАТ!$AJ:$AJ,"к/с",ШТАТ!$W:$W,"г. Белгород")</f>
        <v>4</v>
      </c>
      <c r="AK85" s="1222">
        <f t="shared" si="7"/>
        <v>4</v>
      </c>
      <c r="AL85" s="1221">
        <f t="shared" si="16"/>
        <v>4</v>
      </c>
      <c r="AM85" s="1219">
        <f>COUNTIFS(ШТАТ!$AL:$AL,$A85,ШТАТ!$AK:$AK,1,ШТАТ!$AJ:$AJ,"о",ШТАТ!$U:$U,"")</f>
        <v>0</v>
      </c>
      <c r="AN85" s="1219">
        <f>COUNTIFS(ШТАТ!$AL:$AL,$A85,ШТАТ!$AK:$AK,2,ШТАТ!$AJ:$AJ,"п",ШТАТ!$U:$U,"")</f>
        <v>0</v>
      </c>
      <c r="AO85" s="1219">
        <f>COUNTIFS(ШТАТ!$AL:$AL,$A85,ШТАТ!$AK:$AK,3,ШТАТ!$AJ:$AJ,"с/с",ШТАТ!$U:$U,"")</f>
        <v>0</v>
      </c>
      <c r="AP85" s="1219">
        <f>COUNTIFS(ШТАТ!$AL:$AL,$A85,ШТАТ!$AK:$AK,3,ШТАТ!$AJ:$AJ,"к/с",ШТАТ!$U:$U,"")</f>
        <v>1</v>
      </c>
      <c r="AQ85" s="1222">
        <f t="shared" si="17"/>
        <v>1</v>
      </c>
      <c r="AR85" s="1219">
        <f>COUNTIFS(ШТАТ!$AL:$AL,$A85,ШТАТ!$AK:$AK,4,ШТАТ!$AJ:$AJ,"с/с",ШТАТ!$U:$U,"")</f>
        <v>0</v>
      </c>
      <c r="AS85" s="1219">
        <f>COUNTIFS(ШТАТ!$AL:$AL,$A85,ШТАТ!$AK:$AK,4,ШТАТ!$AJ:$AJ,"к/с",ШТАТ!$U:$U,"")</f>
        <v>0</v>
      </c>
      <c r="AT85" s="1222">
        <f t="shared" si="8"/>
        <v>0</v>
      </c>
      <c r="AU85" s="1221">
        <f t="shared" si="40"/>
        <v>1</v>
      </c>
      <c r="AV85" s="1219">
        <f>COUNTIFS(ШТАТ!$AL:$AL,$A85,ШТАТ!$U:$U,"госп")</f>
        <v>0</v>
      </c>
      <c r="AW85" s="1225">
        <f t="shared" si="9"/>
        <v>0</v>
      </c>
      <c r="AX85" s="1219">
        <f>COUNTIFS(ШТАТ!$AL:$AL,$A85,ШТАТ!$U:$U,"отпуск")</f>
        <v>0</v>
      </c>
      <c r="AY85" s="1219">
        <f>COUNTIFS(ШТАТ!$AL:$AL,$A85,ШТАТ!$U:$U,"соч")</f>
        <v>0</v>
      </c>
      <c r="AZ85" s="1225"/>
      <c r="BA85" s="1219">
        <f>COUNTIFS(ШТАТ!$AL:$AL,$A85,ШТАТ!$U:$U,"МП")</f>
        <v>0</v>
      </c>
      <c r="BB85" s="1226"/>
      <c r="BC85" s="1226"/>
      <c r="BD85" s="1219"/>
      <c r="BE85" s="1226"/>
      <c r="BF85" s="1226"/>
      <c r="BG85" s="1226"/>
      <c r="BH85" s="1226"/>
      <c r="BI85" s="1226"/>
      <c r="BJ85" s="1226"/>
      <c r="BK85" s="1226"/>
      <c r="BL85" s="1226"/>
      <c r="BM85" s="1226"/>
      <c r="BN85" s="1226"/>
      <c r="BO85" s="1226"/>
      <c r="BP85" s="1226"/>
      <c r="BQ85" s="1226"/>
      <c r="BR85" s="1226"/>
      <c r="BS85" s="1226"/>
      <c r="BT85" s="1226"/>
      <c r="BU85" s="1226"/>
      <c r="BV85" s="1226"/>
      <c r="BW85" s="1226"/>
      <c r="BX85" s="1226"/>
      <c r="BY85" s="1226"/>
      <c r="BZ85" s="1226"/>
      <c r="CA85" s="1226"/>
      <c r="CB85" s="1226"/>
      <c r="CC85" s="1226"/>
      <c r="CD85" s="1226"/>
      <c r="CE85" s="1226"/>
      <c r="CF85" s="1226"/>
      <c r="CG85" s="1226"/>
      <c r="CH85" s="1226"/>
      <c r="CI85" s="1226"/>
      <c r="CJ85" s="1226"/>
      <c r="CK85" s="1226"/>
      <c r="CL85" s="1226"/>
      <c r="CM85" s="1226"/>
      <c r="CN85" s="1226"/>
      <c r="CO85" s="1226"/>
      <c r="CP85" s="1226"/>
      <c r="CQ85" s="1226"/>
      <c r="CR85" s="1226"/>
      <c r="CS85" s="1226"/>
      <c r="CT85" s="1226"/>
      <c r="CU85" s="1226"/>
      <c r="CV85" s="1226"/>
      <c r="CW85" s="1226"/>
      <c r="CX85" s="1226"/>
      <c r="CY85" s="1226"/>
      <c r="CZ85" s="1226"/>
      <c r="DA85" s="1226"/>
      <c r="DB85" s="1226"/>
      <c r="DC85" s="1226"/>
      <c r="DD85" s="1226"/>
      <c r="DE85" s="1226"/>
      <c r="DF85" s="1226"/>
      <c r="DG85" s="1226"/>
      <c r="DH85" s="1226"/>
      <c r="DI85" s="1226"/>
      <c r="DJ85" s="1226"/>
      <c r="DK85" s="1226"/>
      <c r="DL85" s="1226"/>
      <c r="DM85" s="1226"/>
      <c r="DN85" s="1226"/>
      <c r="DO85" s="1226"/>
      <c r="DP85" s="1226"/>
      <c r="DQ85" s="1226"/>
      <c r="DR85" s="1226"/>
      <c r="DS85" s="1226"/>
      <c r="DT85" s="1226"/>
      <c r="DU85" s="1226"/>
      <c r="DV85" s="1226">
        <f>COUNTIFS(ШТАТ!$AN:$AN,"Урал-4320-31",ШТАТ!AL:AL,"Управление")</f>
        <v>0</v>
      </c>
      <c r="DW85" s="1226"/>
      <c r="DX85" s="1226"/>
      <c r="DY85" s="1226"/>
      <c r="DZ85" s="1226"/>
      <c r="EA85" s="1226"/>
      <c r="EB85" s="1226"/>
      <c r="EC85" s="1226"/>
      <c r="ED85" s="1226"/>
      <c r="EE85" s="1226"/>
      <c r="EF85" s="1226"/>
      <c r="EG85" s="1226"/>
      <c r="EH85" s="1226"/>
      <c r="EI85" s="1226"/>
      <c r="EJ85" s="1226"/>
      <c r="EK85" s="1226"/>
      <c r="EL85" s="1226"/>
      <c r="EM85" s="1226"/>
      <c r="EN85" s="1226"/>
      <c r="EO85" s="1226"/>
      <c r="EP85" s="1226"/>
      <c r="EQ85" s="1226"/>
      <c r="ER85" s="1226"/>
      <c r="ES85" s="1226"/>
      <c r="ET85" s="1226"/>
      <c r="EU85" s="1226"/>
      <c r="EV85" s="1226"/>
      <c r="EW85" s="1226"/>
      <c r="EX85" s="1226"/>
      <c r="EY85" s="1226"/>
      <c r="EZ85" s="1226"/>
      <c r="FA85" s="1226"/>
      <c r="FB85" s="1226"/>
      <c r="FC85" s="1226"/>
      <c r="FD85" s="1226"/>
      <c r="FE85" s="1226"/>
      <c r="FF85" s="1226"/>
      <c r="FG85" s="1226"/>
      <c r="FH85" s="1226"/>
      <c r="FI85" s="1226"/>
      <c r="FJ85" s="1226"/>
      <c r="FK85" s="1226"/>
      <c r="FL85" s="1226"/>
      <c r="FM85" s="1226"/>
      <c r="FN85" s="1226"/>
      <c r="FO85" s="1226"/>
      <c r="FP85" s="1226"/>
      <c r="FQ85" s="1226"/>
      <c r="FR85" s="1226"/>
    </row>
    <row r="86" spans="1:174" ht="33" x14ac:dyDescent="0.25">
      <c r="A86" s="1227" t="s">
        <v>575</v>
      </c>
      <c r="B86" s="1227"/>
      <c r="C86" s="1275">
        <f t="shared" si="43"/>
        <v>0</v>
      </c>
      <c r="D86" s="1275" t="s">
        <v>901</v>
      </c>
      <c r="E86" s="1219">
        <f>COUNTIFS(ШТАТ!$AL:$AL,'БЧС Дерябин'!$A86,ШТАТ!$AK:$AK,1)</f>
        <v>0</v>
      </c>
      <c r="F86" s="1219">
        <f>COUNTIFS(ШТАТ!$AL:$AL,'БЧС Дерябин'!$A86,ШТАТ!$AK:$AK,2)</f>
        <v>0</v>
      </c>
      <c r="G86" s="1219">
        <f>COUNTIFS(ШТАТ!$AL:$AL,'БЧС Дерябин'!$A86,ШТАТ!$AK:$AK,3)</f>
        <v>1</v>
      </c>
      <c r="H86" s="1219">
        <f>COUNTIFS(ШТАТ!$AL:$AL,'БЧС Дерябин'!$A86,ШТАТ!$AK:$AK,4)</f>
        <v>2</v>
      </c>
      <c r="I86" s="1221">
        <f t="shared" si="3"/>
        <v>3</v>
      </c>
      <c r="J86" s="1219">
        <f>COUNTIFS(ШТАТ!AL:AL,A86,ШТАТ!AJ:AJ,"о")</f>
        <v>0</v>
      </c>
      <c r="K86" s="1219">
        <f>COUNTIFS(ШТАТ!AL:AL,A86,ШТАТ!AJ:AJ,"п")</f>
        <v>0</v>
      </c>
      <c r="L86" s="1219">
        <f>COUNTIFS(ШТАТ!$AL:$AL,$A86,ШТАТ!AK:AK,3,ШТАТ!AJ:AJ,"с/с")</f>
        <v>0</v>
      </c>
      <c r="M86" s="1219">
        <f>COUNTIFS(ШТАТ!$AL:$AL,$A86,ШТАТ!AK:AK,3,ШТАТ!AJ:AJ,"к/с")</f>
        <v>1</v>
      </c>
      <c r="N86" s="1222">
        <f t="shared" si="11"/>
        <v>1</v>
      </c>
      <c r="O86" s="1220">
        <f>COUNTIFS(ШТАТ!$AL:$AL,$A86,ШТАТ!AK:AK,4,ШТАТ!AJ:AJ,"с/с")</f>
        <v>0</v>
      </c>
      <c r="P86" s="1220">
        <f>COUNTIFS(ШТАТ!$AL:$AL,$A86,ШТАТ!AK:AK,4,ШТАТ!AJ:AJ,"к/с")</f>
        <v>2</v>
      </c>
      <c r="Q86" s="1222">
        <f t="shared" si="39"/>
        <v>2</v>
      </c>
      <c r="R86" s="1221">
        <f t="shared" si="13"/>
        <v>3</v>
      </c>
      <c r="S86" s="1223">
        <f t="shared" si="14"/>
        <v>1</v>
      </c>
      <c r="T86" s="1219">
        <f>COUNTIFS(ШТАТ!$AL:$AL,$A86,ШТАТ!$AJ:$AJ,"о",ШТАТ!$X:$X,"выполнение специальных задач")</f>
        <v>0</v>
      </c>
      <c r="U86" s="1219">
        <f>COUNTIFS(ШТАТ!$AL:$AL,$A86,ШТАТ!$AJ:$AJ,"п",ШТАТ!$X:$X,"выполнение специальных задач")</f>
        <v>0</v>
      </c>
      <c r="V86" s="1219">
        <f>COUNTIFS(ШТАТ!$AL:$AL,$A86,ШТАТ!$AK:$AK,3,ШТАТ!$AJ:$AJ,"с/с",ШТАТ!$X:$X,"выполнение специальных задач")</f>
        <v>0</v>
      </c>
      <c r="W86" s="1219">
        <f>COUNTIFS(ШТАТ!$AL:$AL,$A86,ШТАТ!$AK:$AK,3,ШТАТ!$AJ:$AJ,"к/с",ШТАТ!$X:$X,"выполнение специальных задач")</f>
        <v>0</v>
      </c>
      <c r="X86" s="1222">
        <f t="shared" si="4"/>
        <v>0</v>
      </c>
      <c r="Y86" s="1219">
        <f>COUNTIFS(ШТАТ!$AL:$AL,$A86,ШТАТ!$AK:$AK,4,ШТАТ!$AJ:$AJ,"с/с",ШТАТ!$X:$X,"выполнение специальных задач")</f>
        <v>0</v>
      </c>
      <c r="Z86" s="1219">
        <f>COUNTIFS(ШТАТ!$AL:$AL,$A86,ШТАТ!$AK:$AK,4,ШТАТ!$AJ:$AJ,"к/с",ШТАТ!$X:$X,"выполнение специальных задач")</f>
        <v>0</v>
      </c>
      <c r="AA86" s="1222">
        <f t="shared" si="5"/>
        <v>0</v>
      </c>
      <c r="AB86" s="1221">
        <f t="shared" si="15"/>
        <v>0</v>
      </c>
      <c r="AC86" s="1224"/>
      <c r="AD86" s="1219">
        <f>COUNTIFS(ШТАТ!$AL:$AL,$A86,ШТАТ!$AK:$AK,1,ШТАТ!$AJ:$AJ,"о",ШТАТ!$W:$W,"г. Белгород")</f>
        <v>0</v>
      </c>
      <c r="AE86" s="1219">
        <f>COUNTIFS(ШТАТ!$AL:$AL,$A86,ШТАТ!$AK:$AK,2,ШТАТ!$AJ:$AJ,"п",ШТАТ!$W:$W,"г. Белгород")</f>
        <v>0</v>
      </c>
      <c r="AF86" s="1219">
        <f>COUNTIFS(ШТАТ!$AL:$AL,$A86,ШТАТ!$AK:$AK,3,ШТАТ!$AJ:$AJ,"с/с",ШТАТ!$W:$W,"г. Белгород")</f>
        <v>0</v>
      </c>
      <c r="AG86" s="1219">
        <f>COUNTIFS(ШТАТ!$AL:$AL,$A86,ШТАТ!$AK:$AK,3,ШТАТ!$AJ:$AJ,"к/с",ШТАТ!$W:$W,"г. Белгород")</f>
        <v>1</v>
      </c>
      <c r="AH86" s="1222">
        <f t="shared" si="6"/>
        <v>1</v>
      </c>
      <c r="AI86" s="1219">
        <f>COUNTIFS(ШТАТ!$AL:$AL,$A86,ШТАТ!$AK:$AK,4,ШТАТ!$AJ:$AJ,"с/с",ШТАТ!$W:$W,"г. Белгород")</f>
        <v>0</v>
      </c>
      <c r="AJ86" s="1219">
        <f>COUNTIFS(ШТАТ!$AL:$AL,$A86,ШТАТ!$AK:$AK,4,ШТАТ!$AJ:$AJ,"к/с",ШТАТ!$W:$W,"г. Белгород")</f>
        <v>2</v>
      </c>
      <c r="AK86" s="1222">
        <f t="shared" si="7"/>
        <v>2</v>
      </c>
      <c r="AL86" s="1221">
        <f t="shared" si="16"/>
        <v>3</v>
      </c>
      <c r="AM86" s="1219">
        <f>COUNTIFS(ШТАТ!$AL:$AL,$A86,ШТАТ!$AK:$AK,1,ШТАТ!$AJ:$AJ,"о",ШТАТ!$U:$U,"")</f>
        <v>0</v>
      </c>
      <c r="AN86" s="1219">
        <f>COUNTIFS(ШТАТ!$AL:$AL,$A86,ШТАТ!$AK:$AK,2,ШТАТ!$AJ:$AJ,"п",ШТАТ!$U:$U,"")</f>
        <v>0</v>
      </c>
      <c r="AO86" s="1219">
        <f>COUNTIFS(ШТАТ!$AL:$AL,$A86,ШТАТ!$AK:$AK,3,ШТАТ!$AJ:$AJ,"с/с",ШТАТ!$U:$U,"")</f>
        <v>0</v>
      </c>
      <c r="AP86" s="1219">
        <f>COUNTIFS(ШТАТ!$AL:$AL,$A86,ШТАТ!$AK:$AK,3,ШТАТ!$AJ:$AJ,"к/с",ШТАТ!$U:$U,"")</f>
        <v>0</v>
      </c>
      <c r="AQ86" s="1222">
        <f t="shared" si="17"/>
        <v>0</v>
      </c>
      <c r="AR86" s="1219">
        <f>COUNTIFS(ШТАТ!$AL:$AL,$A86,ШТАТ!$AK:$AK,4,ШТАТ!$AJ:$AJ,"с/с",ШТАТ!$U:$U,"")</f>
        <v>0</v>
      </c>
      <c r="AS86" s="1219">
        <f>COUNTIFS(ШТАТ!$AL:$AL,$A86,ШТАТ!$AK:$AK,4,ШТАТ!$AJ:$AJ,"к/с",ШТАТ!$U:$U,"")</f>
        <v>0</v>
      </c>
      <c r="AT86" s="1222">
        <f t="shared" si="8"/>
        <v>0</v>
      </c>
      <c r="AU86" s="1221">
        <f t="shared" si="40"/>
        <v>0</v>
      </c>
      <c r="AV86" s="1219">
        <f>COUNTIFS(ШТАТ!$AL:$AL,$A86,ШТАТ!$U:$U,"госп")</f>
        <v>0</v>
      </c>
      <c r="AW86" s="1225">
        <f t="shared" si="9"/>
        <v>0</v>
      </c>
      <c r="AX86" s="1219">
        <f>COUNTIFS(ШТАТ!$AL:$AL,$A86,ШТАТ!$U:$U,"отпуск")</f>
        <v>0</v>
      </c>
      <c r="AY86" s="1219">
        <f>COUNTIFS(ШТАТ!$AL:$AL,$A86,ШТАТ!$U:$U,"соч")</f>
        <v>0</v>
      </c>
      <c r="AZ86" s="1225"/>
      <c r="BA86" s="1219">
        <f>COUNTIFS(ШТАТ!$AL:$AL,$A86,ШТАТ!$U:$U,"МП")</f>
        <v>0</v>
      </c>
      <c r="BB86" s="1226"/>
      <c r="BC86" s="1226"/>
      <c r="BD86" s="1219"/>
      <c r="BE86" s="1226"/>
      <c r="BF86" s="1226"/>
      <c r="BG86" s="1226"/>
      <c r="BH86" s="1226"/>
      <c r="BI86" s="1226"/>
      <c r="BJ86" s="1226"/>
      <c r="BK86" s="1226"/>
      <c r="BL86" s="1226"/>
      <c r="BM86" s="1226"/>
      <c r="BN86" s="1226"/>
      <c r="BO86" s="1226"/>
      <c r="BP86" s="1226"/>
      <c r="BQ86" s="1226"/>
      <c r="BR86" s="1226"/>
      <c r="BS86" s="1226"/>
      <c r="BT86" s="1226"/>
      <c r="BU86" s="1226"/>
      <c r="BV86" s="1226"/>
      <c r="BW86" s="1226"/>
      <c r="BX86" s="1226"/>
      <c r="BY86" s="1226"/>
      <c r="BZ86" s="1226"/>
      <c r="CA86" s="1226"/>
      <c r="CB86" s="1226"/>
      <c r="CC86" s="1226"/>
      <c r="CD86" s="1226"/>
      <c r="CE86" s="1226"/>
      <c r="CF86" s="1226"/>
      <c r="CG86" s="1226"/>
      <c r="CH86" s="1226"/>
      <c r="CI86" s="1226"/>
      <c r="CJ86" s="1226"/>
      <c r="CK86" s="1226"/>
      <c r="CL86" s="1226"/>
      <c r="CM86" s="1226"/>
      <c r="CN86" s="1226"/>
      <c r="CO86" s="1226"/>
      <c r="CP86" s="1226"/>
      <c r="CQ86" s="1226"/>
      <c r="CR86" s="1226"/>
      <c r="CS86" s="1226"/>
      <c r="CT86" s="1226"/>
      <c r="CU86" s="1226"/>
      <c r="CV86" s="1226"/>
      <c r="CW86" s="1226"/>
      <c r="CX86" s="1226"/>
      <c r="CY86" s="1226"/>
      <c r="CZ86" s="1226"/>
      <c r="DA86" s="1226"/>
      <c r="DB86" s="1226"/>
      <c r="DC86" s="1226"/>
      <c r="DD86" s="1226"/>
      <c r="DE86" s="1226"/>
      <c r="DF86" s="1226"/>
      <c r="DG86" s="1226"/>
      <c r="DH86" s="1226"/>
      <c r="DI86" s="1226"/>
      <c r="DJ86" s="1226"/>
      <c r="DK86" s="1226"/>
      <c r="DL86" s="1226"/>
      <c r="DM86" s="1226">
        <v>1</v>
      </c>
      <c r="DN86" s="1226"/>
      <c r="DO86" s="1226"/>
      <c r="DP86" s="1226"/>
      <c r="DQ86" s="1226"/>
      <c r="DR86" s="1226"/>
      <c r="DS86" s="1226"/>
      <c r="DT86" s="1226"/>
      <c r="DU86" s="1226"/>
      <c r="DV86" s="1226">
        <f>COUNTIFS(ШТАТ!$AN:$AN,"Урал-4320-31",ШТАТ!AL:AL,"Управление")</f>
        <v>0</v>
      </c>
      <c r="DW86" s="1226"/>
      <c r="DX86" s="1226"/>
      <c r="DY86" s="1226"/>
      <c r="DZ86" s="1226"/>
      <c r="EA86" s="1226"/>
      <c r="EB86" s="1226"/>
      <c r="EC86" s="1226"/>
      <c r="ED86" s="1226"/>
      <c r="EE86" s="1226"/>
      <c r="EF86" s="1226"/>
      <c r="EG86" s="1226"/>
      <c r="EH86" s="1226"/>
      <c r="EI86" s="1226"/>
      <c r="EJ86" s="1226"/>
      <c r="EK86" s="1226"/>
      <c r="EL86" s="1226"/>
      <c r="EM86" s="1226"/>
      <c r="EN86" s="1226"/>
      <c r="EO86" s="1226"/>
      <c r="EP86" s="1226"/>
      <c r="EQ86" s="1226"/>
      <c r="ER86" s="1226"/>
      <c r="ES86" s="1226"/>
      <c r="ET86" s="1226"/>
      <c r="EU86" s="1226"/>
      <c r="EV86" s="1226"/>
      <c r="EW86" s="1226"/>
      <c r="EX86" s="1226"/>
      <c r="EY86" s="1226"/>
      <c r="EZ86" s="1226"/>
      <c r="FA86" s="1226"/>
      <c r="FB86" s="1226"/>
      <c r="FC86" s="1226"/>
      <c r="FD86" s="1226"/>
      <c r="FE86" s="1226"/>
      <c r="FF86" s="1226"/>
      <c r="FG86" s="1226"/>
      <c r="FH86" s="1226"/>
      <c r="FI86" s="1226"/>
      <c r="FJ86" s="1226"/>
      <c r="FK86" s="1226"/>
      <c r="FL86" s="1226"/>
      <c r="FM86" s="1226"/>
      <c r="FN86" s="1226"/>
      <c r="FO86" s="1226"/>
      <c r="FP86" s="1226"/>
      <c r="FQ86" s="1226"/>
      <c r="FR86" s="1226"/>
    </row>
    <row r="87" spans="1:174" ht="33" x14ac:dyDescent="0.25">
      <c r="A87" s="1227" t="s">
        <v>577</v>
      </c>
      <c r="B87" s="1227"/>
      <c r="C87" s="1275">
        <f t="shared" si="43"/>
        <v>1</v>
      </c>
      <c r="D87" s="1275" t="s">
        <v>901</v>
      </c>
      <c r="E87" s="1219">
        <f>COUNTIFS(ШТАТ!$AL:$AL,'БЧС Дерябин'!$A87,ШТАТ!$AK:$AK,1)</f>
        <v>0</v>
      </c>
      <c r="F87" s="1219">
        <f>COUNTIFS(ШТАТ!$AL:$AL,'БЧС Дерябин'!$A87,ШТАТ!$AK:$AK,2)</f>
        <v>0</v>
      </c>
      <c r="G87" s="1219">
        <f>COUNTIFS(ШТАТ!$AL:$AL,'БЧС Дерябин'!$A87,ШТАТ!$AK:$AK,3)</f>
        <v>1</v>
      </c>
      <c r="H87" s="1219">
        <f>COUNTIFS(ШТАТ!$AL:$AL,'БЧС Дерябин'!$A87,ШТАТ!$AK:$AK,4)</f>
        <v>3</v>
      </c>
      <c r="I87" s="1221">
        <f t="shared" si="3"/>
        <v>4</v>
      </c>
      <c r="J87" s="1219">
        <f>COUNTIFS(ШТАТ!AL:AL,A87,ШТАТ!AJ:AJ,"о")</f>
        <v>0</v>
      </c>
      <c r="K87" s="1219">
        <f>COUNTIFS(ШТАТ!AL:AL,A87,ШТАТ!AJ:AJ,"п")</f>
        <v>0</v>
      </c>
      <c r="L87" s="1219">
        <f>COUNTIFS(ШТАТ!$AL:$AL,$A87,ШТАТ!AK:AK,3,ШТАТ!AJ:AJ,"с/с")</f>
        <v>0</v>
      </c>
      <c r="M87" s="1219">
        <f>COUNTIFS(ШТАТ!$AL:$AL,$A87,ШТАТ!AK:AK,3,ШТАТ!AJ:AJ,"к/с")</f>
        <v>1</v>
      </c>
      <c r="N87" s="1222">
        <f t="shared" si="11"/>
        <v>1</v>
      </c>
      <c r="O87" s="1220">
        <f>COUNTIFS(ШТАТ!$AL:$AL,$A87,ШТАТ!AK:AK,4,ШТАТ!AJ:AJ,"с/с")</f>
        <v>0</v>
      </c>
      <c r="P87" s="1220">
        <f>COUNTIFS(ШТАТ!$AL:$AL,$A87,ШТАТ!AK:AK,4,ШТАТ!AJ:AJ,"к/с")</f>
        <v>3</v>
      </c>
      <c r="Q87" s="1222">
        <f t="shared" si="39"/>
        <v>3</v>
      </c>
      <c r="R87" s="1221">
        <f t="shared" si="13"/>
        <v>4</v>
      </c>
      <c r="S87" s="1223">
        <f t="shared" si="14"/>
        <v>1</v>
      </c>
      <c r="T87" s="1219">
        <f>COUNTIFS(ШТАТ!$AL:$AL,$A87,ШТАТ!$AJ:$AJ,"о",ШТАТ!$X:$X,"выполнение специальных задач")</f>
        <v>0</v>
      </c>
      <c r="U87" s="1219">
        <f>COUNTIFS(ШТАТ!$AL:$AL,$A87,ШТАТ!$AJ:$AJ,"п",ШТАТ!$X:$X,"выполнение специальных задач")</f>
        <v>0</v>
      </c>
      <c r="V87" s="1219">
        <f>COUNTIFS(ШТАТ!$AL:$AL,$A87,ШТАТ!$AK:$AK,3,ШТАТ!$AJ:$AJ,"с/с",ШТАТ!$X:$X,"выполнение специальных задач")</f>
        <v>0</v>
      </c>
      <c r="W87" s="1219">
        <f>COUNTIFS(ШТАТ!$AL:$AL,$A87,ШТАТ!$AK:$AK,3,ШТАТ!$AJ:$AJ,"к/с",ШТАТ!$X:$X,"выполнение специальных задач")</f>
        <v>0</v>
      </c>
      <c r="X87" s="1222">
        <f t="shared" si="4"/>
        <v>0</v>
      </c>
      <c r="Y87" s="1219">
        <f>COUNTIFS(ШТАТ!$AL:$AL,$A87,ШТАТ!$AK:$AK,4,ШТАТ!$AJ:$AJ,"с/с",ШТАТ!$X:$X,"выполнение специальных задач")</f>
        <v>0</v>
      </c>
      <c r="Z87" s="1219">
        <f>COUNTIFS(ШТАТ!$AL:$AL,$A87,ШТАТ!$AK:$AK,4,ШТАТ!$AJ:$AJ,"к/с",ШТАТ!$X:$X,"выполнение специальных задач")</f>
        <v>1</v>
      </c>
      <c r="AA87" s="1222">
        <f t="shared" si="5"/>
        <v>1</v>
      </c>
      <c r="AB87" s="1221">
        <f t="shared" si="15"/>
        <v>1</v>
      </c>
      <c r="AC87" s="1224"/>
      <c r="AD87" s="1219">
        <f>COUNTIFS(ШТАТ!$AL:$AL,$A87,ШТАТ!$AK:$AK,1,ШТАТ!$AJ:$AJ,"о",ШТАТ!$W:$W,"г. Белгород")</f>
        <v>0</v>
      </c>
      <c r="AE87" s="1219">
        <f>COUNTIFS(ШТАТ!$AL:$AL,$A87,ШТАТ!$AK:$AK,2,ШТАТ!$AJ:$AJ,"п",ШТАТ!$W:$W,"г. Белгород")</f>
        <v>0</v>
      </c>
      <c r="AF87" s="1219">
        <f>COUNTIFS(ШТАТ!$AL:$AL,$A87,ШТАТ!$AK:$AK,3,ШТАТ!$AJ:$AJ,"с/с",ШТАТ!$W:$W,"г. Белгород")</f>
        <v>0</v>
      </c>
      <c r="AG87" s="1219">
        <f>COUNTIFS(ШТАТ!$AL:$AL,$A87,ШТАТ!$AK:$AK,3,ШТАТ!$AJ:$AJ,"к/с",ШТАТ!$W:$W,"г. Белгород")</f>
        <v>1</v>
      </c>
      <c r="AH87" s="1222">
        <f t="shared" si="6"/>
        <v>1</v>
      </c>
      <c r="AI87" s="1219">
        <f>COUNTIFS(ШТАТ!$AL:$AL,$A87,ШТАТ!$AK:$AK,4,ШТАТ!$AJ:$AJ,"с/с",ШТАТ!$W:$W,"г. Белгород")</f>
        <v>0</v>
      </c>
      <c r="AJ87" s="1219">
        <f>COUNTIFS(ШТАТ!$AL:$AL,$A87,ШТАТ!$AK:$AK,4,ШТАТ!$AJ:$AJ,"к/с",ШТАТ!$W:$W,"г. Белгород")</f>
        <v>2</v>
      </c>
      <c r="AK87" s="1222">
        <f t="shared" si="7"/>
        <v>2</v>
      </c>
      <c r="AL87" s="1221">
        <f t="shared" si="16"/>
        <v>3</v>
      </c>
      <c r="AM87" s="1219">
        <f>COUNTIFS(ШТАТ!$AL:$AL,$A87,ШТАТ!$AK:$AK,1,ШТАТ!$AJ:$AJ,"о",ШТАТ!$U:$U,"")</f>
        <v>0</v>
      </c>
      <c r="AN87" s="1219">
        <f>COUNTIFS(ШТАТ!$AL:$AL,$A87,ШТАТ!$AK:$AK,2,ШТАТ!$AJ:$AJ,"п",ШТАТ!$U:$U,"")</f>
        <v>0</v>
      </c>
      <c r="AO87" s="1219">
        <f>COUNTIFS(ШТАТ!$AL:$AL,$A87,ШТАТ!$AK:$AK,3,ШТАТ!$AJ:$AJ,"с/с",ШТАТ!$U:$U,"")</f>
        <v>0</v>
      </c>
      <c r="AP87" s="1219">
        <f>COUNTIFS(ШТАТ!$AL:$AL,$A87,ШТАТ!$AK:$AK,3,ШТАТ!$AJ:$AJ,"к/с",ШТАТ!$U:$U,"")</f>
        <v>0</v>
      </c>
      <c r="AQ87" s="1222">
        <f t="shared" si="17"/>
        <v>0</v>
      </c>
      <c r="AR87" s="1219">
        <f>COUNTIFS(ШТАТ!$AL:$AL,$A87,ШТАТ!$AK:$AK,4,ШТАТ!$AJ:$AJ,"с/с",ШТАТ!$U:$U,"")</f>
        <v>0</v>
      </c>
      <c r="AS87" s="1219">
        <f>COUNTIFS(ШТАТ!$AL:$AL,$A87,ШТАТ!$AK:$AK,4,ШТАТ!$AJ:$AJ,"к/с",ШТАТ!$U:$U,"")</f>
        <v>0</v>
      </c>
      <c r="AT87" s="1222">
        <f t="shared" si="8"/>
        <v>0</v>
      </c>
      <c r="AU87" s="1221">
        <f t="shared" si="40"/>
        <v>0</v>
      </c>
      <c r="AV87" s="1219">
        <f>COUNTIFS(ШТАТ!$AL:$AL,$A87,ШТАТ!$U:$U,"госп")</f>
        <v>0</v>
      </c>
      <c r="AW87" s="1225">
        <f t="shared" si="9"/>
        <v>0</v>
      </c>
      <c r="AX87" s="1219">
        <f>COUNTIFS(ШТАТ!$AL:$AL,$A87,ШТАТ!$U:$U,"отпуск")</f>
        <v>0</v>
      </c>
      <c r="AY87" s="1219">
        <f>COUNTIFS(ШТАТ!$AL:$AL,$A87,ШТАТ!$U:$U,"соч")</f>
        <v>0</v>
      </c>
      <c r="AZ87" s="1225"/>
      <c r="BA87" s="1219">
        <f>COUNTIFS(ШТАТ!$AL:$AL,$A87,ШТАТ!$U:$U,"МП")</f>
        <v>0</v>
      </c>
      <c r="BB87" s="1226"/>
      <c r="BC87" s="1226"/>
      <c r="BD87" s="1219"/>
      <c r="BE87" s="1226"/>
      <c r="BF87" s="1226"/>
      <c r="BG87" s="1226"/>
      <c r="BH87" s="1226"/>
      <c r="BI87" s="1226"/>
      <c r="BJ87" s="1226"/>
      <c r="BK87" s="1226"/>
      <c r="BL87" s="1226"/>
      <c r="BM87" s="1226"/>
      <c r="BN87" s="1226"/>
      <c r="BO87" s="1226"/>
      <c r="BP87" s="1226"/>
      <c r="BQ87" s="1226"/>
      <c r="BR87" s="1226"/>
      <c r="BS87" s="1226"/>
      <c r="BT87" s="1226"/>
      <c r="BU87" s="1226"/>
      <c r="BV87" s="1226"/>
      <c r="BW87" s="1226"/>
      <c r="BX87" s="1226"/>
      <c r="BY87" s="1226"/>
      <c r="BZ87" s="1226"/>
      <c r="CA87" s="1226"/>
      <c r="CB87" s="1226"/>
      <c r="CC87" s="1226"/>
      <c r="CD87" s="1226"/>
      <c r="CE87" s="1226"/>
      <c r="CF87" s="1226"/>
      <c r="CG87" s="1226"/>
      <c r="CH87" s="1226"/>
      <c r="CI87" s="1226"/>
      <c r="CJ87" s="1226"/>
      <c r="CK87" s="1226"/>
      <c r="CL87" s="1226"/>
      <c r="CM87" s="1226"/>
      <c r="CN87" s="1226"/>
      <c r="CO87" s="1226"/>
      <c r="CP87" s="1226"/>
      <c r="CQ87" s="1226"/>
      <c r="CR87" s="1226"/>
      <c r="CS87" s="1226"/>
      <c r="CT87" s="1226"/>
      <c r="CU87" s="1226"/>
      <c r="CV87" s="1226"/>
      <c r="CW87" s="1226"/>
      <c r="CX87" s="1226"/>
      <c r="CY87" s="1226"/>
      <c r="CZ87" s="1226"/>
      <c r="DA87" s="1226"/>
      <c r="DB87" s="1226"/>
      <c r="DC87" s="1226"/>
      <c r="DD87" s="1226"/>
      <c r="DE87" s="1226"/>
      <c r="DF87" s="1226"/>
      <c r="DG87" s="1226"/>
      <c r="DH87" s="1226"/>
      <c r="DI87" s="1226"/>
      <c r="DJ87" s="1226"/>
      <c r="DK87" s="1226"/>
      <c r="DL87" s="1226"/>
      <c r="DM87" s="1226"/>
      <c r="DN87" s="1226"/>
      <c r="DO87" s="1226"/>
      <c r="DP87" s="1226"/>
      <c r="DQ87" s="1226"/>
      <c r="DR87" s="1226"/>
      <c r="DS87" s="1226"/>
      <c r="DT87" s="1226"/>
      <c r="DU87" s="1226"/>
      <c r="DV87" s="1226">
        <f>COUNTIFS(ШТАТ!$AN:$AN,"Урал-4320-31",ШТАТ!AL:AL,"Управление")</f>
        <v>0</v>
      </c>
      <c r="DW87" s="1226"/>
      <c r="DX87" s="1226"/>
      <c r="DY87" s="1226"/>
      <c r="DZ87" s="1226"/>
      <c r="EA87" s="1226"/>
      <c r="EB87" s="1226"/>
      <c r="EC87" s="1226"/>
      <c r="ED87" s="1226"/>
      <c r="EE87" s="1226"/>
      <c r="EF87" s="1226"/>
      <c r="EG87" s="1226"/>
      <c r="EH87" s="1226"/>
      <c r="EI87" s="1226"/>
      <c r="EJ87" s="1226"/>
      <c r="EK87" s="1226"/>
      <c r="EL87" s="1226"/>
      <c r="EM87" s="1226"/>
      <c r="EN87" s="1226"/>
      <c r="EO87" s="1226"/>
      <c r="EP87" s="1226"/>
      <c r="EQ87" s="1226"/>
      <c r="ER87" s="1226"/>
      <c r="ES87" s="1226"/>
      <c r="ET87" s="1226"/>
      <c r="EU87" s="1226"/>
      <c r="EV87" s="1226"/>
      <c r="EW87" s="1226"/>
      <c r="EX87" s="1226"/>
      <c r="EY87" s="1226"/>
      <c r="EZ87" s="1226"/>
      <c r="FA87" s="1226"/>
      <c r="FB87" s="1226"/>
      <c r="FC87" s="1226"/>
      <c r="FD87" s="1226"/>
      <c r="FE87" s="1226"/>
      <c r="FF87" s="1226"/>
      <c r="FG87" s="1226"/>
      <c r="FH87" s="1226">
        <v>1</v>
      </c>
      <c r="FI87" s="1226"/>
      <c r="FJ87" s="1226"/>
      <c r="FK87" s="1226"/>
      <c r="FL87" s="1226"/>
      <c r="FM87" s="1226"/>
      <c r="FN87" s="1226"/>
      <c r="FO87" s="1226"/>
      <c r="FP87" s="1226"/>
      <c r="FQ87" s="1226"/>
      <c r="FR87" s="1226"/>
    </row>
    <row r="88" spans="1:174" ht="33" x14ac:dyDescent="0.25">
      <c r="A88" s="1227" t="s">
        <v>581</v>
      </c>
      <c r="B88" s="1227"/>
      <c r="C88" s="1275">
        <f t="shared" si="43"/>
        <v>2</v>
      </c>
      <c r="D88" s="1275" t="s">
        <v>901</v>
      </c>
      <c r="E88" s="1219">
        <f>COUNTIFS(ШТАТ!$AL:$AL,'БЧС Дерябин'!$A88,ШТАТ!$AK:$AK,1)</f>
        <v>1</v>
      </c>
      <c r="F88" s="1219">
        <f>COUNTIFS(ШТАТ!$AL:$AL,'БЧС Дерябин'!$A88,ШТАТ!$AK:$AK,2)</f>
        <v>0</v>
      </c>
      <c r="G88" s="1219">
        <f>COUNTIFS(ШТАТ!$AL:$AL,'БЧС Дерябин'!$A88,ШТАТ!$AK:$AK,3)</f>
        <v>4</v>
      </c>
      <c r="H88" s="1219">
        <f>COUNTIFS(ШТАТ!$AL:$AL,'БЧС Дерябин'!$A88,ШТАТ!$AK:$AK,4)</f>
        <v>12</v>
      </c>
      <c r="I88" s="1221">
        <f t="shared" si="3"/>
        <v>17</v>
      </c>
      <c r="J88" s="1219">
        <f>COUNTIFS(ШТАТ!AL:AL,A88,ШТАТ!AJ:AJ,"о")</f>
        <v>1</v>
      </c>
      <c r="K88" s="1219">
        <f>COUNTIFS(ШТАТ!AL:AL,A88,ШТАТ!AJ:AJ,"п")</f>
        <v>0</v>
      </c>
      <c r="L88" s="1219">
        <f>COUNTIFS(ШТАТ!$AL:$AL,$A88,ШТАТ!AK:AK,3,ШТАТ!AJ:AJ,"с/с")</f>
        <v>0</v>
      </c>
      <c r="M88" s="1219">
        <f>COUNTIFS(ШТАТ!$AL:$AL,$A88,ШТАТ!AK:AK,3,ШТАТ!AJ:AJ,"к/с")</f>
        <v>4</v>
      </c>
      <c r="N88" s="1222">
        <f t="shared" si="11"/>
        <v>4</v>
      </c>
      <c r="O88" s="1220">
        <f>COUNTIFS(ШТАТ!$AL:$AL,$A88,ШТАТ!AK:AK,4,ШТАТ!AJ:AJ,"с/с")</f>
        <v>0</v>
      </c>
      <c r="P88" s="1220">
        <f>COUNTIFS(ШТАТ!$AL:$AL,$A88,ШТАТ!AK:AK,4,ШТАТ!AJ:AJ,"к/с")</f>
        <v>11</v>
      </c>
      <c r="Q88" s="1222">
        <f t="shared" si="39"/>
        <v>11</v>
      </c>
      <c r="R88" s="1221">
        <f t="shared" si="13"/>
        <v>16</v>
      </c>
      <c r="S88" s="1223">
        <f t="shared" si="14"/>
        <v>0.94117647058823528</v>
      </c>
      <c r="T88" s="1219">
        <f>COUNTIFS(ШТАТ!$AL:$AL,$A88,ШТАТ!$AJ:$AJ,"о",ШТАТ!$X:$X,"выполнение специальных задач")</f>
        <v>1</v>
      </c>
      <c r="U88" s="1219">
        <f>COUNTIFS(ШТАТ!$AL:$AL,$A88,ШТАТ!$AJ:$AJ,"п",ШТАТ!$X:$X,"выполнение специальных задач")</f>
        <v>0</v>
      </c>
      <c r="V88" s="1219">
        <f>COUNTIFS(ШТАТ!$AL:$AL,$A88,ШТАТ!$AK:$AK,3,ШТАТ!$AJ:$AJ,"с/с",ШТАТ!$X:$X,"выполнение специальных задач")</f>
        <v>0</v>
      </c>
      <c r="W88" s="1219">
        <f>COUNTIFS(ШТАТ!$AL:$AL,$A88,ШТАТ!$AK:$AK,3,ШТАТ!$AJ:$AJ,"к/с",ШТАТ!$X:$X,"выполнение специальных задач")</f>
        <v>1</v>
      </c>
      <c r="X88" s="1222">
        <f t="shared" si="4"/>
        <v>1</v>
      </c>
      <c r="Y88" s="1219">
        <f>COUNTIFS(ШТАТ!$AL:$AL,$A88,ШТАТ!$AK:$AK,4,ШТАТ!$AJ:$AJ,"с/с",ШТАТ!$X:$X,"выполнение специальных задач")</f>
        <v>0</v>
      </c>
      <c r="Z88" s="1219">
        <f>COUNTIFS(ШТАТ!$AL:$AL,$A88,ШТАТ!$AK:$AK,4,ШТАТ!$AJ:$AJ,"к/с",ШТАТ!$X:$X,"выполнение специальных задач")</f>
        <v>0</v>
      </c>
      <c r="AA88" s="1222">
        <f t="shared" si="5"/>
        <v>0</v>
      </c>
      <c r="AB88" s="1221">
        <f t="shared" si="15"/>
        <v>2</v>
      </c>
      <c r="AC88" s="1224"/>
      <c r="AD88" s="1219">
        <f>COUNTIFS(ШТАТ!$AL:$AL,$A88,ШТАТ!$AK:$AK,1,ШТАТ!$AJ:$AJ,"о",ШТАТ!$W:$W,"г. Белгород")</f>
        <v>0</v>
      </c>
      <c r="AE88" s="1219">
        <f>COUNTIFS(ШТАТ!$AL:$AL,$A88,ШТАТ!$AK:$AK,2,ШТАТ!$AJ:$AJ,"п",ШТАТ!$W:$W,"г. Белгород")</f>
        <v>0</v>
      </c>
      <c r="AF88" s="1219">
        <f>COUNTIFS(ШТАТ!$AL:$AL,$A88,ШТАТ!$AK:$AK,3,ШТАТ!$AJ:$AJ,"с/с",ШТАТ!$W:$W,"г. Белгород")</f>
        <v>0</v>
      </c>
      <c r="AG88" s="1219">
        <f>COUNTIFS(ШТАТ!$AL:$AL,$A88,ШТАТ!$AK:$AK,3,ШТАТ!$AJ:$AJ,"к/с",ШТАТ!$W:$W,"г. Белгород")</f>
        <v>3</v>
      </c>
      <c r="AH88" s="1222">
        <f t="shared" si="6"/>
        <v>3</v>
      </c>
      <c r="AI88" s="1219">
        <f>COUNTIFS(ШТАТ!$AL:$AL,$A88,ШТАТ!$AK:$AK,4,ШТАТ!$AJ:$AJ,"с/с",ШТАТ!$W:$W,"г. Белгород")</f>
        <v>0</v>
      </c>
      <c r="AJ88" s="1219">
        <f>COUNTIFS(ШТАТ!$AL:$AL,$A88,ШТАТ!$AK:$AK,4,ШТАТ!$AJ:$AJ,"к/с",ШТАТ!$W:$W,"г. Белгород")</f>
        <v>11</v>
      </c>
      <c r="AK88" s="1222">
        <f t="shared" si="7"/>
        <v>11</v>
      </c>
      <c r="AL88" s="1221">
        <f t="shared" si="16"/>
        <v>14</v>
      </c>
      <c r="AM88" s="1219">
        <f>COUNTIFS(ШТАТ!$AL:$AL,$A88,ШТАТ!$AK:$AK,1,ШТАТ!$AJ:$AJ,"о",ШТАТ!$U:$U,"")</f>
        <v>0</v>
      </c>
      <c r="AN88" s="1219">
        <f>COUNTIFS(ШТАТ!$AL:$AL,$A88,ШТАТ!$AK:$AK,2,ШТАТ!$AJ:$AJ,"п",ШТАТ!$U:$U,"")</f>
        <v>0</v>
      </c>
      <c r="AO88" s="1219">
        <f>COUNTIFS(ШТАТ!$AL:$AL,$A88,ШТАТ!$AK:$AK,3,ШТАТ!$AJ:$AJ,"с/с",ШТАТ!$U:$U,"")</f>
        <v>0</v>
      </c>
      <c r="AP88" s="1219">
        <f>COUNTIFS(ШТАТ!$AL:$AL,$A88,ШТАТ!$AK:$AK,3,ШТАТ!$AJ:$AJ,"к/с",ШТАТ!$U:$U,"")</f>
        <v>0</v>
      </c>
      <c r="AQ88" s="1222">
        <f t="shared" si="17"/>
        <v>0</v>
      </c>
      <c r="AR88" s="1219">
        <f>COUNTIFS(ШТАТ!$AL:$AL,$A88,ШТАТ!$AK:$AK,4,ШТАТ!$AJ:$AJ,"с/с",ШТАТ!$U:$U,"")</f>
        <v>0</v>
      </c>
      <c r="AS88" s="1219">
        <f>COUNTIFS(ШТАТ!$AL:$AL,$A88,ШТАТ!$AK:$AK,4,ШТАТ!$AJ:$AJ,"к/с",ШТАТ!$U:$U,"")</f>
        <v>0</v>
      </c>
      <c r="AT88" s="1222">
        <f t="shared" si="8"/>
        <v>0</v>
      </c>
      <c r="AU88" s="1221">
        <f t="shared" si="40"/>
        <v>0</v>
      </c>
      <c r="AV88" s="1219">
        <f>COUNTIFS(ШТАТ!$AL:$AL,$A88,ШТАТ!$U:$U,"госп")</f>
        <v>0</v>
      </c>
      <c r="AW88" s="1225">
        <f t="shared" si="9"/>
        <v>0</v>
      </c>
      <c r="AX88" s="1219">
        <f>COUNTIFS(ШТАТ!$AL:$AL,$A88,ШТАТ!$U:$U,"отпуск")</f>
        <v>0</v>
      </c>
      <c r="AY88" s="1219">
        <f>COUNTIFS(ШТАТ!$AL:$AL,$A88,ШТАТ!$U:$U,"соч")</f>
        <v>0</v>
      </c>
      <c r="AZ88" s="1225"/>
      <c r="BA88" s="1219">
        <f>COUNTIFS(ШТАТ!$AL:$AL,$A88,ШТАТ!$U:$U,"МП")</f>
        <v>0</v>
      </c>
      <c r="BB88" s="1226"/>
      <c r="BC88" s="1226"/>
      <c r="BD88" s="1219"/>
      <c r="BE88" s="1226"/>
      <c r="BF88" s="1226"/>
      <c r="BG88" s="1226"/>
      <c r="BH88" s="1226"/>
      <c r="BI88" s="1226"/>
      <c r="BJ88" s="1226"/>
      <c r="BK88" s="1226"/>
      <c r="BL88" s="1226"/>
      <c r="BM88" s="1226"/>
      <c r="BN88" s="1226"/>
      <c r="BO88" s="1226"/>
      <c r="BP88" s="1226"/>
      <c r="BQ88" s="1226"/>
      <c r="BR88" s="1226"/>
      <c r="BS88" s="1226"/>
      <c r="BT88" s="1226"/>
      <c r="BU88" s="1226"/>
      <c r="BV88" s="1226"/>
      <c r="BW88" s="1226"/>
      <c r="BX88" s="1226"/>
      <c r="BY88" s="1226"/>
      <c r="BZ88" s="1226"/>
      <c r="CA88" s="1226"/>
      <c r="CB88" s="1226"/>
      <c r="CC88" s="1226"/>
      <c r="CD88" s="1226"/>
      <c r="CE88" s="1226"/>
      <c r="CF88" s="1226"/>
      <c r="CG88" s="1226"/>
      <c r="CH88" s="1226"/>
      <c r="CI88" s="1226"/>
      <c r="CJ88" s="1226"/>
      <c r="CK88" s="1226"/>
      <c r="CL88" s="1226"/>
      <c r="CM88" s="1226"/>
      <c r="CN88" s="1226"/>
      <c r="CO88" s="1226"/>
      <c r="CP88" s="1226"/>
      <c r="CQ88" s="1226"/>
      <c r="CR88" s="1226"/>
      <c r="CS88" s="1226"/>
      <c r="CT88" s="1226"/>
      <c r="CU88" s="1226"/>
      <c r="CV88" s="1226"/>
      <c r="CW88" s="1226"/>
      <c r="CX88" s="1226"/>
      <c r="CY88" s="1226"/>
      <c r="CZ88" s="1226"/>
      <c r="DA88" s="1226"/>
      <c r="DB88" s="1226"/>
      <c r="DC88" s="1226"/>
      <c r="DD88" s="1226"/>
      <c r="DE88" s="1226"/>
      <c r="DF88" s="1226"/>
      <c r="DG88" s="1226"/>
      <c r="DH88" s="1226"/>
      <c r="DI88" s="1226"/>
      <c r="DJ88" s="1226"/>
      <c r="DK88" s="1226"/>
      <c r="DL88" s="1226"/>
      <c r="DM88" s="1226"/>
      <c r="DN88" s="1226"/>
      <c r="DO88" s="1226"/>
      <c r="DP88" s="1226"/>
      <c r="DQ88" s="1226"/>
      <c r="DR88" s="1226"/>
      <c r="DS88" s="1226"/>
      <c r="DT88" s="1226"/>
      <c r="DU88" s="1226"/>
      <c r="DV88" s="1226">
        <f>COUNTIFS(ШТАТ!$AN:$AN,"Урал-4320-31",ШТАТ!AL:AL,"Управление")</f>
        <v>0</v>
      </c>
      <c r="DW88" s="1226"/>
      <c r="DX88" s="1226"/>
      <c r="DY88" s="1226"/>
      <c r="DZ88" s="1226"/>
      <c r="EA88" s="1226"/>
      <c r="EB88" s="1226"/>
      <c r="EC88" s="1226"/>
      <c r="ED88" s="1226"/>
      <c r="EE88" s="1226"/>
      <c r="EF88" s="1226"/>
      <c r="EG88" s="1226"/>
      <c r="EH88" s="1226"/>
      <c r="EI88" s="1226"/>
      <c r="EJ88" s="1226"/>
      <c r="EK88" s="1226"/>
      <c r="EL88" s="1226"/>
      <c r="EM88" s="1226"/>
      <c r="EN88" s="1226"/>
      <c r="EO88" s="1226"/>
      <c r="EP88" s="1226"/>
      <c r="EQ88" s="1226"/>
      <c r="ER88" s="1226"/>
      <c r="ES88" s="1226"/>
      <c r="ET88" s="1226"/>
      <c r="EU88" s="1226"/>
      <c r="EV88" s="1226"/>
      <c r="EW88" s="1226"/>
      <c r="EX88" s="1226"/>
      <c r="EY88" s="1226"/>
      <c r="EZ88" s="1226"/>
      <c r="FA88" s="1226"/>
      <c r="FB88" s="1226"/>
      <c r="FC88" s="1226"/>
      <c r="FD88" s="1226"/>
      <c r="FE88" s="1226"/>
      <c r="FF88" s="1226"/>
      <c r="FG88" s="1226"/>
      <c r="FH88" s="1226">
        <v>4</v>
      </c>
      <c r="FI88" s="1226"/>
      <c r="FJ88" s="1226"/>
      <c r="FK88" s="1226"/>
      <c r="FL88" s="1226"/>
      <c r="FM88" s="1226"/>
      <c r="FN88" s="1226"/>
      <c r="FO88" s="1226"/>
      <c r="FP88" s="1226"/>
      <c r="FQ88" s="1226"/>
      <c r="FR88" s="1226"/>
    </row>
    <row r="89" spans="1:174" ht="33" x14ac:dyDescent="0.25">
      <c r="A89" s="1227" t="s">
        <v>584</v>
      </c>
      <c r="B89" s="1227"/>
      <c r="C89" s="1275">
        <f t="shared" si="43"/>
        <v>1</v>
      </c>
      <c r="D89" s="1275" t="s">
        <v>901</v>
      </c>
      <c r="E89" s="1219">
        <f>COUNTIFS(ШТАТ!$AL:$AL,'БЧС Дерябин'!$A89,ШТАТ!$AK:$AK,1)</f>
        <v>1</v>
      </c>
      <c r="F89" s="1219">
        <f>COUNTIFS(ШТАТ!$AL:$AL,'БЧС Дерябин'!$A89,ШТАТ!$AK:$AK,2)</f>
        <v>0</v>
      </c>
      <c r="G89" s="1219">
        <f>COUNTIFS(ШТАТ!$AL:$AL,'БЧС Дерябин'!$A89,ШТАТ!$AK:$AK,3)</f>
        <v>2</v>
      </c>
      <c r="H89" s="1219">
        <f>COUNTIFS(ШТАТ!$AL:$AL,'БЧС Дерябин'!$A89,ШТАТ!$AK:$AK,4)</f>
        <v>6</v>
      </c>
      <c r="I89" s="1221">
        <f t="shared" si="3"/>
        <v>9</v>
      </c>
      <c r="J89" s="1219">
        <f>COUNTIFS(ШТАТ!AL:AL,A89,ШТАТ!AJ:AJ,"о")</f>
        <v>1</v>
      </c>
      <c r="K89" s="1219">
        <f>COUNTIFS(ШТАТ!AL:AL,A89,ШТАТ!AJ:AJ,"п")</f>
        <v>0</v>
      </c>
      <c r="L89" s="1219">
        <f>COUNTIFS(ШТАТ!$AL:$AL,$A89,ШТАТ!AK:AK,3,ШТАТ!AJ:AJ,"с/с")</f>
        <v>0</v>
      </c>
      <c r="M89" s="1219">
        <f>COUNTIFS(ШТАТ!$AL:$AL,$A89,ШТАТ!AK:AK,3,ШТАТ!AJ:AJ,"к/с")</f>
        <v>2</v>
      </c>
      <c r="N89" s="1222">
        <f t="shared" si="11"/>
        <v>2</v>
      </c>
      <c r="O89" s="1220">
        <f>COUNTIFS(ШТАТ!$AL:$AL,$A89,ШТАТ!AK:AK,4,ШТАТ!AJ:AJ,"с/с")</f>
        <v>0</v>
      </c>
      <c r="P89" s="1220">
        <f>COUNTIFS(ШТАТ!$AL:$AL,$A89,ШТАТ!AK:AK,4,ШТАТ!AJ:AJ,"к/с")</f>
        <v>6</v>
      </c>
      <c r="Q89" s="1222">
        <f t="shared" si="39"/>
        <v>6</v>
      </c>
      <c r="R89" s="1221">
        <f t="shared" si="13"/>
        <v>9</v>
      </c>
      <c r="S89" s="1223">
        <f t="shared" si="14"/>
        <v>1</v>
      </c>
      <c r="T89" s="1219">
        <f>COUNTIFS(ШТАТ!$AL:$AL,$A89,ШТАТ!$AJ:$AJ,"о",ШТАТ!$X:$X,"выполнение специальных задач")</f>
        <v>1</v>
      </c>
      <c r="U89" s="1219">
        <f>COUNTIFS(ШТАТ!$AL:$AL,$A89,ШТАТ!$AJ:$AJ,"п",ШТАТ!$X:$X,"выполнение специальных задач")</f>
        <v>0</v>
      </c>
      <c r="V89" s="1219">
        <f>COUNTIFS(ШТАТ!$AL:$AL,$A89,ШТАТ!$AK:$AK,3,ШТАТ!$AJ:$AJ,"с/с",ШТАТ!$X:$X,"выполнение специальных задач")</f>
        <v>0</v>
      </c>
      <c r="W89" s="1219">
        <f>COUNTIFS(ШТАТ!$AL:$AL,$A89,ШТАТ!$AK:$AK,3,ШТАТ!$AJ:$AJ,"к/с",ШТАТ!$X:$X,"выполнение специальных задач")</f>
        <v>0</v>
      </c>
      <c r="X89" s="1222">
        <f t="shared" si="4"/>
        <v>0</v>
      </c>
      <c r="Y89" s="1219">
        <f>COUNTIFS(ШТАТ!$AL:$AL,$A89,ШТАТ!$AK:$AK,4,ШТАТ!$AJ:$AJ,"с/с",ШТАТ!$X:$X,"выполнение специальных задач")</f>
        <v>0</v>
      </c>
      <c r="Z89" s="1219">
        <f>COUNTIFS(ШТАТ!$AL:$AL,$A89,ШТАТ!$AK:$AK,4,ШТАТ!$AJ:$AJ,"к/с",ШТАТ!$X:$X,"выполнение специальных задач")</f>
        <v>0</v>
      </c>
      <c r="AA89" s="1222">
        <f t="shared" si="5"/>
        <v>0</v>
      </c>
      <c r="AB89" s="1221">
        <f t="shared" si="15"/>
        <v>1</v>
      </c>
      <c r="AC89" s="1224"/>
      <c r="AD89" s="1219">
        <f>COUNTIFS(ШТАТ!$AL:$AL,$A89,ШТАТ!$AK:$AK,1,ШТАТ!$AJ:$AJ,"о",ШТАТ!$W:$W,"г. Белгород")</f>
        <v>0</v>
      </c>
      <c r="AE89" s="1219">
        <f>COUNTIFS(ШТАТ!$AL:$AL,$A89,ШТАТ!$AK:$AK,2,ШТАТ!$AJ:$AJ,"п",ШТАТ!$W:$W,"г. Белгород")</f>
        <v>0</v>
      </c>
      <c r="AF89" s="1219">
        <f>COUNTIFS(ШТАТ!$AL:$AL,$A89,ШТАТ!$AK:$AK,3,ШТАТ!$AJ:$AJ,"с/с",ШТАТ!$W:$W,"г. Белгород")</f>
        <v>0</v>
      </c>
      <c r="AG89" s="1219">
        <f>COUNTIFS(ШТАТ!$AL:$AL,$A89,ШТАТ!$AK:$AK,3,ШТАТ!$AJ:$AJ,"к/с",ШТАТ!$W:$W,"г. Белгород")</f>
        <v>2</v>
      </c>
      <c r="AH89" s="1222">
        <f t="shared" si="6"/>
        <v>2</v>
      </c>
      <c r="AI89" s="1219">
        <f>COUNTIFS(ШТАТ!$AL:$AL,$A89,ШТАТ!$AK:$AK,4,ШТАТ!$AJ:$AJ,"с/с",ШТАТ!$W:$W,"г. Белгород")</f>
        <v>0</v>
      </c>
      <c r="AJ89" s="1219">
        <f>COUNTIFS(ШТАТ!$AL:$AL,$A89,ШТАТ!$AK:$AK,4,ШТАТ!$AJ:$AJ,"к/с",ШТАТ!$W:$W,"г. Белгород")</f>
        <v>6</v>
      </c>
      <c r="AK89" s="1222">
        <f t="shared" si="7"/>
        <v>6</v>
      </c>
      <c r="AL89" s="1221">
        <f t="shared" si="16"/>
        <v>8</v>
      </c>
      <c r="AM89" s="1219">
        <f>COUNTIFS(ШТАТ!$AL:$AL,$A89,ШТАТ!$AK:$AK,1,ШТАТ!$AJ:$AJ,"о",ШТАТ!$U:$U,"")</f>
        <v>0</v>
      </c>
      <c r="AN89" s="1219">
        <f>COUNTIFS(ШТАТ!$AL:$AL,$A89,ШТАТ!$AK:$AK,2,ШТАТ!$AJ:$AJ,"п",ШТАТ!$U:$U,"")</f>
        <v>0</v>
      </c>
      <c r="AO89" s="1219">
        <f>COUNTIFS(ШТАТ!$AL:$AL,$A89,ШТАТ!$AK:$AK,3,ШТАТ!$AJ:$AJ,"с/с",ШТАТ!$U:$U,"")</f>
        <v>0</v>
      </c>
      <c r="AP89" s="1219">
        <f>COUNTIFS(ШТАТ!$AL:$AL,$A89,ШТАТ!$AK:$AK,3,ШТАТ!$AJ:$AJ,"к/с",ШТАТ!$U:$U,"")</f>
        <v>0</v>
      </c>
      <c r="AQ89" s="1222">
        <f t="shared" si="17"/>
        <v>0</v>
      </c>
      <c r="AR89" s="1219">
        <f>COUNTIFS(ШТАТ!$AL:$AL,$A89,ШТАТ!$AK:$AK,4,ШТАТ!$AJ:$AJ,"с/с",ШТАТ!$U:$U,"")</f>
        <v>0</v>
      </c>
      <c r="AS89" s="1219">
        <f>COUNTIFS(ШТАТ!$AL:$AL,$A89,ШТАТ!$AK:$AK,4,ШТАТ!$AJ:$AJ,"к/с",ШТАТ!$U:$U,"")</f>
        <v>0</v>
      </c>
      <c r="AT89" s="1222">
        <f t="shared" si="8"/>
        <v>0</v>
      </c>
      <c r="AU89" s="1221">
        <f t="shared" si="40"/>
        <v>0</v>
      </c>
      <c r="AV89" s="1219">
        <f>COUNTIFS(ШТАТ!$AL:$AL,$A89,ШТАТ!$U:$U,"госп")</f>
        <v>0</v>
      </c>
      <c r="AW89" s="1225">
        <f t="shared" si="9"/>
        <v>0</v>
      </c>
      <c r="AX89" s="1219">
        <f>COUNTIFS(ШТАТ!$AL:$AL,$A89,ШТАТ!$U:$U,"отпуск")</f>
        <v>0</v>
      </c>
      <c r="AY89" s="1219">
        <f>COUNTIFS(ШТАТ!$AL:$AL,$A89,ШТАТ!$U:$U,"соч")</f>
        <v>0</v>
      </c>
      <c r="AZ89" s="1225"/>
      <c r="BA89" s="1219">
        <f>COUNTIFS(ШТАТ!$AL:$AL,$A89,ШТАТ!$U:$U,"МП")</f>
        <v>0</v>
      </c>
      <c r="BB89" s="1226"/>
      <c r="BC89" s="1226"/>
      <c r="BD89" s="1219"/>
      <c r="BE89" s="1226"/>
      <c r="BF89" s="1226"/>
      <c r="BG89" s="1226"/>
      <c r="BH89" s="1226"/>
      <c r="BI89" s="1226"/>
      <c r="BJ89" s="1226"/>
      <c r="BK89" s="1226"/>
      <c r="BL89" s="1226"/>
      <c r="BM89" s="1226"/>
      <c r="BN89" s="1226"/>
      <c r="BO89" s="1226"/>
      <c r="BP89" s="1226"/>
      <c r="BQ89" s="1226"/>
      <c r="BR89" s="1226"/>
      <c r="BS89" s="1226"/>
      <c r="BT89" s="1226"/>
      <c r="BU89" s="1226"/>
      <c r="BV89" s="1226"/>
      <c r="BW89" s="1226"/>
      <c r="BX89" s="1226"/>
      <c r="BY89" s="1226"/>
      <c r="BZ89" s="1226"/>
      <c r="CA89" s="1226"/>
      <c r="CB89" s="1226"/>
      <c r="CC89" s="1226"/>
      <c r="CD89" s="1226"/>
      <c r="CE89" s="1226"/>
      <c r="CF89" s="1226"/>
      <c r="CG89" s="1226"/>
      <c r="CH89" s="1226"/>
      <c r="CI89" s="1226"/>
      <c r="CJ89" s="1226"/>
      <c r="CK89" s="1226"/>
      <c r="CL89" s="1226"/>
      <c r="CM89" s="1226"/>
      <c r="CN89" s="1226"/>
      <c r="CO89" s="1226"/>
      <c r="CP89" s="1226"/>
      <c r="CQ89" s="1226"/>
      <c r="CR89" s="1226"/>
      <c r="CS89" s="1226"/>
      <c r="CT89" s="1226"/>
      <c r="CU89" s="1226"/>
      <c r="CV89" s="1226"/>
      <c r="CW89" s="1226"/>
      <c r="CX89" s="1226"/>
      <c r="CY89" s="1226"/>
      <c r="CZ89" s="1226"/>
      <c r="DA89" s="1226"/>
      <c r="DB89" s="1226"/>
      <c r="DC89" s="1226"/>
      <c r="DD89" s="1226"/>
      <c r="DE89" s="1226"/>
      <c r="DF89" s="1226"/>
      <c r="DG89" s="1226">
        <v>3</v>
      </c>
      <c r="DH89" s="1226"/>
      <c r="DI89" s="1226"/>
      <c r="DJ89" s="1226"/>
      <c r="DK89" s="1226"/>
      <c r="DL89" s="1226"/>
      <c r="DM89" s="1226"/>
      <c r="DN89" s="1226"/>
      <c r="DO89" s="1226"/>
      <c r="DP89" s="1226"/>
      <c r="DQ89" s="1226"/>
      <c r="DR89" s="1226"/>
      <c r="DS89" s="1226"/>
      <c r="DT89" s="1226"/>
      <c r="DU89" s="1226"/>
      <c r="DV89" s="1226">
        <f>COUNTIFS(ШТАТ!$AN:$AN,"Урал-4320-31",ШТАТ!AL:AL,"Управление")</f>
        <v>0</v>
      </c>
      <c r="DW89" s="1226"/>
      <c r="DX89" s="1226"/>
      <c r="DY89" s="1226"/>
      <c r="DZ89" s="1226"/>
      <c r="EA89" s="1226"/>
      <c r="EB89" s="1226"/>
      <c r="EC89" s="1226"/>
      <c r="ED89" s="1226"/>
      <c r="EE89" s="1226"/>
      <c r="EF89" s="1226"/>
      <c r="EG89" s="1226"/>
      <c r="EH89" s="1226"/>
      <c r="EI89" s="1226"/>
      <c r="EJ89" s="1226"/>
      <c r="EK89" s="1226"/>
      <c r="EL89" s="1226"/>
      <c r="EM89" s="1226"/>
      <c r="EN89" s="1226"/>
      <c r="EO89" s="1226"/>
      <c r="EP89" s="1226"/>
      <c r="EQ89" s="1226"/>
      <c r="ER89" s="1226"/>
      <c r="ES89" s="1226"/>
      <c r="ET89" s="1226"/>
      <c r="EU89" s="1226"/>
      <c r="EV89" s="1226"/>
      <c r="EW89" s="1226"/>
      <c r="EX89" s="1226"/>
      <c r="EY89" s="1226"/>
      <c r="EZ89" s="1226"/>
      <c r="FA89" s="1226"/>
      <c r="FB89" s="1226"/>
      <c r="FC89" s="1226"/>
      <c r="FD89" s="1226"/>
      <c r="FE89" s="1226"/>
      <c r="FF89" s="1226"/>
      <c r="FG89" s="1226"/>
      <c r="FH89" s="1226"/>
      <c r="FI89" s="1226"/>
      <c r="FJ89" s="1226"/>
      <c r="FK89" s="1226"/>
      <c r="FL89" s="1226"/>
      <c r="FM89" s="1226"/>
      <c r="FN89" s="1226"/>
      <c r="FO89" s="1226"/>
      <c r="FP89" s="1226"/>
      <c r="FQ89" s="1226"/>
      <c r="FR89" s="1226"/>
    </row>
    <row r="90" spans="1:174" ht="33" x14ac:dyDescent="0.25">
      <c r="A90" s="1227" t="s">
        <v>589</v>
      </c>
      <c r="B90" s="1227"/>
      <c r="C90" s="1275">
        <f t="shared" si="43"/>
        <v>2</v>
      </c>
      <c r="D90" s="1275" t="s">
        <v>901</v>
      </c>
      <c r="E90" s="1219">
        <f>COUNTIFS(ШТАТ!$AL:$AL,'БЧС Дерябин'!$A90,ШТАТ!$AK:$AK,1)</f>
        <v>1</v>
      </c>
      <c r="F90" s="1219">
        <f>COUNTIFS(ШТАТ!$AL:$AL,'БЧС Дерябин'!$A90,ШТАТ!$AK:$AK,2)</f>
        <v>0</v>
      </c>
      <c r="G90" s="1219">
        <f>COUNTIFS(ШТАТ!$AL:$AL,'БЧС Дерябин'!$A90,ШТАТ!$AK:$AK,3)</f>
        <v>2</v>
      </c>
      <c r="H90" s="1219">
        <f>COUNTIFS(ШТАТ!$AL:$AL,'БЧС Дерябин'!$A90,ШТАТ!$AK:$AK,4)</f>
        <v>7</v>
      </c>
      <c r="I90" s="1221">
        <f t="shared" si="3"/>
        <v>10</v>
      </c>
      <c r="J90" s="1219">
        <f>COUNTIFS(ШТАТ!AL:AL,A90,ШТАТ!AJ:AJ,"о")</f>
        <v>1</v>
      </c>
      <c r="K90" s="1219">
        <f>COUNTIFS(ШТАТ!AL:AL,A90,ШТАТ!AJ:AJ,"п")</f>
        <v>0</v>
      </c>
      <c r="L90" s="1219">
        <f>COUNTIFS(ШТАТ!$AL:$AL,$A90,ШТАТ!AK:AK,3,ШТАТ!AJ:AJ,"с/с")</f>
        <v>0</v>
      </c>
      <c r="M90" s="1219">
        <f>COUNTIFS(ШТАТ!$AL:$AL,$A90,ШТАТ!AK:AK,3,ШТАТ!AJ:AJ,"к/с")</f>
        <v>2</v>
      </c>
      <c r="N90" s="1222">
        <f t="shared" si="11"/>
        <v>2</v>
      </c>
      <c r="O90" s="1220">
        <f>COUNTIFS(ШТАТ!$AL:$AL,$A90,ШТАТ!AK:AK,4,ШТАТ!AJ:AJ,"с/с")</f>
        <v>0</v>
      </c>
      <c r="P90" s="1220">
        <f>COUNTIFS(ШТАТ!$AL:$AL,$A90,ШТАТ!AK:AK,4,ШТАТ!AJ:AJ,"к/с")</f>
        <v>6</v>
      </c>
      <c r="Q90" s="1222">
        <f t="shared" si="39"/>
        <v>6</v>
      </c>
      <c r="R90" s="1221">
        <f t="shared" si="13"/>
        <v>9</v>
      </c>
      <c r="S90" s="1223">
        <f t="shared" si="14"/>
        <v>0.9</v>
      </c>
      <c r="T90" s="1219">
        <f>COUNTIFS(ШТАТ!$AL:$AL,$A90,ШТАТ!$AJ:$AJ,"о",ШТАТ!$X:$X,"выполнение специальных задач")</f>
        <v>1</v>
      </c>
      <c r="U90" s="1219">
        <f>COUNTIFS(ШТАТ!$AL:$AL,$A90,ШТАТ!$AJ:$AJ,"п",ШТАТ!$X:$X,"выполнение специальных задач")</f>
        <v>0</v>
      </c>
      <c r="V90" s="1219">
        <f>COUNTIFS(ШТАТ!$AL:$AL,$A90,ШТАТ!$AK:$AK,3,ШТАТ!$AJ:$AJ,"с/с",ШТАТ!$X:$X,"выполнение специальных задач")</f>
        <v>0</v>
      </c>
      <c r="W90" s="1219">
        <f>COUNTIFS(ШТАТ!$AL:$AL,$A90,ШТАТ!$AK:$AK,3,ШТАТ!$AJ:$AJ,"к/с",ШТАТ!$X:$X,"выполнение специальных задач")</f>
        <v>0</v>
      </c>
      <c r="X90" s="1222">
        <f t="shared" si="4"/>
        <v>0</v>
      </c>
      <c r="Y90" s="1219">
        <f>COUNTIFS(ШТАТ!$AL:$AL,$A90,ШТАТ!$AK:$AK,4,ШТАТ!$AJ:$AJ,"с/с",ШТАТ!$X:$X,"выполнение специальных задач")</f>
        <v>0</v>
      </c>
      <c r="Z90" s="1219">
        <f>COUNTIFS(ШТАТ!$AL:$AL,$A90,ШТАТ!$AK:$AK,4,ШТАТ!$AJ:$AJ,"к/с",ШТАТ!$X:$X,"выполнение специальных задач")</f>
        <v>1</v>
      </c>
      <c r="AA90" s="1222">
        <f t="shared" si="5"/>
        <v>1</v>
      </c>
      <c r="AB90" s="1221">
        <f t="shared" si="15"/>
        <v>2</v>
      </c>
      <c r="AC90" s="1224"/>
      <c r="AD90" s="1219">
        <f>COUNTIFS(ШТАТ!$AL:$AL,$A90,ШТАТ!$AK:$AK,1,ШТАТ!$AJ:$AJ,"о",ШТАТ!$W:$W,"г. Белгород")</f>
        <v>0</v>
      </c>
      <c r="AE90" s="1219">
        <f>COUNTIFS(ШТАТ!$AL:$AL,$A90,ШТАТ!$AK:$AK,2,ШТАТ!$AJ:$AJ,"п",ШТАТ!$W:$W,"г. Белгород")</f>
        <v>0</v>
      </c>
      <c r="AF90" s="1219">
        <f>COUNTIFS(ШТАТ!$AL:$AL,$A90,ШТАТ!$AK:$AK,3,ШТАТ!$AJ:$AJ,"с/с",ШТАТ!$W:$W,"г. Белгород")</f>
        <v>0</v>
      </c>
      <c r="AG90" s="1219">
        <f>COUNTIFS(ШТАТ!$AL:$AL,$A90,ШТАТ!$AK:$AK,3,ШТАТ!$AJ:$AJ,"к/с",ШТАТ!$W:$W,"г. Белгород")</f>
        <v>2</v>
      </c>
      <c r="AH90" s="1222">
        <f t="shared" si="6"/>
        <v>2</v>
      </c>
      <c r="AI90" s="1219">
        <f>COUNTIFS(ШТАТ!$AL:$AL,$A90,ШТАТ!$AK:$AK,4,ШТАТ!$AJ:$AJ,"с/с",ШТАТ!$W:$W,"г. Белгород")</f>
        <v>0</v>
      </c>
      <c r="AJ90" s="1219">
        <f>COUNTIFS(ШТАТ!$AL:$AL,$A90,ШТАТ!$AK:$AK,4,ШТАТ!$AJ:$AJ,"к/с",ШТАТ!$W:$W,"г. Белгород")</f>
        <v>4</v>
      </c>
      <c r="AK90" s="1222">
        <f t="shared" si="7"/>
        <v>4</v>
      </c>
      <c r="AL90" s="1221">
        <f t="shared" si="16"/>
        <v>6</v>
      </c>
      <c r="AM90" s="1219">
        <f>COUNTIFS(ШТАТ!$AL:$AL,$A90,ШТАТ!$AK:$AK,1,ШТАТ!$AJ:$AJ,"о",ШТАТ!$U:$U,"")</f>
        <v>0</v>
      </c>
      <c r="AN90" s="1219">
        <f>COUNTIFS(ШТАТ!$AL:$AL,$A90,ШТАТ!$AK:$AK,2,ШТАТ!$AJ:$AJ,"п",ШТАТ!$U:$U,"")</f>
        <v>0</v>
      </c>
      <c r="AO90" s="1219">
        <f>COUNTIFS(ШТАТ!$AL:$AL,$A90,ШТАТ!$AK:$AK,3,ШТАТ!$AJ:$AJ,"с/с",ШТАТ!$U:$U,"")</f>
        <v>0</v>
      </c>
      <c r="AP90" s="1219">
        <f>COUNTIFS(ШТАТ!$AL:$AL,$A90,ШТАТ!$AK:$AK,3,ШТАТ!$AJ:$AJ,"к/с",ШТАТ!$U:$U,"")</f>
        <v>0</v>
      </c>
      <c r="AQ90" s="1222">
        <f t="shared" si="17"/>
        <v>0</v>
      </c>
      <c r="AR90" s="1219">
        <f>COUNTIFS(ШТАТ!$AL:$AL,$A90,ШТАТ!$AK:$AK,4,ШТАТ!$AJ:$AJ,"с/с",ШТАТ!$U:$U,"")</f>
        <v>0</v>
      </c>
      <c r="AS90" s="1219">
        <f>COUNTIFS(ШТАТ!$AL:$AL,$A90,ШТАТ!$AK:$AK,4,ШТАТ!$AJ:$AJ,"к/с",ШТАТ!$U:$U,"")</f>
        <v>1</v>
      </c>
      <c r="AT90" s="1222">
        <f t="shared" si="8"/>
        <v>1</v>
      </c>
      <c r="AU90" s="1221">
        <f t="shared" si="40"/>
        <v>1</v>
      </c>
      <c r="AV90" s="1219">
        <f>COUNTIFS(ШТАТ!$AL:$AL,$A90,ШТАТ!$U:$U,"госп")</f>
        <v>0</v>
      </c>
      <c r="AW90" s="1225">
        <f t="shared" si="9"/>
        <v>0</v>
      </c>
      <c r="AX90" s="1219">
        <f>COUNTIFS(ШТАТ!$AL:$AL,$A90,ШТАТ!$U:$U,"отпуск")</f>
        <v>0</v>
      </c>
      <c r="AY90" s="1219">
        <f>COUNTIFS(ШТАТ!$AL:$AL,$A90,ШТАТ!$U:$U,"соч")</f>
        <v>0</v>
      </c>
      <c r="AZ90" s="1225"/>
      <c r="BA90" s="1219">
        <f>COUNTIFS(ШТАТ!$AL:$AL,$A90,ШТАТ!$U:$U,"МП")</f>
        <v>0</v>
      </c>
      <c r="BB90" s="1226"/>
      <c r="BC90" s="1226"/>
      <c r="BD90" s="1219"/>
      <c r="BE90" s="1226"/>
      <c r="BF90" s="1226"/>
      <c r="BG90" s="1226"/>
      <c r="BH90" s="1226"/>
      <c r="BI90" s="1226"/>
      <c r="BJ90" s="1226"/>
      <c r="BK90" s="1226"/>
      <c r="BL90" s="1226"/>
      <c r="BM90" s="1226"/>
      <c r="BN90" s="1226"/>
      <c r="BO90" s="1226"/>
      <c r="BP90" s="1226"/>
      <c r="BQ90" s="1226"/>
      <c r="BR90" s="1226"/>
      <c r="BS90" s="1226"/>
      <c r="BT90" s="1226"/>
      <c r="BU90" s="1226"/>
      <c r="BV90" s="1226"/>
      <c r="BW90" s="1226"/>
      <c r="BX90" s="1226"/>
      <c r="BY90" s="1226"/>
      <c r="BZ90" s="1226"/>
      <c r="CA90" s="1226"/>
      <c r="CB90" s="1226"/>
      <c r="CC90" s="1226"/>
      <c r="CD90" s="1226"/>
      <c r="CE90" s="1226"/>
      <c r="CF90" s="1226"/>
      <c r="CG90" s="1226"/>
      <c r="CH90" s="1226"/>
      <c r="CI90" s="1226"/>
      <c r="CJ90" s="1226"/>
      <c r="CK90" s="1226"/>
      <c r="CL90" s="1226"/>
      <c r="CM90" s="1226"/>
      <c r="CN90" s="1226"/>
      <c r="CO90" s="1226"/>
      <c r="CP90" s="1226"/>
      <c r="CQ90" s="1226"/>
      <c r="CR90" s="1226"/>
      <c r="CS90" s="1226"/>
      <c r="CT90" s="1226"/>
      <c r="CU90" s="1226"/>
      <c r="CV90" s="1226"/>
      <c r="CW90" s="1226"/>
      <c r="CX90" s="1226"/>
      <c r="CY90" s="1226"/>
      <c r="CZ90" s="1226"/>
      <c r="DA90" s="1226"/>
      <c r="DB90" s="1226"/>
      <c r="DC90" s="1226"/>
      <c r="DD90" s="1226"/>
      <c r="DE90" s="1226"/>
      <c r="DF90" s="1226"/>
      <c r="DG90" s="1226"/>
      <c r="DH90" s="1226"/>
      <c r="DI90" s="1226">
        <v>2</v>
      </c>
      <c r="DJ90" s="1226"/>
      <c r="DK90" s="1226"/>
      <c r="DL90" s="1226"/>
      <c r="DM90" s="1226"/>
      <c r="DN90" s="1226">
        <v>1</v>
      </c>
      <c r="DO90" s="1226"/>
      <c r="DP90" s="1226"/>
      <c r="DQ90" s="1226"/>
      <c r="DR90" s="1226"/>
      <c r="DS90" s="1226"/>
      <c r="DT90" s="1226"/>
      <c r="DU90" s="1226"/>
      <c r="DV90" s="1226">
        <f>COUNTIFS(ШТАТ!$AN:$AN,"Урал-4320-31",ШТАТ!AL:AL,"Управление")</f>
        <v>0</v>
      </c>
      <c r="DW90" s="1226"/>
      <c r="DX90" s="1226"/>
      <c r="DY90" s="1226"/>
      <c r="DZ90" s="1226"/>
      <c r="EA90" s="1226"/>
      <c r="EB90" s="1226"/>
      <c r="EC90" s="1226"/>
      <c r="ED90" s="1226"/>
      <c r="EE90" s="1226"/>
      <c r="EF90" s="1226"/>
      <c r="EG90" s="1226"/>
      <c r="EH90" s="1226"/>
      <c r="EI90" s="1226"/>
      <c r="EJ90" s="1226"/>
      <c r="EK90" s="1226"/>
      <c r="EL90" s="1226"/>
      <c r="EM90" s="1226"/>
      <c r="EN90" s="1226"/>
      <c r="EO90" s="1226"/>
      <c r="EP90" s="1226"/>
      <c r="EQ90" s="1226"/>
      <c r="ER90" s="1226"/>
      <c r="ES90" s="1226"/>
      <c r="ET90" s="1226"/>
      <c r="EU90" s="1226"/>
      <c r="EV90" s="1226"/>
      <c r="EW90" s="1226"/>
      <c r="EX90" s="1226"/>
      <c r="EY90" s="1226"/>
      <c r="EZ90" s="1226"/>
      <c r="FA90" s="1226"/>
      <c r="FB90" s="1226"/>
      <c r="FC90" s="1226"/>
      <c r="FD90" s="1226"/>
      <c r="FE90" s="1226"/>
      <c r="FF90" s="1226"/>
      <c r="FG90" s="1226"/>
      <c r="FH90" s="1226">
        <v>1</v>
      </c>
      <c r="FI90" s="1226"/>
      <c r="FJ90" s="1226"/>
      <c r="FK90" s="1226"/>
      <c r="FL90" s="1226"/>
      <c r="FM90" s="1226"/>
      <c r="FN90" s="1226"/>
      <c r="FO90" s="1226"/>
      <c r="FP90" s="1226"/>
      <c r="FQ90" s="1226"/>
      <c r="FR90" s="1226"/>
    </row>
    <row r="91" spans="1:174" ht="33" x14ac:dyDescent="0.25">
      <c r="A91" s="1227" t="s">
        <v>596</v>
      </c>
      <c r="B91" s="1227"/>
      <c r="C91" s="1275">
        <f t="shared" si="43"/>
        <v>1</v>
      </c>
      <c r="D91" s="1275" t="s">
        <v>901</v>
      </c>
      <c r="E91" s="1219">
        <f>COUNTIFS(ШТАТ!$AL:$AL,'БЧС Дерябин'!$A91,ШТАТ!$AK:$AK,1)</f>
        <v>0</v>
      </c>
      <c r="F91" s="1219">
        <f>COUNTIFS(ШТАТ!$AL:$AL,'БЧС Дерябин'!$A91,ШТАТ!$AK:$AK,2)</f>
        <v>0</v>
      </c>
      <c r="G91" s="1219">
        <f>COUNTIFS(ШТАТ!$AL:$AL,'БЧС Дерябин'!$A91,ШТАТ!$AK:$AK,3)</f>
        <v>1</v>
      </c>
      <c r="H91" s="1219">
        <f>COUNTIFS(ШТАТ!$AL:$AL,'БЧС Дерябин'!$A91,ШТАТ!$AK:$AK,4)</f>
        <v>6</v>
      </c>
      <c r="I91" s="1221">
        <f t="shared" si="3"/>
        <v>7</v>
      </c>
      <c r="J91" s="1219">
        <f>COUNTIFS(ШТАТ!AL:AL,A91,ШТАТ!AJ:AJ,"о")</f>
        <v>0</v>
      </c>
      <c r="K91" s="1219">
        <f>COUNTIFS(ШТАТ!AL:AL,A91,ШТАТ!AJ:AJ,"п")</f>
        <v>0</v>
      </c>
      <c r="L91" s="1219">
        <f>COUNTIFS(ШТАТ!$AL:$AL,$A91,ШТАТ!AK:AK,3,ШТАТ!AJ:AJ,"с/с")</f>
        <v>0</v>
      </c>
      <c r="M91" s="1219">
        <f>COUNTIFS(ШТАТ!$AL:$AL,$A91,ШТАТ!AK:AK,3,ШТАТ!AJ:AJ,"к/с")</f>
        <v>0</v>
      </c>
      <c r="N91" s="1222">
        <f t="shared" si="11"/>
        <v>0</v>
      </c>
      <c r="O91" s="1220">
        <f>COUNTIFS(ШТАТ!$AL:$AL,$A91,ШТАТ!AK:AK,4,ШТАТ!AJ:AJ,"с/с")</f>
        <v>0</v>
      </c>
      <c r="P91" s="1220">
        <f>COUNTIFS(ШТАТ!$AL:$AL,$A91,ШТАТ!AK:AK,4,ШТАТ!AJ:AJ,"к/с")</f>
        <v>4</v>
      </c>
      <c r="Q91" s="1222">
        <f t="shared" si="39"/>
        <v>4</v>
      </c>
      <c r="R91" s="1221">
        <f t="shared" si="13"/>
        <v>4</v>
      </c>
      <c r="S91" s="1223">
        <f t="shared" si="14"/>
        <v>0.5714285714285714</v>
      </c>
      <c r="T91" s="1219">
        <f>COUNTIFS(ШТАТ!$AL:$AL,$A91,ШТАТ!$AJ:$AJ,"о",ШТАТ!$X:$X,"выполнение специальных задач")</f>
        <v>0</v>
      </c>
      <c r="U91" s="1219">
        <f>COUNTIFS(ШТАТ!$AL:$AL,$A91,ШТАТ!$AJ:$AJ,"п",ШТАТ!$X:$X,"выполнение специальных задач")</f>
        <v>0</v>
      </c>
      <c r="V91" s="1219">
        <f>COUNTIFS(ШТАТ!$AL:$AL,$A91,ШТАТ!$AK:$AK,3,ШТАТ!$AJ:$AJ,"с/с",ШТАТ!$X:$X,"выполнение специальных задач")</f>
        <v>0</v>
      </c>
      <c r="W91" s="1219">
        <f>COUNTIFS(ШТАТ!$AL:$AL,$A91,ШТАТ!$AK:$AK,3,ШТАТ!$AJ:$AJ,"к/с",ШТАТ!$X:$X,"выполнение специальных задач")</f>
        <v>0</v>
      </c>
      <c r="X91" s="1222">
        <f t="shared" si="4"/>
        <v>0</v>
      </c>
      <c r="Y91" s="1219">
        <f>COUNTIFS(ШТАТ!$AL:$AL,$A91,ШТАТ!$AK:$AK,4,ШТАТ!$AJ:$AJ,"с/с",ШТАТ!$X:$X,"выполнение специальных задач")</f>
        <v>0</v>
      </c>
      <c r="Z91" s="1219">
        <f>COUNTIFS(ШТАТ!$AL:$AL,$A91,ШТАТ!$AK:$AK,4,ШТАТ!$AJ:$AJ,"к/с",ШТАТ!$X:$X,"выполнение специальных задач")</f>
        <v>1</v>
      </c>
      <c r="AA91" s="1222">
        <f t="shared" si="5"/>
        <v>1</v>
      </c>
      <c r="AB91" s="1221">
        <f t="shared" si="15"/>
        <v>1</v>
      </c>
      <c r="AC91" s="1224"/>
      <c r="AD91" s="1219">
        <f>COUNTIFS(ШТАТ!$AL:$AL,$A91,ШТАТ!$AK:$AK,1,ШТАТ!$AJ:$AJ,"о",ШТАТ!$W:$W,"г. Белгород")</f>
        <v>0</v>
      </c>
      <c r="AE91" s="1219">
        <f>COUNTIFS(ШТАТ!$AL:$AL,$A91,ШТАТ!$AK:$AK,2,ШТАТ!$AJ:$AJ,"п",ШТАТ!$W:$W,"г. Белгород")</f>
        <v>0</v>
      </c>
      <c r="AF91" s="1219">
        <f>COUNTIFS(ШТАТ!$AL:$AL,$A91,ШТАТ!$AK:$AK,3,ШТАТ!$AJ:$AJ,"с/с",ШТАТ!$W:$W,"г. Белгород")</f>
        <v>0</v>
      </c>
      <c r="AG91" s="1219">
        <f>COUNTIFS(ШТАТ!$AL:$AL,$A91,ШТАТ!$AK:$AK,3,ШТАТ!$AJ:$AJ,"к/с",ШТАТ!$W:$W,"г. Белгород")</f>
        <v>0</v>
      </c>
      <c r="AH91" s="1222">
        <f t="shared" si="6"/>
        <v>0</v>
      </c>
      <c r="AI91" s="1219">
        <f>COUNTIFS(ШТАТ!$AL:$AL,$A91,ШТАТ!$AK:$AK,4,ШТАТ!$AJ:$AJ,"с/с",ШТАТ!$W:$W,"г. Белгород")</f>
        <v>0</v>
      </c>
      <c r="AJ91" s="1219">
        <f>COUNTIFS(ШТАТ!$AL:$AL,$A91,ШТАТ!$AK:$AK,4,ШТАТ!$AJ:$AJ,"к/с",ШТАТ!$W:$W,"г. Белгород")</f>
        <v>3</v>
      </c>
      <c r="AK91" s="1222">
        <f t="shared" si="7"/>
        <v>3</v>
      </c>
      <c r="AL91" s="1221">
        <f t="shared" si="16"/>
        <v>3</v>
      </c>
      <c r="AM91" s="1219">
        <f>COUNTIFS(ШТАТ!$AL:$AL,$A91,ШТАТ!$AK:$AK,1,ШТАТ!$AJ:$AJ,"о",ШТАТ!$U:$U,"")</f>
        <v>0</v>
      </c>
      <c r="AN91" s="1219">
        <f>COUNTIFS(ШТАТ!$AL:$AL,$A91,ШТАТ!$AK:$AK,2,ШТАТ!$AJ:$AJ,"п",ШТАТ!$U:$U,"")</f>
        <v>0</v>
      </c>
      <c r="AO91" s="1219">
        <f>COUNTIFS(ШТАТ!$AL:$AL,$A91,ШТАТ!$AK:$AK,3,ШТАТ!$AJ:$AJ,"с/с",ШТАТ!$U:$U,"")</f>
        <v>0</v>
      </c>
      <c r="AP91" s="1219">
        <f>COUNTIFS(ШТАТ!$AL:$AL,$A91,ШТАТ!$AK:$AK,3,ШТАТ!$AJ:$AJ,"к/с",ШТАТ!$U:$U,"")</f>
        <v>0</v>
      </c>
      <c r="AQ91" s="1222">
        <f t="shared" si="17"/>
        <v>0</v>
      </c>
      <c r="AR91" s="1219">
        <f>COUNTIFS(ШТАТ!$AL:$AL,$A91,ШТАТ!$AK:$AK,4,ШТАТ!$AJ:$AJ,"с/с",ШТАТ!$U:$U,"")</f>
        <v>0</v>
      </c>
      <c r="AS91" s="1219">
        <f>COUNTIFS(ШТАТ!$AL:$AL,$A91,ШТАТ!$AK:$AK,4,ШТАТ!$AJ:$AJ,"к/с",ШТАТ!$U:$U,"")</f>
        <v>0</v>
      </c>
      <c r="AT91" s="1222">
        <f t="shared" si="8"/>
        <v>0</v>
      </c>
      <c r="AU91" s="1221">
        <f t="shared" si="40"/>
        <v>0</v>
      </c>
      <c r="AV91" s="1219">
        <f>COUNTIFS(ШТАТ!$AL:$AL,$A91,ШТАТ!$U:$U,"госп")</f>
        <v>0</v>
      </c>
      <c r="AW91" s="1225">
        <f t="shared" si="9"/>
        <v>0</v>
      </c>
      <c r="AX91" s="1219">
        <f>COUNTIFS(ШТАТ!$AL:$AL,$A91,ШТАТ!$U:$U,"отпуск")</f>
        <v>0</v>
      </c>
      <c r="AY91" s="1219">
        <f>COUNTIFS(ШТАТ!$AL:$AL,$A91,ШТАТ!$U:$U,"соч")</f>
        <v>0</v>
      </c>
      <c r="AZ91" s="1225"/>
      <c r="BA91" s="1219">
        <f>COUNTIFS(ШТАТ!$AL:$AL,$A91,ШТАТ!$U:$U,"МП")</f>
        <v>0</v>
      </c>
      <c r="BB91" s="1226"/>
      <c r="BC91" s="1226"/>
      <c r="BD91" s="1219"/>
      <c r="BE91" s="1226"/>
      <c r="BF91" s="1226"/>
      <c r="BG91" s="1226"/>
      <c r="BH91" s="1226"/>
      <c r="BI91" s="1226"/>
      <c r="BJ91" s="1226"/>
      <c r="BK91" s="1226"/>
      <c r="BL91" s="1226"/>
      <c r="BM91" s="1226"/>
      <c r="BN91" s="1226"/>
      <c r="BO91" s="1226"/>
      <c r="BP91" s="1226"/>
      <c r="BQ91" s="1226"/>
      <c r="BR91" s="1226"/>
      <c r="BS91" s="1226"/>
      <c r="BT91" s="1226"/>
      <c r="BU91" s="1226"/>
      <c r="BV91" s="1226"/>
      <c r="BW91" s="1226"/>
      <c r="BX91" s="1226"/>
      <c r="BY91" s="1226"/>
      <c r="BZ91" s="1226"/>
      <c r="CA91" s="1226"/>
      <c r="CB91" s="1226"/>
      <c r="CC91" s="1226"/>
      <c r="CD91" s="1226"/>
      <c r="CE91" s="1226"/>
      <c r="CF91" s="1226"/>
      <c r="CG91" s="1226"/>
      <c r="CH91" s="1226"/>
      <c r="CI91" s="1226"/>
      <c r="CJ91" s="1226"/>
      <c r="CK91" s="1226"/>
      <c r="CL91" s="1226"/>
      <c r="CM91" s="1226"/>
      <c r="CN91" s="1226"/>
      <c r="CO91" s="1226"/>
      <c r="CP91" s="1226"/>
      <c r="CQ91" s="1226"/>
      <c r="CR91" s="1226"/>
      <c r="CS91" s="1226"/>
      <c r="CT91" s="1226"/>
      <c r="CU91" s="1226"/>
      <c r="CV91" s="1226"/>
      <c r="CW91" s="1226"/>
      <c r="CX91" s="1226"/>
      <c r="CY91" s="1226"/>
      <c r="CZ91" s="1226"/>
      <c r="DA91" s="1226"/>
      <c r="DB91" s="1226"/>
      <c r="DC91" s="1226"/>
      <c r="DD91" s="1226"/>
      <c r="DE91" s="1226"/>
      <c r="DF91" s="1226"/>
      <c r="DG91" s="1226"/>
      <c r="DH91" s="1226"/>
      <c r="DI91" s="1226"/>
      <c r="DJ91" s="1226"/>
      <c r="DK91" s="1226"/>
      <c r="DL91" s="1226"/>
      <c r="DM91" s="1226"/>
      <c r="DN91" s="1226">
        <v>1</v>
      </c>
      <c r="DO91" s="1226"/>
      <c r="DP91" s="1226"/>
      <c r="DQ91" s="1226"/>
      <c r="DR91" s="1226"/>
      <c r="DS91" s="1226"/>
      <c r="DT91" s="1226"/>
      <c r="DU91" s="1226"/>
      <c r="DV91" s="1226">
        <f>COUNTIFS(ШТАТ!$AN:$AN,"Урал-4320-31",ШТАТ!AL:AL,"Управление")</f>
        <v>0</v>
      </c>
      <c r="DW91" s="1226"/>
      <c r="DX91" s="1226"/>
      <c r="DY91" s="1226"/>
      <c r="DZ91" s="1226"/>
      <c r="EA91" s="1226"/>
      <c r="EB91" s="1226"/>
      <c r="EC91" s="1226"/>
      <c r="ED91" s="1226"/>
      <c r="EE91" s="1226"/>
      <c r="EF91" s="1226"/>
      <c r="EG91" s="1226"/>
      <c r="EH91" s="1226"/>
      <c r="EI91" s="1226"/>
      <c r="EJ91" s="1226"/>
      <c r="EK91" s="1226"/>
      <c r="EL91" s="1226"/>
      <c r="EM91" s="1226"/>
      <c r="EN91" s="1226"/>
      <c r="EO91" s="1226"/>
      <c r="EP91" s="1226"/>
      <c r="EQ91" s="1226"/>
      <c r="ER91" s="1226"/>
      <c r="ES91" s="1226"/>
      <c r="ET91" s="1226"/>
      <c r="EU91" s="1226"/>
      <c r="EV91" s="1226"/>
      <c r="EW91" s="1226"/>
      <c r="EX91" s="1226"/>
      <c r="EY91" s="1226"/>
      <c r="EZ91" s="1226"/>
      <c r="FA91" s="1226"/>
      <c r="FB91" s="1226"/>
      <c r="FC91" s="1226"/>
      <c r="FD91" s="1226"/>
      <c r="FE91" s="1226"/>
      <c r="FF91" s="1226"/>
      <c r="FG91" s="1226"/>
      <c r="FH91" s="1226">
        <v>1</v>
      </c>
      <c r="FI91" s="1226"/>
      <c r="FJ91" s="1226"/>
      <c r="FK91" s="1226"/>
      <c r="FL91" s="1226"/>
      <c r="FM91" s="1226"/>
      <c r="FN91" s="1226"/>
      <c r="FO91" s="1226"/>
      <c r="FP91" s="1226"/>
      <c r="FQ91" s="1226"/>
      <c r="FR91" s="1226"/>
    </row>
    <row r="92" spans="1:174" ht="33" x14ac:dyDescent="0.25">
      <c r="A92" s="1227" t="s">
        <v>603</v>
      </c>
      <c r="B92" s="1227"/>
      <c r="C92" s="1275">
        <f t="shared" si="43"/>
        <v>0</v>
      </c>
      <c r="D92" s="1275" t="s">
        <v>901</v>
      </c>
      <c r="E92" s="1219">
        <f>COUNTIFS(ШТАТ!$AL:$AL,'БЧС Дерябин'!$A92,ШТАТ!$AK:$AK,1)</f>
        <v>0</v>
      </c>
      <c r="F92" s="1219">
        <f>COUNTIFS(ШТАТ!$AL:$AL,'БЧС Дерябин'!$A92,ШТАТ!$AK:$AK,2)</f>
        <v>0</v>
      </c>
      <c r="G92" s="1219">
        <f>COUNTIFS(ШТАТ!$AL:$AL,'БЧС Дерябин'!$A92,ШТАТ!$AK:$AK,3)</f>
        <v>1</v>
      </c>
      <c r="H92" s="1219">
        <f>COUNTIFS(ШТАТ!$AL:$AL,'БЧС Дерябин'!$A92,ШТАТ!$AK:$AK,4)</f>
        <v>4</v>
      </c>
      <c r="I92" s="1221">
        <f t="shared" si="3"/>
        <v>5</v>
      </c>
      <c r="J92" s="1219">
        <f>COUNTIFS(ШТАТ!AL:AL,A92,ШТАТ!AJ:AJ,"о")</f>
        <v>0</v>
      </c>
      <c r="K92" s="1219">
        <f>COUNTIFS(ШТАТ!AL:AL,A92,ШТАТ!AJ:AJ,"п")</f>
        <v>0</v>
      </c>
      <c r="L92" s="1219">
        <f>COUNTIFS(ШТАТ!$AL:$AL,$A92,ШТАТ!AK:AK,3,ШТАТ!AJ:AJ,"с/с")</f>
        <v>0</v>
      </c>
      <c r="M92" s="1219">
        <f>COUNTIFS(ШТАТ!$AL:$AL,$A92,ШТАТ!AK:AK,3,ШТАТ!AJ:AJ,"к/с")</f>
        <v>1</v>
      </c>
      <c r="N92" s="1222">
        <f t="shared" si="11"/>
        <v>1</v>
      </c>
      <c r="O92" s="1220">
        <f>COUNTIFS(ШТАТ!$AL:$AL,$A92,ШТАТ!AK:AK,4,ШТАТ!AJ:AJ,"с/с")</f>
        <v>0</v>
      </c>
      <c r="P92" s="1220">
        <f>COUNTIFS(ШТАТ!$AL:$AL,$A92,ШТАТ!AK:AK,4,ШТАТ!AJ:AJ,"к/с")</f>
        <v>3</v>
      </c>
      <c r="Q92" s="1222">
        <f t="shared" si="39"/>
        <v>3</v>
      </c>
      <c r="R92" s="1221">
        <f t="shared" si="13"/>
        <v>4</v>
      </c>
      <c r="S92" s="1223">
        <f t="shared" si="14"/>
        <v>0.8</v>
      </c>
      <c r="T92" s="1219">
        <f>COUNTIFS(ШТАТ!$AL:$AL,$A92,ШТАТ!$AJ:$AJ,"о",ШТАТ!$X:$X,"выполнение специальных задач")</f>
        <v>0</v>
      </c>
      <c r="U92" s="1219">
        <f>COUNTIFS(ШТАТ!$AL:$AL,$A92,ШТАТ!$AJ:$AJ,"п",ШТАТ!$X:$X,"выполнение специальных задач")</f>
        <v>0</v>
      </c>
      <c r="V92" s="1219">
        <f>COUNTIFS(ШТАТ!$AL:$AL,$A92,ШТАТ!$AK:$AK,3,ШТАТ!$AJ:$AJ,"с/с",ШТАТ!$X:$X,"выполнение специальных задач")</f>
        <v>0</v>
      </c>
      <c r="W92" s="1219">
        <f>COUNTIFS(ШТАТ!$AL:$AL,$A92,ШТАТ!$AK:$AK,3,ШТАТ!$AJ:$AJ,"к/с",ШТАТ!$X:$X,"выполнение специальных задач")</f>
        <v>0</v>
      </c>
      <c r="X92" s="1222">
        <f t="shared" si="4"/>
        <v>0</v>
      </c>
      <c r="Y92" s="1219">
        <f>COUNTIFS(ШТАТ!$AL:$AL,$A92,ШТАТ!$AK:$AK,4,ШТАТ!$AJ:$AJ,"с/с",ШТАТ!$X:$X,"выполнение специальных задач")</f>
        <v>0</v>
      </c>
      <c r="Z92" s="1219">
        <f>COUNTIFS(ШТАТ!$AL:$AL,$A92,ШТАТ!$AK:$AK,4,ШТАТ!$AJ:$AJ,"к/с",ШТАТ!$X:$X,"выполнение специальных задач")</f>
        <v>0</v>
      </c>
      <c r="AA92" s="1222">
        <f t="shared" si="5"/>
        <v>0</v>
      </c>
      <c r="AB92" s="1221">
        <f t="shared" si="15"/>
        <v>0</v>
      </c>
      <c r="AC92" s="1224"/>
      <c r="AD92" s="1219">
        <f>COUNTIFS(ШТАТ!$AL:$AL,$A92,ШТАТ!$AK:$AK,1,ШТАТ!$AJ:$AJ,"о",ШТАТ!$W:$W,"г. Белгород")</f>
        <v>0</v>
      </c>
      <c r="AE92" s="1219">
        <f>COUNTIFS(ШТАТ!$AL:$AL,$A92,ШТАТ!$AK:$AK,2,ШТАТ!$AJ:$AJ,"п",ШТАТ!$W:$W,"г. Белгород")</f>
        <v>0</v>
      </c>
      <c r="AF92" s="1219">
        <f>COUNTIFS(ШТАТ!$AL:$AL,$A92,ШТАТ!$AK:$AK,3,ШТАТ!$AJ:$AJ,"с/с",ШТАТ!$W:$W,"г. Белгород")</f>
        <v>0</v>
      </c>
      <c r="AG92" s="1219">
        <f>COUNTIFS(ШТАТ!$AL:$AL,$A92,ШТАТ!$AK:$AK,3,ШТАТ!$AJ:$AJ,"к/с",ШТАТ!$W:$W,"г. Белгород")</f>
        <v>1</v>
      </c>
      <c r="AH92" s="1222">
        <f t="shared" si="6"/>
        <v>1</v>
      </c>
      <c r="AI92" s="1219">
        <f>COUNTIFS(ШТАТ!$AL:$AL,$A92,ШТАТ!$AK:$AK,4,ШТАТ!$AJ:$AJ,"с/с",ШТАТ!$W:$W,"г. Белгород")</f>
        <v>0</v>
      </c>
      <c r="AJ92" s="1219">
        <f>COUNTIFS(ШТАТ!$AL:$AL,$A92,ШТАТ!$AK:$AK,4,ШТАТ!$AJ:$AJ,"к/с",ШТАТ!$W:$W,"г. Белгород")</f>
        <v>2</v>
      </c>
      <c r="AK92" s="1222">
        <f t="shared" si="7"/>
        <v>2</v>
      </c>
      <c r="AL92" s="1221">
        <f>SUM(AK92,AH92,AD92:AE92)</f>
        <v>3</v>
      </c>
      <c r="AM92" s="1219">
        <f>COUNTIFS(ШТАТ!$AL:$AL,$A92,ШТАТ!$AK:$AK,1,ШТАТ!$AJ:$AJ,"о",ШТАТ!$U:$U,"")</f>
        <v>0</v>
      </c>
      <c r="AN92" s="1219">
        <f>COUNTIFS(ШТАТ!$AL:$AL,$A92,ШТАТ!$AK:$AK,2,ШТАТ!$AJ:$AJ,"п",ШТАТ!$U:$U,"")</f>
        <v>0</v>
      </c>
      <c r="AO92" s="1219">
        <f>COUNTIFS(ШТАТ!$AL:$AL,$A92,ШТАТ!$AK:$AK,3,ШТАТ!$AJ:$AJ,"с/с",ШТАТ!$U:$U,"")</f>
        <v>0</v>
      </c>
      <c r="AP92" s="1219">
        <f>COUNTIFS(ШТАТ!$AL:$AL,$A92,ШТАТ!$AK:$AK,3,ШТАТ!$AJ:$AJ,"к/с",ШТАТ!$U:$U,"")</f>
        <v>0</v>
      </c>
      <c r="AQ92" s="1222">
        <f t="shared" si="17"/>
        <v>0</v>
      </c>
      <c r="AR92" s="1219">
        <f>COUNTIFS(ШТАТ!$AL:$AL,$A92,ШТАТ!$AK:$AK,4,ШТАТ!$AJ:$AJ,"с/с",ШТАТ!$U:$U,"")</f>
        <v>0</v>
      </c>
      <c r="AS92" s="1219">
        <f>COUNTIFS(ШТАТ!$AL:$AL,$A92,ШТАТ!$AK:$AK,4,ШТАТ!$AJ:$AJ,"к/с",ШТАТ!$U:$U,"")</f>
        <v>1</v>
      </c>
      <c r="AT92" s="1222">
        <f t="shared" si="8"/>
        <v>1</v>
      </c>
      <c r="AU92" s="1221">
        <f t="shared" si="40"/>
        <v>1</v>
      </c>
      <c r="AV92" s="1219">
        <f>COUNTIFS(ШТАТ!$AL:$AL,$A92,ШТАТ!$U:$U,"госп")</f>
        <v>0</v>
      </c>
      <c r="AW92" s="1225">
        <f t="shared" si="9"/>
        <v>0</v>
      </c>
      <c r="AX92" s="1219">
        <f>COUNTIFS(ШТАТ!$AL:$AL,$A92,ШТАТ!$U:$U,"отпуск")</f>
        <v>0</v>
      </c>
      <c r="AY92" s="1219">
        <f>COUNTIFS(ШТАТ!$AL:$AL,$A92,ШТАТ!$U:$U,"соч")</f>
        <v>0</v>
      </c>
      <c r="AZ92" s="1225"/>
      <c r="BA92" s="1219">
        <f>COUNTIFS(ШТАТ!$AL:$AL,$A92,ШТАТ!$U:$U,"МП")</f>
        <v>0</v>
      </c>
      <c r="BB92" s="1226"/>
      <c r="BC92" s="1226"/>
      <c r="BD92" s="1219"/>
      <c r="BE92" s="1226"/>
      <c r="BF92" s="1226"/>
      <c r="BG92" s="1226"/>
      <c r="BH92" s="1226"/>
      <c r="BI92" s="1226"/>
      <c r="BJ92" s="1226"/>
      <c r="BK92" s="1226"/>
      <c r="BL92" s="1226"/>
      <c r="BM92" s="1226"/>
      <c r="BN92" s="1226"/>
      <c r="BO92" s="1226"/>
      <c r="BP92" s="1226"/>
      <c r="BQ92" s="1226"/>
      <c r="BR92" s="1226"/>
      <c r="BS92" s="1226"/>
      <c r="BT92" s="1226"/>
      <c r="BU92" s="1226"/>
      <c r="BV92" s="1226"/>
      <c r="BW92" s="1226"/>
      <c r="BX92" s="1226"/>
      <c r="BY92" s="1226"/>
      <c r="BZ92" s="1226"/>
      <c r="CA92" s="1226"/>
      <c r="CB92" s="1226"/>
      <c r="CC92" s="1226"/>
      <c r="CD92" s="1226"/>
      <c r="CE92" s="1226"/>
      <c r="CF92" s="1226"/>
      <c r="CG92" s="1226"/>
      <c r="CH92" s="1226"/>
      <c r="CI92" s="1226"/>
      <c r="CJ92" s="1226"/>
      <c r="CK92" s="1226"/>
      <c r="CL92" s="1226"/>
      <c r="CM92" s="1226"/>
      <c r="CN92" s="1226"/>
      <c r="CO92" s="1226"/>
      <c r="CP92" s="1226"/>
      <c r="CQ92" s="1226"/>
      <c r="CR92" s="1226"/>
      <c r="CS92" s="1226"/>
      <c r="CT92" s="1226"/>
      <c r="CU92" s="1226"/>
      <c r="CV92" s="1226"/>
      <c r="CW92" s="1226"/>
      <c r="CX92" s="1226"/>
      <c r="CY92" s="1226"/>
      <c r="CZ92" s="1226"/>
      <c r="DA92" s="1226"/>
      <c r="DB92" s="1226"/>
      <c r="DC92" s="1226"/>
      <c r="DD92" s="1226"/>
      <c r="DE92" s="1226"/>
      <c r="DF92" s="1226"/>
      <c r="DG92" s="1226"/>
      <c r="DH92" s="1226"/>
      <c r="DI92" s="1226"/>
      <c r="DJ92" s="1226"/>
      <c r="DK92" s="1226"/>
      <c r="DL92" s="1226"/>
      <c r="DM92" s="1226"/>
      <c r="DN92" s="1226"/>
      <c r="DO92" s="1226"/>
      <c r="DP92" s="1226"/>
      <c r="DQ92" s="1226"/>
      <c r="DR92" s="1226"/>
      <c r="DS92" s="1226"/>
      <c r="DT92" s="1226"/>
      <c r="DU92" s="1226"/>
      <c r="DV92" s="1226">
        <f>COUNTIFS(ШТАТ!$AN:$AN,"Урал-4320-31",ШТАТ!AL:AL,"Управление")</f>
        <v>0</v>
      </c>
      <c r="DW92" s="1226"/>
      <c r="DX92" s="1226"/>
      <c r="DY92" s="1226"/>
      <c r="DZ92" s="1226"/>
      <c r="EA92" s="1226"/>
      <c r="EB92" s="1226"/>
      <c r="EC92" s="1226"/>
      <c r="ED92" s="1226"/>
      <c r="EE92" s="1226"/>
      <c r="EF92" s="1226"/>
      <c r="EG92" s="1226"/>
      <c r="EH92" s="1226"/>
      <c r="EI92" s="1226"/>
      <c r="EJ92" s="1226"/>
      <c r="EK92" s="1226"/>
      <c r="EL92" s="1226"/>
      <c r="EM92" s="1226"/>
      <c r="EN92" s="1226"/>
      <c r="EO92" s="1226"/>
      <c r="EP92" s="1226"/>
      <c r="EQ92" s="1226"/>
      <c r="ER92" s="1226"/>
      <c r="ES92" s="1226"/>
      <c r="ET92" s="1226"/>
      <c r="EU92" s="1226"/>
      <c r="EV92" s="1226"/>
      <c r="EW92" s="1226"/>
      <c r="EX92" s="1226"/>
      <c r="EY92" s="1226"/>
      <c r="EZ92" s="1226"/>
      <c r="FA92" s="1226"/>
      <c r="FB92" s="1226"/>
      <c r="FC92" s="1226"/>
      <c r="FD92" s="1226"/>
      <c r="FE92" s="1226"/>
      <c r="FF92" s="1226"/>
      <c r="FG92" s="1226"/>
      <c r="FH92" s="1226">
        <v>1</v>
      </c>
      <c r="FI92" s="1226"/>
      <c r="FJ92" s="1226"/>
      <c r="FK92" s="1226"/>
      <c r="FL92" s="1226"/>
      <c r="FM92" s="1226"/>
      <c r="FN92" s="1226"/>
      <c r="FO92" s="1226"/>
      <c r="FP92" s="1226"/>
      <c r="FQ92" s="1226"/>
      <c r="FR92" s="1226"/>
    </row>
    <row r="93" spans="1:174" ht="33" x14ac:dyDescent="0.25">
      <c r="A93" s="1227" t="s">
        <v>607</v>
      </c>
      <c r="B93" s="1227"/>
      <c r="C93" s="1275">
        <f t="shared" si="43"/>
        <v>0</v>
      </c>
      <c r="D93" s="1275" t="s">
        <v>901</v>
      </c>
      <c r="E93" s="1219">
        <f>COUNTIFS(ШТАТ!$AL:$AL,'БЧС Дерябин'!$A93,ШТАТ!$AK:$AK,1)</f>
        <v>0</v>
      </c>
      <c r="F93" s="1219">
        <f>COUNTIFS(ШТАТ!$AL:$AL,'БЧС Дерябин'!$A93,ШТАТ!$AK:$AK,2)</f>
        <v>0</v>
      </c>
      <c r="G93" s="1219">
        <f>COUNTIFS(ШТАТ!$AL:$AL,'БЧС Дерябин'!$A93,ШТАТ!$AK:$AK,3)</f>
        <v>1</v>
      </c>
      <c r="H93" s="1219">
        <f>COUNTIFS(ШТАТ!$AL:$AL,'БЧС Дерябин'!$A93,ШТАТ!$AK:$AK,4)</f>
        <v>2</v>
      </c>
      <c r="I93" s="1221">
        <f t="shared" si="3"/>
        <v>3</v>
      </c>
      <c r="J93" s="1219">
        <f>COUNTIFS(ШТАТ!AL:AL,A93,ШТАТ!AJ:AJ,"о")</f>
        <v>0</v>
      </c>
      <c r="K93" s="1219">
        <f>COUNTIFS(ШТАТ!AL:AL,A93,ШТАТ!AJ:AJ,"п")</f>
        <v>0</v>
      </c>
      <c r="L93" s="1219">
        <f>COUNTIFS(ШТАТ!$AL:$AL,$A93,ШТАТ!AK:AK,3,ШТАТ!AJ:AJ,"с/с")</f>
        <v>0</v>
      </c>
      <c r="M93" s="1219">
        <f>COUNTIFS(ШТАТ!$AL:$AL,$A93,ШТАТ!AK:AK,3,ШТАТ!AJ:AJ,"к/с")</f>
        <v>0</v>
      </c>
      <c r="N93" s="1222">
        <f t="shared" si="11"/>
        <v>0</v>
      </c>
      <c r="O93" s="1220">
        <f>COUNTIFS(ШТАТ!$AL:$AL,$A93,ШТАТ!AK:AK,4,ШТАТ!AJ:AJ,"с/с")</f>
        <v>0</v>
      </c>
      <c r="P93" s="1220">
        <f>COUNTIFS(ШТАТ!$AL:$AL,$A93,ШТАТ!AK:AK,4,ШТАТ!AJ:AJ,"к/с")</f>
        <v>1</v>
      </c>
      <c r="Q93" s="1222">
        <f t="shared" si="39"/>
        <v>1</v>
      </c>
      <c r="R93" s="1221">
        <f t="shared" si="13"/>
        <v>1</v>
      </c>
      <c r="S93" s="1223">
        <f t="shared" si="14"/>
        <v>0.33333333333333331</v>
      </c>
      <c r="T93" s="1219">
        <f>COUNTIFS(ШТАТ!$AL:$AL,$A93,ШТАТ!$AJ:$AJ,"о",ШТАТ!$X:$X,"выполнение специальных задач")</f>
        <v>0</v>
      </c>
      <c r="U93" s="1219">
        <f>COUNTIFS(ШТАТ!$AL:$AL,$A93,ШТАТ!$AJ:$AJ,"п",ШТАТ!$X:$X,"выполнение специальных задач")</f>
        <v>0</v>
      </c>
      <c r="V93" s="1219">
        <f>COUNTIFS(ШТАТ!$AL:$AL,$A93,ШТАТ!$AK:$AK,3,ШТАТ!$AJ:$AJ,"с/с",ШТАТ!$X:$X,"выполнение специальных задач")</f>
        <v>0</v>
      </c>
      <c r="W93" s="1219">
        <f>COUNTIFS(ШТАТ!$AL:$AL,$A93,ШТАТ!$AK:$AK,3,ШТАТ!$AJ:$AJ,"к/с",ШТАТ!$X:$X,"выполнение специальных задач")</f>
        <v>0</v>
      </c>
      <c r="X93" s="1222">
        <f t="shared" si="4"/>
        <v>0</v>
      </c>
      <c r="Y93" s="1219">
        <f>COUNTIFS(ШТАТ!$AL:$AL,$A93,ШТАТ!$AK:$AK,4,ШТАТ!$AJ:$AJ,"с/с",ШТАТ!$X:$X,"выполнение специальных задач")</f>
        <v>0</v>
      </c>
      <c r="Z93" s="1219">
        <f>COUNTIFS(ШТАТ!$AL:$AL,$A93,ШТАТ!$AK:$AK,4,ШТАТ!$AJ:$AJ,"к/с",ШТАТ!$X:$X,"выполнение специальных задач")</f>
        <v>0</v>
      </c>
      <c r="AA93" s="1222">
        <f t="shared" si="5"/>
        <v>0</v>
      </c>
      <c r="AB93" s="1221">
        <f t="shared" si="15"/>
        <v>0</v>
      </c>
      <c r="AC93" s="1224"/>
      <c r="AD93" s="1219">
        <f>COUNTIFS(ШТАТ!$AL:$AL,$A93,ШТАТ!$AK:$AK,1,ШТАТ!$AJ:$AJ,"о",ШТАТ!$W:$W,"г. Белгород")</f>
        <v>0</v>
      </c>
      <c r="AE93" s="1219">
        <f>COUNTIFS(ШТАТ!$AL:$AL,$A93,ШТАТ!$AK:$AK,2,ШТАТ!$AJ:$AJ,"п",ШТАТ!$W:$W,"г. Белгород")</f>
        <v>0</v>
      </c>
      <c r="AF93" s="1219">
        <f>COUNTIFS(ШТАТ!$AL:$AL,$A93,ШТАТ!$AK:$AK,3,ШТАТ!$AJ:$AJ,"с/с",ШТАТ!$W:$W,"г. Белгород")</f>
        <v>0</v>
      </c>
      <c r="AG93" s="1219">
        <f>COUNTIFS(ШТАТ!$AL:$AL,$A93,ШТАТ!$AK:$AK,3,ШТАТ!$AJ:$AJ,"к/с",ШТАТ!$W:$W,"г. Белгород")</f>
        <v>0</v>
      </c>
      <c r="AH93" s="1222">
        <f t="shared" si="6"/>
        <v>0</v>
      </c>
      <c r="AI93" s="1219">
        <f>COUNTIFS(ШТАТ!$AL:$AL,$A93,ШТАТ!$AK:$AK,4,ШТАТ!$AJ:$AJ,"с/с",ШТАТ!$W:$W,"г. Белгород")</f>
        <v>0</v>
      </c>
      <c r="AJ93" s="1219">
        <f>COUNTIFS(ШТАТ!$AL:$AL,$A93,ШТАТ!$AK:$AK,4,ШТАТ!$AJ:$AJ,"к/с",ШТАТ!$W:$W,"г. Белгород")</f>
        <v>1</v>
      </c>
      <c r="AK93" s="1222">
        <f t="shared" si="7"/>
        <v>1</v>
      </c>
      <c r="AL93" s="1221">
        <f t="shared" si="16"/>
        <v>1</v>
      </c>
      <c r="AM93" s="1219">
        <f>COUNTIFS(ШТАТ!$AL:$AL,$A93,ШТАТ!$AK:$AK,1,ШТАТ!$AJ:$AJ,"о",ШТАТ!$U:$U,"")</f>
        <v>0</v>
      </c>
      <c r="AN93" s="1219">
        <f>COUNTIFS(ШТАТ!$AL:$AL,$A93,ШТАТ!$AK:$AK,2,ШТАТ!$AJ:$AJ,"п",ШТАТ!$U:$U,"")</f>
        <v>0</v>
      </c>
      <c r="AO93" s="1219">
        <f>COUNTIFS(ШТАТ!$AL:$AL,$A93,ШТАТ!$AK:$AK,3,ШТАТ!$AJ:$AJ,"с/с",ШТАТ!$U:$U,"")</f>
        <v>0</v>
      </c>
      <c r="AP93" s="1219">
        <f>COUNTIFS(ШТАТ!$AL:$AL,$A93,ШТАТ!$AK:$AK,3,ШТАТ!$AJ:$AJ,"к/с",ШТАТ!$U:$U,"")</f>
        <v>0</v>
      </c>
      <c r="AQ93" s="1222">
        <f t="shared" si="17"/>
        <v>0</v>
      </c>
      <c r="AR93" s="1219">
        <f>COUNTIFS(ШТАТ!$AL:$AL,$A93,ШТАТ!$AK:$AK,4,ШТАТ!$AJ:$AJ,"с/с",ШТАТ!$U:$U,"")</f>
        <v>0</v>
      </c>
      <c r="AS93" s="1219">
        <f>COUNTIFS(ШТАТ!$AL:$AL,$A93,ШТАТ!$AK:$AK,4,ШТАТ!$AJ:$AJ,"к/с",ШТАТ!$U:$U,"")</f>
        <v>0</v>
      </c>
      <c r="AT93" s="1222">
        <f t="shared" si="8"/>
        <v>0</v>
      </c>
      <c r="AU93" s="1221">
        <f t="shared" si="40"/>
        <v>0</v>
      </c>
      <c r="AV93" s="1219">
        <f>COUNTIFS(ШТАТ!$AL:$AL,$A93,ШТАТ!$U:$U,"госп")</f>
        <v>0</v>
      </c>
      <c r="AW93" s="1225">
        <f t="shared" si="9"/>
        <v>0</v>
      </c>
      <c r="AX93" s="1219">
        <f>COUNTIFS(ШТАТ!$AL:$AL,$A93,ШТАТ!$U:$U,"отпуск")</f>
        <v>0</v>
      </c>
      <c r="AY93" s="1219">
        <f>COUNTIFS(ШТАТ!$AL:$AL,$A93,ШТАТ!$U:$U,"соч")</f>
        <v>0</v>
      </c>
      <c r="AZ93" s="1225"/>
      <c r="BA93" s="1219">
        <f>COUNTIFS(ШТАТ!$AL:$AL,$A93,ШТАТ!$U:$U,"МП")</f>
        <v>0</v>
      </c>
      <c r="BB93" s="1226"/>
      <c r="BC93" s="1226"/>
      <c r="BD93" s="1219"/>
      <c r="BE93" s="1226"/>
      <c r="BF93" s="1226"/>
      <c r="BG93" s="1226"/>
      <c r="BH93" s="1226"/>
      <c r="BI93" s="1226"/>
      <c r="BJ93" s="1226"/>
      <c r="BK93" s="1226"/>
      <c r="BL93" s="1226"/>
      <c r="BM93" s="1226"/>
      <c r="BN93" s="1226"/>
      <c r="BO93" s="1226"/>
      <c r="BP93" s="1226"/>
      <c r="BQ93" s="1226"/>
      <c r="BR93" s="1226"/>
      <c r="BS93" s="1226"/>
      <c r="BT93" s="1226"/>
      <c r="BU93" s="1226"/>
      <c r="BV93" s="1226"/>
      <c r="BW93" s="1226"/>
      <c r="BX93" s="1226"/>
      <c r="BY93" s="1226"/>
      <c r="BZ93" s="1226"/>
      <c r="CA93" s="1226"/>
      <c r="CB93" s="1226"/>
      <c r="CC93" s="1226"/>
      <c r="CD93" s="1226"/>
      <c r="CE93" s="1226"/>
      <c r="CF93" s="1226"/>
      <c r="CG93" s="1226"/>
      <c r="CH93" s="1226"/>
      <c r="CI93" s="1226"/>
      <c r="CJ93" s="1226"/>
      <c r="CK93" s="1226"/>
      <c r="CL93" s="1226"/>
      <c r="CM93" s="1226"/>
      <c r="CN93" s="1226"/>
      <c r="CO93" s="1226"/>
      <c r="CP93" s="1226"/>
      <c r="CQ93" s="1226"/>
      <c r="CR93" s="1226"/>
      <c r="CS93" s="1226"/>
      <c r="CT93" s="1226"/>
      <c r="CU93" s="1226"/>
      <c r="CV93" s="1226"/>
      <c r="CW93" s="1226"/>
      <c r="CX93" s="1226"/>
      <c r="CY93" s="1226"/>
      <c r="CZ93" s="1226"/>
      <c r="DA93" s="1226"/>
      <c r="DB93" s="1226"/>
      <c r="DC93" s="1226"/>
      <c r="DD93" s="1226"/>
      <c r="DE93" s="1226"/>
      <c r="DF93" s="1226"/>
      <c r="DG93" s="1226"/>
      <c r="DH93" s="1226"/>
      <c r="DI93" s="1226"/>
      <c r="DJ93" s="1226"/>
      <c r="DK93" s="1226"/>
      <c r="DL93" s="1226"/>
      <c r="DM93" s="1226"/>
      <c r="DN93" s="1226"/>
      <c r="DO93" s="1226"/>
      <c r="DP93" s="1226"/>
      <c r="DQ93" s="1226"/>
      <c r="DR93" s="1226"/>
      <c r="DS93" s="1226"/>
      <c r="DT93" s="1226"/>
      <c r="DU93" s="1226"/>
      <c r="DV93" s="1226">
        <f>COUNTIFS(ШТАТ!$AN:$AN,"Урал-4320-31",ШТАТ!AL:AL,"Управление")</f>
        <v>0</v>
      </c>
      <c r="DW93" s="1226"/>
      <c r="DX93" s="1226"/>
      <c r="DY93" s="1226"/>
      <c r="DZ93" s="1226"/>
      <c r="EA93" s="1226"/>
      <c r="EB93" s="1226"/>
      <c r="EC93" s="1226"/>
      <c r="ED93" s="1226"/>
      <c r="EE93" s="1226"/>
      <c r="EF93" s="1226"/>
      <c r="EG93" s="1226"/>
      <c r="EH93" s="1226"/>
      <c r="EI93" s="1226"/>
      <c r="EJ93" s="1226"/>
      <c r="EK93" s="1226"/>
      <c r="EL93" s="1226"/>
      <c r="EM93" s="1226"/>
      <c r="EN93" s="1226"/>
      <c r="EO93" s="1226"/>
      <c r="EP93" s="1226"/>
      <c r="EQ93" s="1226"/>
      <c r="ER93" s="1226"/>
      <c r="ES93" s="1226"/>
      <c r="ET93" s="1226"/>
      <c r="EU93" s="1226"/>
      <c r="EV93" s="1226"/>
      <c r="EW93" s="1226"/>
      <c r="EX93" s="1226"/>
      <c r="EY93" s="1226"/>
      <c r="EZ93" s="1226"/>
      <c r="FA93" s="1226"/>
      <c r="FB93" s="1226"/>
      <c r="FC93" s="1226">
        <v>1</v>
      </c>
      <c r="FD93" s="1226"/>
      <c r="FE93" s="1226"/>
      <c r="FF93" s="1226"/>
      <c r="FG93" s="1226"/>
      <c r="FH93" s="1226"/>
      <c r="FI93" s="1226"/>
      <c r="FJ93" s="1226"/>
      <c r="FK93" s="1226"/>
      <c r="FL93" s="1226"/>
      <c r="FM93" s="1226"/>
      <c r="FN93" s="1226"/>
      <c r="FO93" s="1226"/>
      <c r="FP93" s="1226"/>
      <c r="FQ93" s="1226"/>
      <c r="FR93" s="1226"/>
    </row>
    <row r="94" spans="1:174" ht="33" x14ac:dyDescent="0.25">
      <c r="A94" s="1218" t="s">
        <v>552</v>
      </c>
      <c r="B94" s="1265" t="s">
        <v>4736</v>
      </c>
      <c r="C94" s="1265">
        <f t="shared" si="43"/>
        <v>17</v>
      </c>
      <c r="D94" s="1265" t="s">
        <v>901</v>
      </c>
      <c r="E94" s="1219">
        <f>SUM(E83:E93)</f>
        <v>11</v>
      </c>
      <c r="F94" s="1219">
        <f>SUM(F83:F93)</f>
        <v>3</v>
      </c>
      <c r="G94" s="1219">
        <f>SUM(G83:G93)</f>
        <v>24</v>
      </c>
      <c r="H94" s="1219">
        <f>SUM(H83:H93)</f>
        <v>123</v>
      </c>
      <c r="I94" s="1221">
        <f t="shared" si="3"/>
        <v>161</v>
      </c>
      <c r="J94" s="1219">
        <f>SUM(J83:J93)</f>
        <v>11</v>
      </c>
      <c r="K94" s="1219">
        <f>SUM(K83:K93)</f>
        <v>2</v>
      </c>
      <c r="L94" s="1219">
        <f>SUM(L83:L93)</f>
        <v>0</v>
      </c>
      <c r="M94" s="1219">
        <f>SUM(M83:M93)</f>
        <v>22</v>
      </c>
      <c r="N94" s="1222">
        <f t="shared" si="11"/>
        <v>22</v>
      </c>
      <c r="O94" s="1219">
        <f>SUM(O83:O93)</f>
        <v>0</v>
      </c>
      <c r="P94" s="1219">
        <f>SUM(P83:P93)</f>
        <v>102</v>
      </c>
      <c r="Q94" s="1222">
        <f>SUM(O94:P94)</f>
        <v>102</v>
      </c>
      <c r="R94" s="1221">
        <f>SUM(Q94,N94,J94:K94)</f>
        <v>137</v>
      </c>
      <c r="S94" s="1223">
        <f>R94/I94</f>
        <v>0.85093167701863359</v>
      </c>
      <c r="T94" s="1219">
        <f t="shared" ref="T94:AB94" si="44">SUM(T83:T93)</f>
        <v>9</v>
      </c>
      <c r="U94" s="1219">
        <f t="shared" si="44"/>
        <v>1</v>
      </c>
      <c r="V94" s="1219">
        <f t="shared" si="44"/>
        <v>0</v>
      </c>
      <c r="W94" s="1219">
        <f t="shared" si="44"/>
        <v>1</v>
      </c>
      <c r="X94" s="1222">
        <f t="shared" si="44"/>
        <v>1</v>
      </c>
      <c r="Y94" s="1219">
        <f t="shared" si="44"/>
        <v>0</v>
      </c>
      <c r="Z94" s="1219">
        <f t="shared" si="44"/>
        <v>6</v>
      </c>
      <c r="AA94" s="1222">
        <f t="shared" si="44"/>
        <v>6</v>
      </c>
      <c r="AB94" s="1221">
        <f t="shared" si="44"/>
        <v>17</v>
      </c>
      <c r="AC94" s="1224">
        <f>AB94/R94</f>
        <v>0.12408759124087591</v>
      </c>
      <c r="AD94" s="1219">
        <f>SUM(AD83:AD93)</f>
        <v>1</v>
      </c>
      <c r="AE94" s="1219">
        <f>SUM(AE83:AE93)</f>
        <v>0</v>
      </c>
      <c r="AF94" s="1219">
        <f>SUM(AF83:AF93)</f>
        <v>0</v>
      </c>
      <c r="AG94" s="1219">
        <f>SUM(AG83:AG93)</f>
        <v>19</v>
      </c>
      <c r="AH94" s="1222">
        <f t="shared" si="6"/>
        <v>19</v>
      </c>
      <c r="AI94" s="1219">
        <f>SUM(AI83:AI93)</f>
        <v>0</v>
      </c>
      <c r="AJ94" s="1219">
        <f>SUM(AJ83:AJ93)</f>
        <v>89</v>
      </c>
      <c r="AK94" s="1222">
        <f>SUM(AI94:AJ94)</f>
        <v>89</v>
      </c>
      <c r="AL94" s="1221">
        <f>SUM(AK94,AH94,AD94:AE94)</f>
        <v>109</v>
      </c>
      <c r="AM94" s="1219">
        <f>SUM(AM83:AM93)</f>
        <v>0</v>
      </c>
      <c r="AN94" s="1219">
        <f>SUM(AN83:AN93)</f>
        <v>1</v>
      </c>
      <c r="AO94" s="1219">
        <f>SUM(AO83:AO93)</f>
        <v>0</v>
      </c>
      <c r="AP94" s="1219">
        <f>SUM(AP83:AP93)</f>
        <v>1</v>
      </c>
      <c r="AQ94" s="1222">
        <f t="shared" si="17"/>
        <v>1</v>
      </c>
      <c r="AR94" s="1219">
        <f>SUM(AR83:AR93)</f>
        <v>0</v>
      </c>
      <c r="AS94" s="1219">
        <f>SUM(AS83:AS93)</f>
        <v>2</v>
      </c>
      <c r="AT94" s="1222">
        <f t="shared" si="8"/>
        <v>2</v>
      </c>
      <c r="AU94" s="1221">
        <f t="shared" si="40"/>
        <v>4</v>
      </c>
      <c r="AV94" s="1219">
        <f>SUM(AV83:AV93)</f>
        <v>1</v>
      </c>
      <c r="AW94" s="1225">
        <f>SUM(R94-AB94-AL94-AU94-AV94-AX94-AY94-AZ94-BA94)</f>
        <v>1</v>
      </c>
      <c r="AX94" s="1219">
        <f>SUM(AX83:AX93)</f>
        <v>1</v>
      </c>
      <c r="AY94" s="1219">
        <f>SUM(AY83:AY93)</f>
        <v>4</v>
      </c>
      <c r="AZ94" s="1219">
        <f>SUM(AZ83:AZ93)</f>
        <v>0</v>
      </c>
      <c r="BA94" s="1219">
        <f>SUM(BA83:BA93)</f>
        <v>0</v>
      </c>
      <c r="BB94" s="1226">
        <v>12</v>
      </c>
      <c r="BC94" s="1226"/>
      <c r="BD94" s="1219">
        <v>2</v>
      </c>
      <c r="BE94" s="1226"/>
      <c r="BF94" s="1226"/>
      <c r="BG94" s="1226"/>
      <c r="BH94" s="1226"/>
      <c r="BI94" s="1226"/>
      <c r="BJ94" s="1226"/>
      <c r="BK94" s="1226"/>
      <c r="BL94" s="1226"/>
      <c r="BM94" s="1226"/>
      <c r="BN94" s="1226"/>
      <c r="BO94" s="1226"/>
      <c r="BP94" s="1226"/>
      <c r="BQ94" s="1226"/>
      <c r="BR94" s="1226"/>
      <c r="BS94" s="1226"/>
      <c r="BT94" s="1226"/>
      <c r="BU94" s="1226"/>
      <c r="BV94" s="1226"/>
      <c r="BW94" s="1226"/>
      <c r="BX94" s="1226"/>
      <c r="BY94" s="1226"/>
      <c r="BZ94" s="1226"/>
      <c r="CA94" s="1226"/>
      <c r="CB94" s="1226"/>
      <c r="CC94" s="1226"/>
      <c r="CD94" s="1226"/>
      <c r="CE94" s="1226"/>
      <c r="CF94" s="1226"/>
      <c r="CG94" s="1226"/>
      <c r="CH94" s="1226"/>
      <c r="CI94" s="1226"/>
      <c r="CJ94" s="1226"/>
      <c r="CK94" s="1226"/>
      <c r="CL94" s="1226"/>
      <c r="CM94" s="1226"/>
      <c r="CN94" s="1226"/>
      <c r="CO94" s="1226"/>
      <c r="CP94" s="1226"/>
      <c r="CQ94" s="1226"/>
      <c r="CR94" s="1226"/>
      <c r="CS94" s="1226"/>
      <c r="CT94" s="1226"/>
      <c r="CU94" s="1226"/>
      <c r="CV94" s="1226"/>
      <c r="CW94" s="1226"/>
      <c r="CX94" s="1226"/>
      <c r="CY94" s="1226"/>
      <c r="CZ94" s="1226"/>
      <c r="DA94" s="1226"/>
      <c r="DB94" s="1226"/>
      <c r="DC94" s="1219">
        <f>SUM(DC83:DC93)</f>
        <v>0</v>
      </c>
      <c r="DD94" s="1219">
        <f t="shared" ref="DD94:FO94" si="45">SUM(DD83:DD93)</f>
        <v>9</v>
      </c>
      <c r="DE94" s="1219">
        <f t="shared" si="45"/>
        <v>0</v>
      </c>
      <c r="DF94" s="1219">
        <f t="shared" si="45"/>
        <v>0</v>
      </c>
      <c r="DG94" s="1219">
        <f t="shared" si="45"/>
        <v>3</v>
      </c>
      <c r="DH94" s="1219">
        <f t="shared" si="45"/>
        <v>0</v>
      </c>
      <c r="DI94" s="1219">
        <f t="shared" si="45"/>
        <v>2</v>
      </c>
      <c r="DJ94" s="1219">
        <f t="shared" si="45"/>
        <v>0</v>
      </c>
      <c r="DK94" s="1219">
        <f t="shared" si="45"/>
        <v>0</v>
      </c>
      <c r="DL94" s="1219">
        <f t="shared" si="45"/>
        <v>0</v>
      </c>
      <c r="DM94" s="1219">
        <f t="shared" si="45"/>
        <v>1</v>
      </c>
      <c r="DN94" s="1219">
        <f t="shared" si="45"/>
        <v>2</v>
      </c>
      <c r="DO94" s="1219">
        <f t="shared" si="45"/>
        <v>0</v>
      </c>
      <c r="DP94" s="1219">
        <f t="shared" si="45"/>
        <v>0</v>
      </c>
      <c r="DQ94" s="1219">
        <f t="shared" si="45"/>
        <v>0</v>
      </c>
      <c r="DR94" s="1219">
        <f t="shared" si="45"/>
        <v>0</v>
      </c>
      <c r="DS94" s="1219">
        <f t="shared" si="45"/>
        <v>0</v>
      </c>
      <c r="DT94" s="1219">
        <f t="shared" si="45"/>
        <v>0</v>
      </c>
      <c r="DU94" s="1219">
        <f t="shared" si="45"/>
        <v>0</v>
      </c>
      <c r="DV94" s="1219">
        <f t="shared" si="45"/>
        <v>0</v>
      </c>
      <c r="DW94" s="1219">
        <f t="shared" si="45"/>
        <v>0</v>
      </c>
      <c r="DX94" s="1219">
        <f t="shared" si="45"/>
        <v>0</v>
      </c>
      <c r="DY94" s="1219">
        <f t="shared" si="45"/>
        <v>0</v>
      </c>
      <c r="DZ94" s="1219">
        <f t="shared" si="45"/>
        <v>0</v>
      </c>
      <c r="EA94" s="1219">
        <f t="shared" si="45"/>
        <v>0</v>
      </c>
      <c r="EB94" s="1219">
        <f t="shared" si="45"/>
        <v>0</v>
      </c>
      <c r="EC94" s="1219">
        <f t="shared" si="45"/>
        <v>0</v>
      </c>
      <c r="ED94" s="1219">
        <f t="shared" si="45"/>
        <v>0</v>
      </c>
      <c r="EE94" s="1219">
        <f t="shared" si="45"/>
        <v>0</v>
      </c>
      <c r="EF94" s="1219">
        <f t="shared" si="45"/>
        <v>0</v>
      </c>
      <c r="EG94" s="1219">
        <f t="shared" si="45"/>
        <v>0</v>
      </c>
      <c r="EH94" s="1219">
        <f t="shared" si="45"/>
        <v>0</v>
      </c>
      <c r="EI94" s="1219">
        <f t="shared" si="45"/>
        <v>0</v>
      </c>
      <c r="EJ94" s="1219">
        <f t="shared" si="45"/>
        <v>0</v>
      </c>
      <c r="EK94" s="1219">
        <f t="shared" si="45"/>
        <v>0</v>
      </c>
      <c r="EL94" s="1219">
        <f t="shared" si="45"/>
        <v>0</v>
      </c>
      <c r="EM94" s="1219">
        <f t="shared" si="45"/>
        <v>0</v>
      </c>
      <c r="EN94" s="1219">
        <f t="shared" si="45"/>
        <v>0</v>
      </c>
      <c r="EO94" s="1219">
        <f t="shared" si="45"/>
        <v>0</v>
      </c>
      <c r="EP94" s="1219">
        <f t="shared" si="45"/>
        <v>0</v>
      </c>
      <c r="EQ94" s="1219">
        <f t="shared" si="45"/>
        <v>0</v>
      </c>
      <c r="ER94" s="1219">
        <f t="shared" si="45"/>
        <v>0</v>
      </c>
      <c r="ES94" s="1219">
        <f t="shared" si="45"/>
        <v>0</v>
      </c>
      <c r="ET94" s="1219">
        <f t="shared" si="45"/>
        <v>0</v>
      </c>
      <c r="EU94" s="1219">
        <f t="shared" si="45"/>
        <v>0</v>
      </c>
      <c r="EV94" s="1219">
        <f t="shared" si="45"/>
        <v>0</v>
      </c>
      <c r="EW94" s="1219">
        <f t="shared" si="45"/>
        <v>0</v>
      </c>
      <c r="EX94" s="1219">
        <f t="shared" si="45"/>
        <v>0</v>
      </c>
      <c r="EY94" s="1219">
        <f t="shared" si="45"/>
        <v>0</v>
      </c>
      <c r="EZ94" s="1219">
        <f t="shared" si="45"/>
        <v>0</v>
      </c>
      <c r="FA94" s="1219">
        <f t="shared" si="45"/>
        <v>0</v>
      </c>
      <c r="FB94" s="1219">
        <f t="shared" si="45"/>
        <v>0</v>
      </c>
      <c r="FC94" s="1219">
        <f t="shared" si="45"/>
        <v>1</v>
      </c>
      <c r="FD94" s="1219">
        <f t="shared" si="45"/>
        <v>0</v>
      </c>
      <c r="FE94" s="1219">
        <f t="shared" si="45"/>
        <v>0</v>
      </c>
      <c r="FF94" s="1219">
        <f t="shared" si="45"/>
        <v>0</v>
      </c>
      <c r="FG94" s="1219">
        <f t="shared" si="45"/>
        <v>0</v>
      </c>
      <c r="FH94" s="1219">
        <f t="shared" si="45"/>
        <v>8</v>
      </c>
      <c r="FI94" s="1219">
        <f t="shared" si="45"/>
        <v>0</v>
      </c>
      <c r="FJ94" s="1219">
        <f t="shared" si="45"/>
        <v>0</v>
      </c>
      <c r="FK94" s="1219">
        <f t="shared" si="45"/>
        <v>0</v>
      </c>
      <c r="FL94" s="1219">
        <f t="shared" si="45"/>
        <v>0</v>
      </c>
      <c r="FM94" s="1219">
        <f t="shared" si="45"/>
        <v>0</v>
      </c>
      <c r="FN94" s="1219">
        <f t="shared" si="45"/>
        <v>0</v>
      </c>
      <c r="FO94" s="1219">
        <f t="shared" si="45"/>
        <v>0</v>
      </c>
      <c r="FP94" s="1219">
        <f t="shared" ref="FP94:FR94" si="46">SUM(FP83:FP93)</f>
        <v>0</v>
      </c>
      <c r="FQ94" s="1219">
        <f t="shared" si="46"/>
        <v>0</v>
      </c>
      <c r="FR94" s="1219">
        <f t="shared" si="46"/>
        <v>0</v>
      </c>
    </row>
    <row r="95" spans="1:174" ht="33" x14ac:dyDescent="0.25">
      <c r="A95" s="1214" t="s">
        <v>4737</v>
      </c>
      <c r="B95" s="1214" t="s">
        <v>4735</v>
      </c>
      <c r="C95" s="1376">
        <f>C10</f>
        <v>1456</v>
      </c>
      <c r="D95" s="1214" t="s">
        <v>4804</v>
      </c>
      <c r="E95" s="1215">
        <f>SUM(E11+E22+E33+E44+E52+E57+E63+E67+E68+E73+E74+E80+E81+E82+E94)</f>
        <v>161</v>
      </c>
      <c r="F95" s="1215">
        <f t="shared" ref="F95:T95" si="47">SUM(F11+F22+F33+F44+F52+F57+F63+F67+F68+F73+F74+F80+F81+F82+F94)</f>
        <v>64</v>
      </c>
      <c r="G95" s="1215">
        <f t="shared" si="47"/>
        <v>274</v>
      </c>
      <c r="H95" s="1215">
        <f t="shared" si="47"/>
        <v>1480</v>
      </c>
      <c r="I95" s="1215">
        <f t="shared" si="47"/>
        <v>1979</v>
      </c>
      <c r="J95" s="1215">
        <f t="shared" si="47"/>
        <v>150</v>
      </c>
      <c r="K95" s="1215">
        <f t="shared" si="47"/>
        <v>45</v>
      </c>
      <c r="L95" s="1215">
        <f t="shared" si="47"/>
        <v>43</v>
      </c>
      <c r="M95" s="1215">
        <f t="shared" si="47"/>
        <v>163</v>
      </c>
      <c r="N95" s="1215">
        <f t="shared" si="47"/>
        <v>206</v>
      </c>
      <c r="O95" s="1215">
        <f t="shared" si="47"/>
        <v>612</v>
      </c>
      <c r="P95" s="1215">
        <f t="shared" si="47"/>
        <v>740</v>
      </c>
      <c r="Q95" s="1215">
        <f>SUM(Q11+Q22+Q33+Q44+Q52+Q57+Q63+Q67+Q68+Q73+Q74+Q80+Q81+Q82+Q94)</f>
        <v>1352</v>
      </c>
      <c r="R95" s="1215">
        <f t="shared" si="47"/>
        <v>1753</v>
      </c>
      <c r="S95" s="1216">
        <f>R10/I10</f>
        <v>0.8858009095502779</v>
      </c>
      <c r="T95" s="1215">
        <f t="shared" si="47"/>
        <v>26</v>
      </c>
      <c r="U95" s="1215">
        <f t="shared" ref="U95:BA95" si="48">SUM(U11+U22+U33+U44+U52+U57+U63+U67+U68+U73+U74+U80+U81+U82+U94)</f>
        <v>9</v>
      </c>
      <c r="V95" s="1215">
        <f t="shared" si="48"/>
        <v>0</v>
      </c>
      <c r="W95" s="1215">
        <f t="shared" si="48"/>
        <v>32</v>
      </c>
      <c r="X95" s="1215">
        <f t="shared" si="48"/>
        <v>32</v>
      </c>
      <c r="Y95" s="1215">
        <f t="shared" si="48"/>
        <v>0</v>
      </c>
      <c r="Z95" s="1215">
        <f t="shared" si="48"/>
        <v>120</v>
      </c>
      <c r="AA95" s="1215">
        <f t="shared" si="48"/>
        <v>120</v>
      </c>
      <c r="AB95" s="1215">
        <f t="shared" si="48"/>
        <v>187</v>
      </c>
      <c r="AC95" s="1215">
        <f t="shared" si="48"/>
        <v>1.9677296826790169</v>
      </c>
      <c r="AD95" s="1215">
        <f t="shared" si="48"/>
        <v>61</v>
      </c>
      <c r="AE95" s="1215">
        <f t="shared" si="48"/>
        <v>9</v>
      </c>
      <c r="AF95" s="1215">
        <f t="shared" si="48"/>
        <v>0</v>
      </c>
      <c r="AG95" s="1215">
        <f t="shared" si="48"/>
        <v>81</v>
      </c>
      <c r="AH95" s="1215">
        <f t="shared" si="48"/>
        <v>81</v>
      </c>
      <c r="AI95" s="1215">
        <f t="shared" si="48"/>
        <v>0</v>
      </c>
      <c r="AJ95" s="1215">
        <f t="shared" si="48"/>
        <v>434</v>
      </c>
      <c r="AK95" s="1215">
        <f t="shared" si="48"/>
        <v>434</v>
      </c>
      <c r="AL95" s="1215">
        <f t="shared" si="48"/>
        <v>585</v>
      </c>
      <c r="AM95" s="1215">
        <f t="shared" si="48"/>
        <v>46</v>
      </c>
      <c r="AN95" s="1215">
        <f t="shared" si="48"/>
        <v>18</v>
      </c>
      <c r="AO95" s="1215">
        <f t="shared" si="48"/>
        <v>4</v>
      </c>
      <c r="AP95" s="1215">
        <f t="shared" si="48"/>
        <v>22</v>
      </c>
      <c r="AQ95" s="1215">
        <f t="shared" si="48"/>
        <v>26</v>
      </c>
      <c r="AR95" s="1215">
        <f t="shared" si="48"/>
        <v>195</v>
      </c>
      <c r="AS95" s="1215">
        <f t="shared" si="48"/>
        <v>83</v>
      </c>
      <c r="AT95" s="1215">
        <f t="shared" si="48"/>
        <v>278</v>
      </c>
      <c r="AU95" s="1215">
        <f t="shared" si="48"/>
        <v>368</v>
      </c>
      <c r="AV95" s="1215">
        <f t="shared" si="48"/>
        <v>21</v>
      </c>
      <c r="AW95" s="1215">
        <f t="shared" si="48"/>
        <v>513</v>
      </c>
      <c r="AX95" s="1215">
        <f t="shared" si="48"/>
        <v>19</v>
      </c>
      <c r="AY95" s="1215">
        <f t="shared" si="48"/>
        <v>54</v>
      </c>
      <c r="AZ95" s="1215">
        <f t="shared" si="48"/>
        <v>0</v>
      </c>
      <c r="BA95" s="1215">
        <f t="shared" si="48"/>
        <v>6</v>
      </c>
      <c r="BB95" s="1232"/>
      <c r="BC95" s="1232"/>
      <c r="BD95" s="1229"/>
      <c r="BE95" s="1232"/>
      <c r="BF95" s="1232"/>
      <c r="BG95" s="1232"/>
      <c r="BH95" s="1232"/>
      <c r="BI95" s="1232"/>
      <c r="BJ95" s="1232"/>
      <c r="BK95" s="1232"/>
      <c r="BL95" s="1232"/>
      <c r="BM95" s="1232"/>
      <c r="BN95" s="1232"/>
      <c r="BO95" s="1232"/>
      <c r="BP95" s="1232"/>
      <c r="BQ95" s="1232"/>
      <c r="BR95" s="1232"/>
      <c r="BS95" s="1232"/>
      <c r="BT95" s="1232"/>
      <c r="BU95" s="1232"/>
      <c r="BV95" s="1232"/>
      <c r="BW95" s="1232"/>
      <c r="BX95" s="1232"/>
      <c r="BY95" s="1232"/>
      <c r="BZ95" s="1232"/>
      <c r="CA95" s="1232"/>
      <c r="CB95" s="1232"/>
      <c r="CC95" s="1232"/>
      <c r="CD95" s="1232"/>
      <c r="CE95" s="1232"/>
      <c r="CF95" s="1232"/>
      <c r="CG95" s="1232"/>
      <c r="CH95" s="1232"/>
      <c r="CI95" s="1232"/>
      <c r="CJ95" s="1232"/>
      <c r="CK95" s="1232"/>
      <c r="CL95" s="1232"/>
      <c r="CM95" s="1232"/>
      <c r="CN95" s="1232"/>
      <c r="CO95" s="1232"/>
      <c r="CP95" s="1232"/>
      <c r="CQ95" s="1232"/>
      <c r="CR95" s="1232"/>
      <c r="CS95" s="1232"/>
      <c r="CT95" s="1232"/>
      <c r="CU95" s="1232"/>
      <c r="CV95" s="1232"/>
      <c r="CW95" s="1232"/>
      <c r="CX95" s="1232"/>
      <c r="CY95" s="1232"/>
      <c r="CZ95" s="1232"/>
      <c r="DA95" s="1232"/>
      <c r="DB95" s="1232"/>
      <c r="DC95" s="1232"/>
      <c r="DD95" s="1232"/>
      <c r="DE95" s="1232"/>
      <c r="DF95" s="1232"/>
      <c r="DG95" s="1232"/>
      <c r="DH95" s="1232"/>
      <c r="DI95" s="1232"/>
      <c r="DJ95" s="1232"/>
      <c r="DK95" s="1232"/>
      <c r="DL95" s="1232"/>
      <c r="DM95" s="1232"/>
      <c r="DN95" s="1232"/>
      <c r="DO95" s="1232"/>
      <c r="DP95" s="1232"/>
      <c r="DQ95" s="1232"/>
      <c r="DR95" s="1232"/>
      <c r="DS95" s="1232"/>
      <c r="DT95" s="1232"/>
      <c r="DU95" s="1232"/>
      <c r="DV95" s="1232"/>
      <c r="DW95" s="1232"/>
      <c r="DX95" s="1232"/>
      <c r="DY95" s="1232"/>
      <c r="DZ95" s="1232"/>
      <c r="EA95" s="1232"/>
      <c r="EB95" s="1232"/>
      <c r="EC95" s="1232"/>
      <c r="ED95" s="1232"/>
      <c r="EE95" s="1232"/>
      <c r="EF95" s="1232"/>
      <c r="EG95" s="1232"/>
      <c r="EH95" s="1232"/>
      <c r="EI95" s="1232"/>
      <c r="EJ95" s="1232"/>
      <c r="EK95" s="1232"/>
      <c r="EL95" s="1232"/>
      <c r="EM95" s="1232"/>
      <c r="EN95" s="1232"/>
      <c r="EO95" s="1232"/>
      <c r="EP95" s="1232"/>
      <c r="EQ95" s="1232"/>
      <c r="ER95" s="1232"/>
      <c r="ES95" s="1232"/>
      <c r="ET95" s="1232"/>
      <c r="EU95" s="1232"/>
      <c r="EV95" s="1232"/>
      <c r="EW95" s="1232"/>
      <c r="EX95" s="1232"/>
      <c r="EY95" s="1232"/>
      <c r="EZ95" s="1232"/>
      <c r="FA95" s="1232"/>
      <c r="FB95" s="1232"/>
      <c r="FC95" s="1232"/>
      <c r="FD95" s="1232"/>
      <c r="FE95" s="1232"/>
      <c r="FF95" s="1232"/>
      <c r="FG95" s="1232"/>
      <c r="FH95" s="1232"/>
      <c r="FI95" s="1232"/>
      <c r="FJ95" s="1232"/>
      <c r="FK95" s="1232"/>
      <c r="FL95" s="1232"/>
      <c r="FM95" s="1232"/>
      <c r="FN95" s="1232"/>
      <c r="FO95" s="1232"/>
      <c r="FP95" s="1232"/>
      <c r="FQ95" s="1232"/>
      <c r="FR95" s="1232"/>
    </row>
    <row r="96" spans="1:174" ht="26.25" x14ac:dyDescent="0.25">
      <c r="AV96" s="1230"/>
      <c r="AW96" s="1230"/>
      <c r="AX96" s="1230"/>
      <c r="AY96" s="1230"/>
      <c r="AZ96" s="1230"/>
      <c r="BA96" s="1231"/>
      <c r="BB96" s="1232"/>
      <c r="BC96" s="1232"/>
      <c r="BD96" s="1229"/>
      <c r="BE96" s="1232"/>
      <c r="BF96" s="1232"/>
      <c r="BG96" s="1232"/>
      <c r="BH96" s="1232"/>
      <c r="BI96" s="1232"/>
      <c r="BJ96" s="1232"/>
      <c r="BK96" s="1232"/>
      <c r="BL96" s="1232"/>
      <c r="BM96" s="1232"/>
      <c r="BN96" s="1232"/>
      <c r="BO96" s="1232"/>
      <c r="BP96" s="1232"/>
      <c r="BQ96" s="1232"/>
      <c r="BR96" s="1232"/>
      <c r="BS96" s="1232"/>
      <c r="BT96" s="1232"/>
      <c r="BU96" s="1232"/>
      <c r="BV96" s="1232"/>
      <c r="BW96" s="1232"/>
      <c r="BX96" s="1232"/>
      <c r="BY96" s="1232"/>
      <c r="BZ96" s="1232"/>
      <c r="CA96" s="1232"/>
      <c r="CB96" s="1232"/>
      <c r="CC96" s="1232"/>
      <c r="CD96" s="1232"/>
      <c r="CE96" s="1232"/>
      <c r="CF96" s="1232"/>
      <c r="CG96" s="1232"/>
      <c r="CH96" s="1232"/>
      <c r="CI96" s="1232"/>
      <c r="CJ96" s="1232"/>
      <c r="CK96" s="1232"/>
      <c r="CL96" s="1232"/>
      <c r="CM96" s="1232"/>
      <c r="CN96" s="1232"/>
      <c r="CO96" s="1232"/>
      <c r="CP96" s="1232"/>
      <c r="CQ96" s="1232"/>
      <c r="CR96" s="1232"/>
      <c r="CS96" s="1232"/>
      <c r="CT96" s="1232"/>
      <c r="CU96" s="1232"/>
      <c r="CV96" s="1232"/>
      <c r="CW96" s="1232"/>
      <c r="CX96" s="1232"/>
      <c r="CY96" s="1232"/>
      <c r="CZ96" s="1232"/>
      <c r="DA96" s="1232"/>
      <c r="DB96" s="1232"/>
      <c r="DC96" s="1232"/>
      <c r="DD96" s="1232"/>
      <c r="DE96" s="1232"/>
      <c r="DF96" s="1232"/>
      <c r="DG96" s="1232"/>
      <c r="DH96" s="1232"/>
      <c r="DI96" s="1232"/>
      <c r="DJ96" s="1232"/>
      <c r="DK96" s="1232"/>
      <c r="DL96" s="1232"/>
      <c r="DM96" s="1232"/>
      <c r="DN96" s="1232"/>
      <c r="DO96" s="1232"/>
      <c r="DP96" s="1232"/>
      <c r="DQ96" s="1232"/>
      <c r="DR96" s="1232"/>
      <c r="DS96" s="1232"/>
      <c r="DT96" s="1232"/>
      <c r="DU96" s="1232"/>
      <c r="DV96" s="1232"/>
      <c r="DW96" s="1232"/>
      <c r="DX96" s="1232"/>
      <c r="DY96" s="1232"/>
      <c r="DZ96" s="1232"/>
      <c r="EA96" s="1232"/>
      <c r="EB96" s="1232"/>
      <c r="EC96" s="1232"/>
      <c r="ED96" s="1232"/>
      <c r="EE96" s="1232"/>
      <c r="EF96" s="1232"/>
      <c r="EG96" s="1232"/>
      <c r="EH96" s="1232"/>
      <c r="EI96" s="1232"/>
      <c r="EJ96" s="1232"/>
      <c r="EK96" s="1232"/>
      <c r="EL96" s="1232"/>
      <c r="EM96" s="1232"/>
      <c r="EN96" s="1232"/>
      <c r="EO96" s="1232"/>
      <c r="EP96" s="1232"/>
      <c r="EQ96" s="1232"/>
      <c r="ER96" s="1232"/>
      <c r="ES96" s="1232"/>
      <c r="ET96" s="1232"/>
      <c r="EU96" s="1232"/>
      <c r="EV96" s="1232"/>
      <c r="EW96" s="1232"/>
      <c r="EX96" s="1232"/>
      <c r="EY96" s="1232"/>
      <c r="EZ96" s="1232"/>
      <c r="FA96" s="1232"/>
      <c r="FB96" s="1232"/>
      <c r="FC96" s="1232"/>
      <c r="FD96" s="1232"/>
      <c r="FE96" s="1232"/>
      <c r="FF96" s="1232"/>
      <c r="FG96" s="1232"/>
      <c r="FH96" s="1232"/>
      <c r="FI96" s="1232"/>
      <c r="FJ96" s="1232"/>
      <c r="FK96" s="1232"/>
      <c r="FL96" s="1232"/>
      <c r="FM96" s="1232"/>
      <c r="FN96" s="1232"/>
      <c r="FO96" s="1232"/>
      <c r="FP96" s="1232"/>
      <c r="FQ96" s="1232"/>
      <c r="FR96" s="1232"/>
    </row>
  </sheetData>
  <mergeCells count="202">
    <mergeCell ref="FQ6:FQ9"/>
    <mergeCell ref="FN6:FN9"/>
    <mergeCell ref="ET6:ET9"/>
    <mergeCell ref="DG6:DG9"/>
    <mergeCell ref="DZ6:DZ9"/>
    <mergeCell ref="EA6:EA9"/>
    <mergeCell ref="FG6:FG9"/>
    <mergeCell ref="FH6:FH9"/>
    <mergeCell ref="FI6:FI9"/>
    <mergeCell ref="FJ6:FJ9"/>
    <mergeCell ref="FK6:FK9"/>
    <mergeCell ref="FL6:FL9"/>
    <mergeCell ref="FM6:FM9"/>
    <mergeCell ref="DN6:DN9"/>
    <mergeCell ref="FC6:FC9"/>
    <mergeCell ref="EK6:EK9"/>
    <mergeCell ref="DL6:DL9"/>
    <mergeCell ref="DM6:DM9"/>
    <mergeCell ref="ED6:ED9"/>
    <mergeCell ref="EL6:EL9"/>
    <mergeCell ref="DY6:DY9"/>
    <mergeCell ref="DR7:DR9"/>
    <mergeCell ref="EY6:EY9"/>
    <mergeCell ref="EZ6:EZ9"/>
    <mergeCell ref="E3:S3"/>
    <mergeCell ref="T3:AU3"/>
    <mergeCell ref="DA7:DA9"/>
    <mergeCell ref="DB7:DB9"/>
    <mergeCell ref="DC7:DC9"/>
    <mergeCell ref="DD7:DD9"/>
    <mergeCell ref="DO7:DO9"/>
    <mergeCell ref="DP7:DP9"/>
    <mergeCell ref="CU7:CU9"/>
    <mergeCell ref="CV7:CV9"/>
    <mergeCell ref="CW7:CW9"/>
    <mergeCell ref="CX7:CX9"/>
    <mergeCell ref="CY7:CY9"/>
    <mergeCell ref="CZ7:CZ9"/>
    <mergeCell ref="CO7:CO9"/>
    <mergeCell ref="CP7:CP9"/>
    <mergeCell ref="CQ7:CQ9"/>
    <mergeCell ref="CR7:CR9"/>
    <mergeCell ref="CS7:CS9"/>
    <mergeCell ref="CT7:CT9"/>
    <mergeCell ref="CI7:CI9"/>
    <mergeCell ref="AR7:AR9"/>
    <mergeCell ref="DE6:DE9"/>
    <mergeCell ref="DF6:DF9"/>
    <mergeCell ref="FR6:FR9"/>
    <mergeCell ref="L7:L9"/>
    <mergeCell ref="M7:M9"/>
    <mergeCell ref="N7:N9"/>
    <mergeCell ref="O7:O9"/>
    <mergeCell ref="P7:P9"/>
    <mergeCell ref="Q7:Q9"/>
    <mergeCell ref="V7:V9"/>
    <mergeCell ref="W7:W9"/>
    <mergeCell ref="X7:X9"/>
    <mergeCell ref="FB6:FB9"/>
    <mergeCell ref="FD6:FD9"/>
    <mergeCell ref="FE6:FE9"/>
    <mergeCell ref="FF6:FF9"/>
    <mergeCell ref="FO6:FO9"/>
    <mergeCell ref="FP6:FP9"/>
    <mergeCell ref="EV6:EV9"/>
    <mergeCell ref="EW6:EW9"/>
    <mergeCell ref="CJ7:CJ9"/>
    <mergeCell ref="CK7:CK9"/>
    <mergeCell ref="CL7:CL9"/>
    <mergeCell ref="CM7:CM9"/>
    <mergeCell ref="CN7:CN9"/>
    <mergeCell ref="EX6:EX9"/>
    <mergeCell ref="FA6:FA9"/>
    <mergeCell ref="EO6:EO9"/>
    <mergeCell ref="EP6:EP9"/>
    <mergeCell ref="EQ6:EQ9"/>
    <mergeCell ref="ER6:ER9"/>
    <mergeCell ref="ES6:ES9"/>
    <mergeCell ref="EU6:EU9"/>
    <mergeCell ref="EG6:EG9"/>
    <mergeCell ref="EH6:EH9"/>
    <mergeCell ref="EI6:EI9"/>
    <mergeCell ref="EJ6:EJ9"/>
    <mergeCell ref="EM6:EM9"/>
    <mergeCell ref="EN6:EN9"/>
    <mergeCell ref="DO6:DU6"/>
    <mergeCell ref="DV6:DX6"/>
    <mergeCell ref="EB6:EB9"/>
    <mergeCell ref="EC6:EC9"/>
    <mergeCell ref="EE6:EE9"/>
    <mergeCell ref="EF6:EF9"/>
    <mergeCell ref="DQ7:DQ9"/>
    <mergeCell ref="DS7:DS9"/>
    <mergeCell ref="DT7:DT9"/>
    <mergeCell ref="DU7:DU9"/>
    <mergeCell ref="DV7:DV9"/>
    <mergeCell ref="DW7:DW9"/>
    <mergeCell ref="DX7:DX9"/>
    <mergeCell ref="DH6:DH9"/>
    <mergeCell ref="DI6:DI9"/>
    <mergeCell ref="DJ6:DJ9"/>
    <mergeCell ref="DK6:DK9"/>
    <mergeCell ref="CE6:CJ6"/>
    <mergeCell ref="CK6:CN6"/>
    <mergeCell ref="CO6:CT6"/>
    <mergeCell ref="CU6:CW6"/>
    <mergeCell ref="CX6:DA6"/>
    <mergeCell ref="DB6:DD6"/>
    <mergeCell ref="CE7:CE9"/>
    <mergeCell ref="CF7:CF9"/>
    <mergeCell ref="CG7:CG9"/>
    <mergeCell ref="CH7:CH9"/>
    <mergeCell ref="BT6:BT9"/>
    <mergeCell ref="BU6:BU9"/>
    <mergeCell ref="BV6:CA6"/>
    <mergeCell ref="CB6:CB9"/>
    <mergeCell ref="CC6:CC9"/>
    <mergeCell ref="CD6:CD9"/>
    <mergeCell ref="BV7:BV9"/>
    <mergeCell ref="BW7:BW9"/>
    <mergeCell ref="BX7:BX9"/>
    <mergeCell ref="BY7:BY9"/>
    <mergeCell ref="BZ7:BZ9"/>
    <mergeCell ref="CA7:CA9"/>
    <mergeCell ref="BN6:BN9"/>
    <mergeCell ref="BO6:BO9"/>
    <mergeCell ref="BP6:BP9"/>
    <mergeCell ref="BQ6:BQ9"/>
    <mergeCell ref="BR6:BR9"/>
    <mergeCell ref="BS6:BS9"/>
    <mergeCell ref="BH6:BH9"/>
    <mergeCell ref="BI6:BI9"/>
    <mergeCell ref="BJ6:BJ9"/>
    <mergeCell ref="BK6:BK9"/>
    <mergeCell ref="BL6:BL9"/>
    <mergeCell ref="BM6:BM9"/>
    <mergeCell ref="BB6:BB9"/>
    <mergeCell ref="BC6:BC9"/>
    <mergeCell ref="BD6:BD9"/>
    <mergeCell ref="BE6:BE9"/>
    <mergeCell ref="BF6:BF9"/>
    <mergeCell ref="BG6:BG9"/>
    <mergeCell ref="AL6:AL9"/>
    <mergeCell ref="AM6:AM9"/>
    <mergeCell ref="AN6:AN9"/>
    <mergeCell ref="AO6:AQ6"/>
    <mergeCell ref="AR6:AT6"/>
    <mergeCell ref="AU6:AU9"/>
    <mergeCell ref="AS7:AS9"/>
    <mergeCell ref="AT7:AT9"/>
    <mergeCell ref="BA4:BA9"/>
    <mergeCell ref="AM4:AU5"/>
    <mergeCell ref="AV4:AV9"/>
    <mergeCell ref="AW4:AW9"/>
    <mergeCell ref="AX4:AX9"/>
    <mergeCell ref="AY4:AY9"/>
    <mergeCell ref="AZ4:AZ9"/>
    <mergeCell ref="AO7:AO9"/>
    <mergeCell ref="AP7:AP9"/>
    <mergeCell ref="AQ7:AQ9"/>
    <mergeCell ref="AE6:AE9"/>
    <mergeCell ref="AF6:AH6"/>
    <mergeCell ref="AI6:AK6"/>
    <mergeCell ref="AF7:AF9"/>
    <mergeCell ref="AG7:AG9"/>
    <mergeCell ref="AH7:AH9"/>
    <mergeCell ref="AI7:AI9"/>
    <mergeCell ref="AJ7:AJ9"/>
    <mergeCell ref="AK7:AK9"/>
    <mergeCell ref="U6:U9"/>
    <mergeCell ref="V6:X6"/>
    <mergeCell ref="Y6:AA6"/>
    <mergeCell ref="Y7:Y9"/>
    <mergeCell ref="Z7:Z9"/>
    <mergeCell ref="AA7:AA9"/>
    <mergeCell ref="AB6:AB9"/>
    <mergeCell ref="AC6:AC9"/>
    <mergeCell ref="AD6:AD9"/>
    <mergeCell ref="D3:D9"/>
    <mergeCell ref="C3:C9"/>
    <mergeCell ref="B3:B9"/>
    <mergeCell ref="A1:FR1"/>
    <mergeCell ref="A2:FR2"/>
    <mergeCell ref="A3:A9"/>
    <mergeCell ref="BB3:CJ5"/>
    <mergeCell ref="CK3:FR5"/>
    <mergeCell ref="E4:I5"/>
    <mergeCell ref="J4:S5"/>
    <mergeCell ref="T4:AC5"/>
    <mergeCell ref="AD4:AL5"/>
    <mergeCell ref="E6:E9"/>
    <mergeCell ref="F6:F9"/>
    <mergeCell ref="G6:G9"/>
    <mergeCell ref="H6:H9"/>
    <mergeCell ref="I6:I9"/>
    <mergeCell ref="J6:J9"/>
    <mergeCell ref="K6:K9"/>
    <mergeCell ref="L6:N6"/>
    <mergeCell ref="O6:Q6"/>
    <mergeCell ref="R6:R9"/>
    <mergeCell ref="S6:S9"/>
    <mergeCell ref="T6:T9"/>
  </mergeCells>
  <pageMargins left="0.7" right="0.7" top="0.75" bottom="0.75" header="0.3" footer="0.3"/>
  <ignoredErrors>
    <ignoredError sqref="I23:P23 AG22 AI22 T22:AF22 AJ22:AK22 AH22 BA22 AJ33:BA33 AJ44:BA44 AJ52:BA52 AJ57:BA57 I88:BZ96 AJ63:BZ87 I63:AI87 I52:P57 T57:AI57 T52:AI52 T44:AI44 T33:AI33 I34:AI43 I33:S33 I45:AI51 I44:S44 Q53:AI56 Q52:S52 I58:AI62 Q57:S57 AC10 S10 AT22:AY22 I22:O22 AM22:AR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2</vt:i4>
      </vt:variant>
    </vt:vector>
  </HeadingPairs>
  <TitlesOfParts>
    <vt:vector size="13" baseType="lpstr">
      <vt:lpstr>ШТАТ</vt:lpstr>
      <vt:lpstr>Развернутая строевая</vt:lpstr>
      <vt:lpstr>БЧС</vt:lpstr>
      <vt:lpstr>СТРОЕВКА(расширенная)</vt:lpstr>
      <vt:lpstr>Лист1</vt:lpstr>
      <vt:lpstr>Отпуск пищи</vt:lpstr>
      <vt:lpstr>Отпуск</vt:lpstr>
      <vt:lpstr>БЧС для Корпуска</vt:lpstr>
      <vt:lpstr>БЧС Дерябин</vt:lpstr>
      <vt:lpstr>Суточная1</vt:lpstr>
      <vt:lpstr>Суточная2</vt:lpstr>
      <vt:lpstr>Суточная1!Область_печати</vt:lpstr>
      <vt:lpstr>Суточная2!Область_печати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Бахарев</dc:creator>
  <cp:lastModifiedBy>Бахарев</cp:lastModifiedBy>
  <cp:lastPrinted>2024-02-04T22:26:56Z</cp:lastPrinted>
  <dcterms:created xsi:type="dcterms:W3CDTF">2023-06-07T18:13:44Z</dcterms:created>
  <dcterms:modified xsi:type="dcterms:W3CDTF">2024-02-06T08:15:08Z</dcterms:modified>
</cp:coreProperties>
</file>