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sldx" ContentType="application/vnd.openxmlformats-officedocument.presentationml.slide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"/>
    </mc:Choice>
  </mc:AlternateContent>
  <bookViews>
    <workbookView xWindow="0" yWindow="0" windowWidth="20490" windowHeight="7755" tabRatio="775" firstSheet="4" activeTab="11"/>
  </bookViews>
  <sheets>
    <sheet name="Carátula" sheetId="14" r:id="rId1"/>
    <sheet name="Datos" sheetId="1" r:id="rId2"/>
    <sheet name="Pronostico de ventas" sheetId="3" r:id="rId3"/>
    <sheet name="Estado de resultados" sheetId="2" r:id="rId4"/>
    <sheet name="Flujo neto de efectivo" sheetId="4" r:id="rId5"/>
    <sheet name="Método 1" sheetId="5" r:id="rId6"/>
    <sheet name="Metodo 2" sheetId="6" r:id="rId7"/>
    <sheet name="Rendimiento anual promedio" sheetId="12" r:id="rId8"/>
    <sheet name="Índice de rentabilidad" sheetId="13" r:id="rId9"/>
    <sheet name="VPN" sheetId="7" r:id="rId10"/>
    <sheet name="TIR" sheetId="11" r:id="rId11"/>
    <sheet name="RESUMEN" sheetId="15" r:id="rId1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5" l="1"/>
  <c r="P9" i="15"/>
  <c r="P8" i="15"/>
  <c r="C6" i="13"/>
  <c r="C6" i="12"/>
  <c r="D6" i="7" l="1"/>
  <c r="G11" i="4"/>
  <c r="H6" i="3"/>
  <c r="D6" i="11" l="1"/>
  <c r="A56" i="1"/>
  <c r="D13" i="2" s="1"/>
  <c r="A50" i="1"/>
  <c r="D9" i="2" s="1"/>
  <c r="A53" i="1"/>
  <c r="D12" i="2" s="1"/>
  <c r="I7" i="3"/>
  <c r="I8" i="3" s="1"/>
  <c r="I9" i="3" s="1"/>
  <c r="I10" i="3" s="1"/>
  <c r="I11" i="3" s="1"/>
  <c r="I12" i="3" s="1"/>
  <c r="I13" i="3" s="1"/>
  <c r="I14" i="3" s="1"/>
  <c r="I15" i="3" s="1"/>
  <c r="H7" i="3"/>
  <c r="H8" i="3" s="1"/>
  <c r="H9" i="3" s="1"/>
  <c r="H10" i="3" s="1"/>
  <c r="H11" i="3" s="1"/>
  <c r="H12" i="3" s="1"/>
  <c r="H13" i="3" s="1"/>
  <c r="H14" i="3" s="1"/>
  <c r="H15" i="3" s="1"/>
  <c r="C54" i="1" s="1"/>
  <c r="M12" i="2" s="1"/>
  <c r="F47" i="1"/>
  <c r="F46" i="1"/>
  <c r="F48" i="1" l="1"/>
  <c r="I10" i="2" s="1"/>
  <c r="B54" i="1"/>
  <c r="L12" i="2" s="1"/>
  <c r="J10" i="2"/>
  <c r="F10" i="2"/>
  <c r="L10" i="2"/>
  <c r="C50" i="1"/>
  <c r="F9" i="2" s="1"/>
  <c r="E56" i="1"/>
  <c r="H13" i="2" s="1"/>
  <c r="G10" i="2"/>
  <c r="K10" i="2"/>
  <c r="M10" i="2"/>
  <c r="F50" i="1"/>
  <c r="I9" i="2" s="1"/>
  <c r="D53" i="1"/>
  <c r="G12" i="2" s="1"/>
  <c r="F56" i="1"/>
  <c r="I13" i="2" s="1"/>
  <c r="D10" i="2"/>
  <c r="G50" i="1"/>
  <c r="J9" i="2" s="1"/>
  <c r="E53" i="1"/>
  <c r="H12" i="2" s="1"/>
  <c r="B57" i="1"/>
  <c r="L13" i="2" s="1"/>
  <c r="H10" i="2"/>
  <c r="E10" i="2"/>
  <c r="B50" i="1"/>
  <c r="E9" i="2" s="1"/>
  <c r="C51" i="1"/>
  <c r="M9" i="2" s="1"/>
  <c r="A54" i="1"/>
  <c r="K12" i="2" s="1"/>
  <c r="B56" i="1"/>
  <c r="E13" i="2" s="1"/>
  <c r="C57" i="1"/>
  <c r="M13" i="2" s="1"/>
  <c r="D50" i="1"/>
  <c r="G9" i="2" s="1"/>
  <c r="A51" i="1"/>
  <c r="K9" i="2" s="1"/>
  <c r="B53" i="1"/>
  <c r="E12" i="2" s="1"/>
  <c r="F53" i="1"/>
  <c r="I12" i="2" s="1"/>
  <c r="C56" i="1"/>
  <c r="F13" i="2" s="1"/>
  <c r="G56" i="1"/>
  <c r="J13" i="2" s="1"/>
  <c r="E50" i="1"/>
  <c r="H9" i="2" s="1"/>
  <c r="B51" i="1"/>
  <c r="L9" i="2" s="1"/>
  <c r="C53" i="1"/>
  <c r="F12" i="2" s="1"/>
  <c r="G53" i="1"/>
  <c r="J12" i="2" s="1"/>
  <c r="D56" i="1"/>
  <c r="G13" i="2" s="1"/>
  <c r="A57" i="1"/>
  <c r="K13" i="2" s="1"/>
  <c r="D5" i="6"/>
  <c r="E5" i="6" s="1"/>
  <c r="D6" i="2"/>
  <c r="C41" i="2" s="1"/>
  <c r="E5" i="5"/>
  <c r="F5" i="5" s="1"/>
  <c r="C19" i="1"/>
  <c r="C20" i="1"/>
  <c r="C21" i="1"/>
  <c r="C22" i="1"/>
  <c r="C23" i="1"/>
  <c r="C18" i="1"/>
  <c r="D8" i="2" l="1"/>
  <c r="D7" i="2" s="1"/>
  <c r="C42" i="2"/>
  <c r="E6" i="2"/>
  <c r="D11" i="2" l="1"/>
  <c r="D14" i="2" s="1"/>
  <c r="D15" i="2" s="1"/>
  <c r="E8" i="2"/>
  <c r="E7" i="2" s="1"/>
  <c r="F6" i="2"/>
  <c r="E11" i="2" l="1"/>
  <c r="E14" i="2" s="1"/>
  <c r="E15" i="2" s="1"/>
  <c r="F8" i="2"/>
  <c r="F7" i="2" s="1"/>
  <c r="G6" i="2"/>
  <c r="E16" i="2" l="1"/>
  <c r="F11" i="2"/>
  <c r="F14" i="2" s="1"/>
  <c r="F15" i="2" s="1"/>
  <c r="G8" i="2"/>
  <c r="G7" i="2" s="1"/>
  <c r="H6" i="2"/>
  <c r="F16" i="2" l="1"/>
  <c r="E41" i="2"/>
  <c r="E6" i="4" s="1"/>
  <c r="G11" i="2"/>
  <c r="G14" i="2" s="1"/>
  <c r="G15" i="2" s="1"/>
  <c r="H8" i="2"/>
  <c r="H7" i="2" s="1"/>
  <c r="I6" i="2"/>
  <c r="C8" i="13" l="1"/>
  <c r="C8" i="12"/>
  <c r="G16" i="2"/>
  <c r="F41" i="2"/>
  <c r="E7" i="5"/>
  <c r="D7" i="6"/>
  <c r="E7" i="6" s="1"/>
  <c r="D8" i="7"/>
  <c r="D8" i="11"/>
  <c r="H11" i="2"/>
  <c r="H14" i="2" s="1"/>
  <c r="H15" i="2" s="1"/>
  <c r="I8" i="2"/>
  <c r="I7" i="2" s="1"/>
  <c r="J6" i="2"/>
  <c r="E7" i="4" l="1"/>
  <c r="H16" i="2"/>
  <c r="G41" i="2"/>
  <c r="D8" i="13"/>
  <c r="I11" i="2"/>
  <c r="I14" i="2" s="1"/>
  <c r="J8" i="2"/>
  <c r="J7" i="2" s="1"/>
  <c r="K6" i="2"/>
  <c r="E8" i="5" l="1"/>
  <c r="C9" i="13"/>
  <c r="C9" i="12"/>
  <c r="D9" i="11"/>
  <c r="D9" i="7"/>
  <c r="D8" i="6"/>
  <c r="E8" i="6" s="1"/>
  <c r="E8" i="4"/>
  <c r="I15" i="2"/>
  <c r="I16" i="2" s="1"/>
  <c r="I41" i="2" s="1"/>
  <c r="H41" i="2"/>
  <c r="J11" i="2"/>
  <c r="J14" i="2" s="1"/>
  <c r="J15" i="2" s="1"/>
  <c r="K8" i="2"/>
  <c r="K7" i="2" s="1"/>
  <c r="L6" i="2"/>
  <c r="D9" i="13" l="1"/>
  <c r="D10" i="7"/>
  <c r="C10" i="12"/>
  <c r="C10" i="13"/>
  <c r="D10" i="13" s="1"/>
  <c r="D9" i="6"/>
  <c r="E9" i="6" s="1"/>
  <c r="E9" i="5"/>
  <c r="D10" i="11"/>
  <c r="E9" i="4"/>
  <c r="J16" i="2"/>
  <c r="K11" i="2"/>
  <c r="K14" i="2" s="1"/>
  <c r="K15" i="2" s="1"/>
  <c r="L8" i="2"/>
  <c r="L11" i="2" s="1"/>
  <c r="L14" i="2" s="1"/>
  <c r="L15" i="2" s="1"/>
  <c r="M6" i="2"/>
  <c r="D11" i="7" l="1"/>
  <c r="C11" i="12"/>
  <c r="C11" i="13"/>
  <c r="D11" i="13" s="1"/>
  <c r="D10" i="6"/>
  <c r="E10" i="6" s="1"/>
  <c r="E10" i="5"/>
  <c r="D11" i="11"/>
  <c r="E10" i="4"/>
  <c r="L16" i="2"/>
  <c r="K16" i="2"/>
  <c r="J41" i="2"/>
  <c r="M8" i="2"/>
  <c r="L7" i="2"/>
  <c r="C12" i="13" l="1"/>
  <c r="C12" i="12"/>
  <c r="M7" i="2"/>
  <c r="M11" i="2"/>
  <c r="M14" i="2" s="1"/>
  <c r="D11" i="6"/>
  <c r="E11" i="6" s="1"/>
  <c r="D12" i="11"/>
  <c r="E11" i="5"/>
  <c r="D12" i="7"/>
  <c r="E11" i="4"/>
  <c r="L41" i="2"/>
  <c r="K41" i="2"/>
  <c r="D12" i="6" l="1"/>
  <c r="E12" i="6" s="1"/>
  <c r="C13" i="13"/>
  <c r="C13" i="12"/>
  <c r="D13" i="11"/>
  <c r="D13" i="7"/>
  <c r="D13" i="13" s="1"/>
  <c r="E12" i="4"/>
  <c r="E12" i="5"/>
  <c r="M15" i="2"/>
  <c r="M16" i="2" s="1"/>
  <c r="D12" i="13"/>
  <c r="E13" i="4"/>
  <c r="D15" i="11" l="1"/>
  <c r="C15" i="12"/>
  <c r="C15" i="13"/>
  <c r="E13" i="5"/>
  <c r="C14" i="12"/>
  <c r="C14" i="13"/>
  <c r="D14" i="11"/>
  <c r="D14" i="7"/>
  <c r="D13" i="6"/>
  <c r="E13" i="6" s="1"/>
  <c r="D15" i="7"/>
  <c r="E14" i="5"/>
  <c r="D14" i="6"/>
  <c r="E14" i="6" s="1"/>
  <c r="M41" i="2"/>
  <c r="E14" i="4" s="1"/>
  <c r="D16" i="2"/>
  <c r="C16" i="13" l="1"/>
  <c r="C16" i="12"/>
  <c r="D14" i="13"/>
  <c r="D15" i="13"/>
  <c r="E15" i="5"/>
  <c r="D16" i="7"/>
  <c r="D16" i="11"/>
  <c r="D15" i="6"/>
  <c r="E15" i="6" s="1"/>
  <c r="D41" i="2"/>
  <c r="E5" i="4" l="1"/>
  <c r="D16" i="13"/>
  <c r="D7" i="7" l="1"/>
  <c r="D17" i="7" s="1"/>
  <c r="J9" i="15" s="1"/>
  <c r="C7" i="12"/>
  <c r="C17" i="12" s="1"/>
  <c r="C18" i="12" s="1"/>
  <c r="C7" i="13"/>
  <c r="D7" i="13" s="1"/>
  <c r="C17" i="13" s="1"/>
  <c r="E6" i="5"/>
  <c r="F6" i="5" s="1"/>
  <c r="F7" i="5" s="1"/>
  <c r="N42" i="5" s="1"/>
  <c r="J7" i="15"/>
  <c r="D7" i="11"/>
  <c r="D17" i="11" s="1"/>
  <c r="J10" i="15" s="1"/>
  <c r="D6" i="6"/>
  <c r="E6" i="6" s="1"/>
  <c r="J8" i="15" l="1"/>
  <c r="F8" i="5"/>
  <c r="F9" i="5" s="1"/>
  <c r="N41" i="5"/>
  <c r="B44" i="5" s="1"/>
  <c r="H9" i="5" s="1"/>
  <c r="J5" i="15" s="1"/>
  <c r="F6" i="6"/>
  <c r="N43" i="5" l="1"/>
  <c r="C44" i="5"/>
  <c r="F7" i="6"/>
  <c r="B41" i="6" s="1"/>
  <c r="H11" i="6" s="1"/>
  <c r="J6" i="15" s="1"/>
  <c r="M39" i="6"/>
  <c r="N44" i="5"/>
  <c r="F10" i="5"/>
  <c r="D44" i="5" l="1"/>
  <c r="L9" i="5" s="1"/>
  <c r="N5" i="15" s="1"/>
  <c r="J9" i="5"/>
  <c r="L5" i="15" s="1"/>
  <c r="C41" i="6"/>
  <c r="D41" i="6" s="1"/>
  <c r="L11" i="6" s="1"/>
  <c r="N6" i="15" s="1"/>
  <c r="M40" i="6"/>
  <c r="F8" i="6"/>
  <c r="F11" i="5"/>
  <c r="N45" i="5"/>
  <c r="J11" i="6" l="1"/>
  <c r="L6" i="15" s="1"/>
  <c r="F9" i="6"/>
  <c r="M41" i="6"/>
  <c r="N46" i="5"/>
  <c r="F12" i="5"/>
  <c r="M42" i="6" l="1"/>
  <c r="F10" i="6"/>
  <c r="F13" i="5"/>
  <c r="N47" i="5"/>
  <c r="M43" i="6" l="1"/>
  <c r="F11" i="6"/>
  <c r="F12" i="6" s="1"/>
  <c r="N48" i="5"/>
  <c r="F14" i="5"/>
  <c r="M44" i="6" l="1"/>
  <c r="F15" i="5"/>
  <c r="N50" i="5" s="1"/>
  <c r="N49" i="5"/>
  <c r="M45" i="6" l="1"/>
  <c r="F13" i="6"/>
  <c r="M46" i="6" l="1"/>
  <c r="F14" i="6"/>
  <c r="F15" i="6" l="1"/>
  <c r="M48" i="6" s="1"/>
  <c r="M47" i="6"/>
</calcChain>
</file>

<file path=xl/sharedStrings.xml><?xml version="1.0" encoding="utf-8"?>
<sst xmlns="http://schemas.openxmlformats.org/spreadsheetml/2006/main" count="129" uniqueCount="91">
  <si>
    <t>Costos para el proyecto de ampliacion de planta</t>
  </si>
  <si>
    <t>Rubro</t>
  </si>
  <si>
    <t>Valor inicial (pesos)</t>
  </si>
  <si>
    <t>Incremento anual esperado</t>
  </si>
  <si>
    <t>Infraestructura</t>
  </si>
  <si>
    <t>Costo de materia prima A/unidad</t>
  </si>
  <si>
    <t>Terreno</t>
  </si>
  <si>
    <t>Costo de materia prima B/unidad</t>
  </si>
  <si>
    <t>Maquinaria</t>
  </si>
  <si>
    <t>Costo de materiales/unidad</t>
  </si>
  <si>
    <t>Costo de mano de obra/unidad</t>
  </si>
  <si>
    <t>Tiempo de vida (años)</t>
  </si>
  <si>
    <t>Costo de mantenimiento/año</t>
  </si>
  <si>
    <t>Gastos administrativos/unidad</t>
  </si>
  <si>
    <t>Gastos de venta</t>
  </si>
  <si>
    <t>Capital del trabajo requerido</t>
  </si>
  <si>
    <t>Impuestos sobre la renta</t>
  </si>
  <si>
    <t>Limite inferior</t>
  </si>
  <si>
    <t>Limite superior</t>
  </si>
  <si>
    <t>Cuota fija en pesos</t>
  </si>
  <si>
    <t>Tasa de impuestos</t>
  </si>
  <si>
    <t>Año</t>
  </si>
  <si>
    <t>Unidades</t>
  </si>
  <si>
    <t>Precio de venta/unidad</t>
  </si>
  <si>
    <t>Ventas</t>
  </si>
  <si>
    <t>-</t>
  </si>
  <si>
    <t>IVA</t>
  </si>
  <si>
    <t>=</t>
  </si>
  <si>
    <t>Ventas netas</t>
  </si>
  <si>
    <t>Costos de produccion</t>
  </si>
  <si>
    <t>Depreciacion</t>
  </si>
  <si>
    <t>Utilidad bruta</t>
  </si>
  <si>
    <t>Gastos de administracion</t>
  </si>
  <si>
    <t>Utilidad antes de impuestos</t>
  </si>
  <si>
    <t>Impuestos</t>
  </si>
  <si>
    <t>Utilidad o perdida del ejercicio</t>
  </si>
  <si>
    <t>Flujo neto de efectivo</t>
  </si>
  <si>
    <t>Costo de capital (k)</t>
  </si>
  <si>
    <t>Inversión inicial</t>
  </si>
  <si>
    <t># Año</t>
  </si>
  <si>
    <t>Flujo de efectivo</t>
  </si>
  <si>
    <t>Suma del flujo</t>
  </si>
  <si>
    <t>Diferencia</t>
  </si>
  <si>
    <t>inicial</t>
  </si>
  <si>
    <t>Año(s)</t>
  </si>
  <si>
    <t>Meses</t>
  </si>
  <si>
    <t>Dias</t>
  </si>
  <si>
    <t>Flujo de efectivo descontados</t>
  </si>
  <si>
    <t>Suma de los flujos descontados</t>
  </si>
  <si>
    <t>Años</t>
  </si>
  <si>
    <t>Días</t>
  </si>
  <si>
    <t>TIR</t>
  </si>
  <si>
    <t>VPN</t>
  </si>
  <si>
    <t>Inicial</t>
  </si>
  <si>
    <t>Flujo neto promedio</t>
  </si>
  <si>
    <t>Rendimiento anual promedio</t>
  </si>
  <si>
    <t>IR</t>
  </si>
  <si>
    <t>Valor de recuperación</t>
  </si>
  <si>
    <t>Gastos de venta / unidad</t>
  </si>
  <si>
    <t>Datos para costos de producción</t>
  </si>
  <si>
    <t>Datos para gastos de administración</t>
  </si>
  <si>
    <t>Datos para los gastos de venta</t>
  </si>
  <si>
    <t>Datos para la depreciación</t>
  </si>
  <si>
    <t>El periodo de recuperación del proyecto</t>
  </si>
  <si>
    <t>Periodo de recuperación (inicial)</t>
  </si>
  <si>
    <t>Cantidad</t>
  </si>
  <si>
    <t>Periodo de recuperación</t>
  </si>
  <si>
    <t>Periodo de recuperación descontado</t>
  </si>
  <si>
    <t>DATOS</t>
  </si>
  <si>
    <t>VENTAS ESPERADAS</t>
  </si>
  <si>
    <t>ESTADO DE RESULTADOS</t>
  </si>
  <si>
    <t>RENDIMIENTO ANUAL PROMEDIO (RAP)</t>
  </si>
  <si>
    <t>PERIODO</t>
  </si>
  <si>
    <t>FLUJOS NETOS</t>
  </si>
  <si>
    <t>INDICE DE RENTABILIDAD</t>
  </si>
  <si>
    <t>AÑO</t>
  </si>
  <si>
    <t>FLUJO DE EFECTIVO</t>
  </si>
  <si>
    <t>#Año</t>
  </si>
  <si>
    <t>VALOR PRESENTE NETO (VPN)</t>
  </si>
  <si>
    <t>TASA INTERNA DE RETORNO TIR</t>
  </si>
  <si>
    <t>RESUMEN</t>
  </si>
  <si>
    <t>El periodo de recuperación del proyecto es de</t>
  </si>
  <si>
    <t>El periodo de recuperación del proyecto (Inicial)</t>
  </si>
  <si>
    <t>El rendimiento anual promedio del proyecto es</t>
  </si>
  <si>
    <t>El índice de rentabilidad del proyecto es de</t>
  </si>
  <si>
    <t>El valor presente neto del proyecto es de</t>
  </si>
  <si>
    <t>La tasa interna de retorno del proyecto es de</t>
  </si>
  <si>
    <t>año(s)</t>
  </si>
  <si>
    <t>mes(es)</t>
  </si>
  <si>
    <t>día(s)</t>
  </si>
  <si>
    <t>Aceptado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</si>
</sst>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sz val="16"/>
      <color theme="1"/>
      <name val="Arial"/>
      <family val="2"/>
    </font>
    <font>
      <sz val="16"/>
      <color theme="0"/>
      <name val="Arial"/>
      <family val="2"/>
    </font>
    <font>
      <sz val="16"/>
      <name val="Arial"/>
      <family val="2"/>
    </font>
    <font>
      <sz val="18"/>
      <color theme="0"/>
      <name val="Arial"/>
      <family val="2"/>
    </font>
    <font>
      <sz val="36"/>
      <color theme="0"/>
      <name val="Arial Black"/>
      <family val="2"/>
    </font>
    <font>
      <sz val="48"/>
      <color theme="0"/>
      <name val="Arial Black"/>
      <family val="2"/>
    </font>
    <font>
      <sz val="16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color theme="0"/>
      <name val="Arial"/>
      <family val="2"/>
    </font>
    <font>
      <b/>
      <sz val="28"/>
      <color theme="0"/>
      <name val="Arial Black"/>
      <family val="2"/>
    </font>
    <font>
      <sz val="16"/>
      <name val="Calibri"/>
      <family val="2"/>
      <scheme val="minor"/>
    </font>
    <font>
      <b/>
      <sz val="48"/>
      <color theme="0"/>
      <name val="Arial Black"/>
      <family val="2"/>
    </font>
    <font>
      <b/>
      <sz val="48"/>
      <color theme="1"/>
      <name val="Arial Black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1"/>
      <color theme="0"/>
      <name val="Arial Black"/>
      <family val="2"/>
    </font>
    <font>
      <b/>
      <sz val="20"/>
      <color theme="0"/>
      <name val="Arial"/>
      <family val="2"/>
    </font>
    <font>
      <sz val="20"/>
      <color theme="1"/>
      <name val="Arial"/>
      <family val="2"/>
    </font>
    <font>
      <b/>
      <sz val="11"/>
      <color theme="0"/>
      <name val="Arial Black"/>
      <family val="2"/>
    </font>
    <font>
      <sz val="36"/>
      <color theme="0"/>
      <name val="Calibri"/>
      <family val="2"/>
      <scheme val="minor"/>
    </font>
    <font>
      <b/>
      <sz val="16"/>
      <color theme="1"/>
      <name val="Arial"/>
      <family val="2"/>
    </font>
    <font>
      <sz val="2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7">
      <alignment horizontal="center" vertical="center" wrapText="1"/>
    </xf>
  </cellStyleXfs>
  <cellXfs count="20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7" borderId="1" xfId="7" applyFont="1" applyBorder="1" applyAlignment="1">
      <alignment horizontal="left"/>
    </xf>
    <xf numFmtId="164" fontId="8" fillId="8" borderId="1" xfId="8" applyNumberFormat="1" applyFont="1" applyBorder="1" applyAlignment="1">
      <alignment horizontal="left"/>
    </xf>
    <xf numFmtId="0" fontId="10" fillId="0" borderId="0" xfId="0" applyFont="1"/>
    <xf numFmtId="0" fontId="11" fillId="0" borderId="0" xfId="0" applyFont="1" applyFill="1" applyBorder="1"/>
    <xf numFmtId="0" fontId="5" fillId="0" borderId="0" xfId="1" applyNumberFormat="1" applyFont="1" applyBorder="1"/>
    <xf numFmtId="164" fontId="5" fillId="0" borderId="0" xfId="0" applyNumberFormat="1" applyFont="1" applyBorder="1"/>
    <xf numFmtId="164" fontId="8" fillId="8" borderId="12" xfId="8" applyNumberFormat="1" applyFont="1" applyBorder="1" applyAlignment="1">
      <alignment horizontal="left"/>
    </xf>
    <xf numFmtId="164" fontId="8" fillId="8" borderId="13" xfId="8" applyNumberFormat="1" applyFont="1" applyBorder="1" applyAlignment="1">
      <alignment horizontal="left"/>
    </xf>
    <xf numFmtId="164" fontId="8" fillId="9" borderId="5" xfId="9" applyNumberFormat="1" applyFont="1" applyBorder="1" applyAlignment="1">
      <alignment horizontal="left"/>
    </xf>
    <xf numFmtId="164" fontId="8" fillId="8" borderId="5" xfId="8" applyNumberFormat="1" applyFont="1" applyBorder="1" applyAlignment="1">
      <alignment horizontal="left"/>
    </xf>
    <xf numFmtId="164" fontId="8" fillId="8" borderId="14" xfId="8" applyNumberFormat="1" applyFont="1" applyBorder="1" applyAlignment="1">
      <alignment horizontal="left"/>
    </xf>
    <xf numFmtId="164" fontId="8" fillId="8" borderId="3" xfId="8" applyNumberFormat="1" applyFont="1" applyBorder="1" applyAlignment="1">
      <alignment horizontal="left"/>
    </xf>
    <xf numFmtId="164" fontId="8" fillId="8" borderId="15" xfId="8" applyNumberFormat="1" applyFont="1" applyBorder="1" applyAlignment="1">
      <alignment horizontal="left"/>
    </xf>
    <xf numFmtId="164" fontId="8" fillId="8" borderId="4" xfId="8" applyNumberFormat="1" applyFont="1" applyBorder="1" applyAlignment="1">
      <alignment horizontal="left"/>
    </xf>
    <xf numFmtId="0" fontId="5" fillId="0" borderId="0" xfId="0" applyFont="1" applyFill="1"/>
    <xf numFmtId="44" fontId="5" fillId="0" borderId="0" xfId="0" applyNumberFormat="1" applyFont="1" applyFill="1"/>
    <xf numFmtId="43" fontId="5" fillId="0" borderId="0" xfId="1" applyFont="1"/>
    <xf numFmtId="0" fontId="12" fillId="0" borderId="0" xfId="0" applyFont="1"/>
    <xf numFmtId="164" fontId="12" fillId="0" borderId="0" xfId="0" applyNumberFormat="1" applyFont="1"/>
    <xf numFmtId="0" fontId="13" fillId="0" borderId="0" xfId="0" applyFont="1"/>
    <xf numFmtId="164" fontId="13" fillId="0" borderId="0" xfId="0" applyNumberFormat="1" applyFont="1"/>
    <xf numFmtId="0" fontId="0" fillId="10" borderId="0" xfId="0" applyFill="1" applyBorder="1"/>
    <xf numFmtId="0" fontId="17" fillId="0" borderId="0" xfId="0" applyFont="1"/>
    <xf numFmtId="164" fontId="17" fillId="0" borderId="0" xfId="0" applyNumberFormat="1" applyFont="1"/>
    <xf numFmtId="44" fontId="17" fillId="0" borderId="0" xfId="2" applyFont="1"/>
    <xf numFmtId="0" fontId="12" fillId="10" borderId="0" xfId="0" applyFont="1" applyFill="1"/>
    <xf numFmtId="164" fontId="12" fillId="10" borderId="0" xfId="0" applyNumberFormat="1" applyFont="1" applyFill="1"/>
    <xf numFmtId="0" fontId="13" fillId="10" borderId="0" xfId="0" applyFont="1" applyFill="1"/>
    <xf numFmtId="0" fontId="14" fillId="10" borderId="0" xfId="0" applyFont="1" applyFill="1"/>
    <xf numFmtId="0" fontId="15" fillId="10" borderId="0" xfId="0" applyFont="1" applyFill="1"/>
    <xf numFmtId="0" fontId="16" fillId="10" borderId="0" xfId="0" applyFont="1" applyFill="1"/>
    <xf numFmtId="0" fontId="0" fillId="10" borderId="0" xfId="0" applyFill="1" applyAlignment="1">
      <alignment horizontal="center"/>
    </xf>
    <xf numFmtId="4" fontId="0" fillId="10" borderId="0" xfId="0" applyNumberFormat="1" applyFill="1" applyAlignment="1">
      <alignment horizontal="center"/>
    </xf>
    <xf numFmtId="0" fontId="0" fillId="10" borderId="0" xfId="0" applyFill="1"/>
    <xf numFmtId="164" fontId="0" fillId="10" borderId="0" xfId="0" applyNumberFormat="1" applyFill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164" fontId="5" fillId="10" borderId="0" xfId="0" applyNumberFormat="1" applyFont="1" applyFill="1"/>
    <xf numFmtId="0" fontId="18" fillId="7" borderId="1" xfId="7" applyFont="1" applyBorder="1" applyAlignment="1">
      <alignment horizontal="center" vertical="center"/>
    </xf>
    <xf numFmtId="0" fontId="6" fillId="10" borderId="0" xfId="0" applyFont="1" applyFill="1"/>
    <xf numFmtId="9" fontId="6" fillId="10" borderId="0" xfId="0" applyNumberFormat="1" applyFont="1" applyFill="1"/>
    <xf numFmtId="0" fontId="21" fillId="10" borderId="0" xfId="0" applyFont="1" applyFill="1"/>
    <xf numFmtId="0" fontId="22" fillId="3" borderId="1" xfId="3" applyFont="1" applyBorder="1" applyAlignment="1">
      <alignment horizontal="center" vertical="center"/>
    </xf>
    <xf numFmtId="44" fontId="21" fillId="4" borderId="1" xfId="4" applyNumberFormat="1" applyFont="1" applyBorder="1" applyAlignment="1">
      <alignment horizontal="center" vertical="center"/>
    </xf>
    <xf numFmtId="44" fontId="21" fillId="5" borderId="1" xfId="5" applyNumberFormat="1" applyFont="1" applyBorder="1" applyAlignment="1">
      <alignment horizontal="center" vertical="center"/>
    </xf>
    <xf numFmtId="9" fontId="21" fillId="10" borderId="0" xfId="0" applyNumberFormat="1" applyFont="1" applyFill="1"/>
    <xf numFmtId="0" fontId="21" fillId="4" borderId="1" xfId="4" applyFont="1" applyBorder="1" applyAlignment="1">
      <alignment horizontal="center" vertical="center"/>
    </xf>
    <xf numFmtId="44" fontId="21" fillId="6" borderId="1" xfId="6" applyNumberFormat="1" applyFont="1" applyBorder="1" applyAlignment="1">
      <alignment horizontal="center" vertical="center"/>
    </xf>
    <xf numFmtId="0" fontId="21" fillId="4" borderId="10" xfId="4" applyNumberFormat="1" applyFont="1" applyBorder="1" applyAlignment="1">
      <alignment horizontal="center" vertical="center" wrapText="1"/>
    </xf>
    <xf numFmtId="1" fontId="21" fillId="4" borderId="7" xfId="4" applyNumberFormat="1" applyFont="1" applyBorder="1" applyAlignment="1">
      <alignment horizontal="center"/>
    </xf>
    <xf numFmtId="0" fontId="21" fillId="4" borderId="7" xfId="4" applyNumberFormat="1" applyFont="1" applyBorder="1" applyAlignment="1">
      <alignment horizontal="center" vertical="center" wrapText="1"/>
    </xf>
    <xf numFmtId="0" fontId="21" fillId="4" borderId="7" xfId="4" applyFont="1" applyBorder="1" applyAlignment="1">
      <alignment horizontal="center"/>
    </xf>
    <xf numFmtId="0" fontId="21" fillId="4" borderId="11" xfId="4" applyFont="1" applyBorder="1" applyAlignment="1">
      <alignment horizontal="center"/>
    </xf>
    <xf numFmtId="0" fontId="22" fillId="10" borderId="0" xfId="0" applyFont="1" applyFill="1"/>
    <xf numFmtId="0" fontId="2" fillId="10" borderId="0" xfId="0" applyFont="1" applyFill="1"/>
    <xf numFmtId="0" fontId="4" fillId="10" borderId="0" xfId="0" applyFont="1" applyFill="1"/>
    <xf numFmtId="0" fontId="23" fillId="10" borderId="0" xfId="0" applyFont="1" applyFill="1"/>
    <xf numFmtId="0" fontId="24" fillId="3" borderId="1" xfId="3" applyFont="1" applyBorder="1" applyAlignment="1">
      <alignment horizontal="center" vertical="center"/>
    </xf>
    <xf numFmtId="44" fontId="28" fillId="4" borderId="1" xfId="4" applyNumberFormat="1" applyFont="1" applyBorder="1" applyAlignment="1">
      <alignment horizontal="center" vertical="center"/>
    </xf>
    <xf numFmtId="9" fontId="28" fillId="5" borderId="1" xfId="5" applyNumberFormat="1" applyFont="1" applyBorder="1" applyAlignment="1">
      <alignment horizontal="center" vertical="center"/>
    </xf>
    <xf numFmtId="0" fontId="28" fillId="10" borderId="0" xfId="0" applyFont="1" applyFill="1"/>
    <xf numFmtId="44" fontId="28" fillId="5" borderId="1" xfId="5" applyNumberFormat="1" applyFont="1" applyBorder="1" applyAlignment="1">
      <alignment horizontal="center" vertical="center"/>
    </xf>
    <xf numFmtId="0" fontId="24" fillId="3" borderId="20" xfId="3" applyFont="1" applyBorder="1" applyAlignment="1">
      <alignment horizontal="center" vertical="center"/>
    </xf>
    <xf numFmtId="44" fontId="28" fillId="4" borderId="20" xfId="4" applyNumberFormat="1" applyFont="1" applyBorder="1" applyAlignment="1">
      <alignment horizontal="center" vertical="center"/>
    </xf>
    <xf numFmtId="0" fontId="29" fillId="7" borderId="1" xfId="7" applyFont="1" applyBorder="1" applyAlignment="1">
      <alignment horizontal="center" vertical="center"/>
    </xf>
    <xf numFmtId="0" fontId="29" fillId="3" borderId="1" xfId="3" applyFont="1" applyBorder="1" applyAlignment="1">
      <alignment horizontal="center" vertical="center"/>
    </xf>
    <xf numFmtId="0" fontId="22" fillId="3" borderId="12" xfId="3" applyFont="1" applyBorder="1" applyAlignment="1">
      <alignment horizontal="center"/>
    </xf>
    <xf numFmtId="0" fontId="21" fillId="5" borderId="1" xfId="5" applyFont="1" applyBorder="1"/>
    <xf numFmtId="44" fontId="21" fillId="5" borderId="1" xfId="5" applyNumberFormat="1" applyFont="1" applyBorder="1"/>
    <xf numFmtId="0" fontId="21" fillId="4" borderId="12" xfId="4" applyFont="1" applyBorder="1" applyAlignment="1">
      <alignment horizontal="center"/>
    </xf>
    <xf numFmtId="0" fontId="22" fillId="10" borderId="0" xfId="3" applyFont="1" applyFill="1" applyBorder="1" applyAlignment="1">
      <alignment horizontal="center"/>
    </xf>
    <xf numFmtId="0" fontId="21" fillId="10" borderId="0" xfId="4" applyFont="1" applyFill="1" applyBorder="1" applyAlignment="1">
      <alignment horizontal="center"/>
    </xf>
    <xf numFmtId="0" fontId="27" fillId="10" borderId="0" xfId="0" applyFont="1" applyFill="1" applyBorder="1"/>
    <xf numFmtId="0" fontId="31" fillId="10" borderId="0" xfId="0" applyFont="1" applyFill="1" applyBorder="1"/>
    <xf numFmtId="0" fontId="35" fillId="10" borderId="0" xfId="0" applyFont="1" applyFill="1"/>
    <xf numFmtId="0" fontId="34" fillId="7" borderId="1" xfId="7" applyFont="1" applyBorder="1" applyAlignment="1">
      <alignment horizontal="left"/>
    </xf>
    <xf numFmtId="164" fontId="34" fillId="7" borderId="1" xfId="7" applyNumberFormat="1" applyFont="1" applyBorder="1" applyAlignment="1">
      <alignment horizontal="left"/>
    </xf>
    <xf numFmtId="164" fontId="35" fillId="8" borderId="1" xfId="8" applyNumberFormat="1" applyFont="1" applyBorder="1" applyAlignment="1">
      <alignment horizontal="left"/>
    </xf>
    <xf numFmtId="9" fontId="35" fillId="9" borderId="1" xfId="9" applyNumberFormat="1" applyFont="1" applyBorder="1" applyAlignment="1">
      <alignment horizontal="left"/>
    </xf>
    <xf numFmtId="0" fontId="35" fillId="9" borderId="1" xfId="9" applyFont="1" applyBorder="1" applyAlignment="1">
      <alignment horizontal="left"/>
    </xf>
    <xf numFmtId="164" fontId="35" fillId="10" borderId="0" xfId="0" applyNumberFormat="1" applyFont="1" applyFill="1"/>
    <xf numFmtId="3" fontId="35" fillId="5" borderId="1" xfId="5" applyNumberFormat="1" applyFont="1" applyBorder="1" applyAlignment="1">
      <alignment horizontal="left"/>
    </xf>
    <xf numFmtId="3" fontId="35" fillId="4" borderId="1" xfId="4" applyNumberFormat="1" applyFont="1" applyBorder="1" applyAlignment="1">
      <alignment horizontal="left"/>
    </xf>
    <xf numFmtId="164" fontId="35" fillId="5" borderId="1" xfId="5" applyNumberFormat="1" applyFont="1" applyBorder="1" applyAlignment="1">
      <alignment horizontal="left"/>
    </xf>
    <xf numFmtId="9" fontId="35" fillId="4" borderId="1" xfId="4" applyNumberFormat="1" applyFont="1" applyBorder="1" applyAlignment="1">
      <alignment horizontal="left"/>
    </xf>
    <xf numFmtId="0" fontId="34" fillId="7" borderId="1" xfId="7" applyFont="1" applyBorder="1"/>
    <xf numFmtId="44" fontId="35" fillId="9" borderId="1" xfId="2" applyFont="1" applyFill="1" applyBorder="1" applyAlignment="1">
      <alignment horizontal="left"/>
    </xf>
    <xf numFmtId="44" fontId="35" fillId="9" borderId="1" xfId="2" applyFont="1" applyFill="1" applyBorder="1"/>
    <xf numFmtId="43" fontId="35" fillId="9" borderId="1" xfId="1" applyFont="1" applyFill="1" applyBorder="1"/>
    <xf numFmtId="0" fontId="35" fillId="10" borderId="0" xfId="0" applyFont="1" applyFill="1" applyBorder="1"/>
    <xf numFmtId="44" fontId="35" fillId="10" borderId="0" xfId="2" applyFont="1" applyFill="1" applyBorder="1"/>
    <xf numFmtId="43" fontId="35" fillId="9" borderId="1" xfId="1" applyFont="1" applyFill="1" applyBorder="1" applyAlignment="1">
      <alignment horizontal="left"/>
    </xf>
    <xf numFmtId="4" fontId="37" fillId="2" borderId="2" xfId="0" applyNumberFormat="1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/>
    </xf>
    <xf numFmtId="4" fontId="38" fillId="0" borderId="2" xfId="0" applyNumberFormat="1" applyFont="1" applyBorder="1" applyAlignment="1">
      <alignment horizontal="center"/>
    </xf>
    <xf numFmtId="164" fontId="38" fillId="0" borderId="1" xfId="0" applyNumberFormat="1" applyFont="1" applyBorder="1" applyAlignment="1">
      <alignment horizontal="center"/>
    </xf>
    <xf numFmtId="4" fontId="38" fillId="0" borderId="1" xfId="0" applyNumberFormat="1" applyFont="1" applyBorder="1" applyAlignment="1">
      <alignment horizontal="center"/>
    </xf>
    <xf numFmtId="0" fontId="37" fillId="2" borderId="8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4" fontId="0" fillId="10" borderId="0" xfId="0" applyNumberFormat="1" applyFill="1" applyBorder="1" applyAlignment="1">
      <alignment horizontal="center"/>
    </xf>
    <xf numFmtId="0" fontId="20" fillId="10" borderId="0" xfId="1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9" fillId="7" borderId="1" xfId="7" applyFont="1" applyBorder="1" applyAlignment="1">
      <alignment horizontal="center" vertical="center"/>
    </xf>
    <xf numFmtId="0" fontId="36" fillId="7" borderId="1" xfId="7" applyFont="1" applyBorder="1" applyAlignment="1">
      <alignment horizontal="left"/>
    </xf>
    <xf numFmtId="0" fontId="36" fillId="7" borderId="1" xfId="7" applyNumberFormat="1" applyFont="1" applyBorder="1" applyAlignment="1">
      <alignment horizontal="center"/>
    </xf>
    <xf numFmtId="164" fontId="8" fillId="9" borderId="1" xfId="9" applyNumberFormat="1" applyFont="1" applyBorder="1" applyAlignment="1">
      <alignment horizontal="left"/>
    </xf>
    <xf numFmtId="164" fontId="8" fillId="9" borderId="3" xfId="9" applyNumberFormat="1" applyFont="1" applyBorder="1" applyAlignment="1">
      <alignment horizontal="left"/>
    </xf>
    <xf numFmtId="164" fontId="8" fillId="9" borderId="4" xfId="9" applyNumberFormat="1" applyFont="1" applyBorder="1" applyAlignment="1">
      <alignment horizontal="left"/>
    </xf>
    <xf numFmtId="0" fontId="21" fillId="4" borderId="6" xfId="4" applyNumberFormat="1" applyFont="1" applyBorder="1" applyAlignment="1">
      <alignment horizontal="center"/>
    </xf>
    <xf numFmtId="0" fontId="21" fillId="4" borderId="16" xfId="4" applyFont="1" applyBorder="1" applyAlignment="1">
      <alignment horizontal="center"/>
    </xf>
    <xf numFmtId="0" fontId="22" fillId="3" borderId="11" xfId="3" applyFont="1" applyBorder="1" applyAlignment="1">
      <alignment horizontal="center"/>
    </xf>
    <xf numFmtId="0" fontId="22" fillId="3" borderId="10" xfId="3" applyFont="1" applyBorder="1"/>
    <xf numFmtId="44" fontId="21" fillId="4" borderId="6" xfId="4" applyNumberFormat="1" applyFont="1" applyBorder="1"/>
    <xf numFmtId="0" fontId="22" fillId="3" borderId="12" xfId="3" applyFont="1" applyBorder="1" applyAlignment="1">
      <alignment horizontal="center" wrapText="1"/>
    </xf>
    <xf numFmtId="0" fontId="7" fillId="10" borderId="0" xfId="0" applyFont="1" applyFill="1" applyAlignment="1">
      <alignment horizontal="center"/>
    </xf>
    <xf numFmtId="0" fontId="7" fillId="10" borderId="0" xfId="0" applyFont="1" applyFill="1"/>
    <xf numFmtId="0" fontId="26" fillId="10" borderId="0" xfId="0" applyFont="1" applyFill="1" applyAlignment="1">
      <alignment horizontal="center" vertical="center"/>
    </xf>
    <xf numFmtId="0" fontId="24" fillId="3" borderId="11" xfId="3" applyFont="1" applyBorder="1" applyAlignment="1">
      <alignment horizontal="center"/>
    </xf>
    <xf numFmtId="0" fontId="24" fillId="3" borderId="20" xfId="3" applyFont="1" applyBorder="1" applyAlignment="1">
      <alignment horizontal="center"/>
    </xf>
    <xf numFmtId="0" fontId="24" fillId="3" borderId="10" xfId="3" applyFont="1" applyBorder="1" applyAlignment="1">
      <alignment horizontal="center"/>
    </xf>
    <xf numFmtId="0" fontId="24" fillId="3" borderId="12" xfId="3" applyFont="1" applyBorder="1" applyAlignment="1">
      <alignment horizontal="center"/>
    </xf>
    <xf numFmtId="44" fontId="28" fillId="5" borderId="1" xfId="5" applyNumberFormat="1" applyFont="1" applyBorder="1" applyAlignment="1">
      <alignment horizontal="center"/>
    </xf>
    <xf numFmtId="0" fontId="28" fillId="4" borderId="1" xfId="4" applyFont="1" applyBorder="1" applyAlignment="1">
      <alignment horizontal="center"/>
    </xf>
    <xf numFmtId="0" fontId="28" fillId="5" borderId="6" xfId="5" applyFont="1" applyBorder="1" applyAlignment="1">
      <alignment horizontal="center"/>
    </xf>
    <xf numFmtId="43" fontId="28" fillId="4" borderId="1" xfId="4" applyNumberFormat="1" applyFont="1" applyBorder="1" applyAlignment="1">
      <alignment horizontal="center"/>
    </xf>
    <xf numFmtId="44" fontId="0" fillId="10" borderId="0" xfId="2" applyFont="1" applyFill="1"/>
    <xf numFmtId="0" fontId="20" fillId="3" borderId="1" xfId="3" applyFont="1" applyBorder="1"/>
    <xf numFmtId="0" fontId="21" fillId="0" borderId="1" xfId="0" applyFont="1" applyBorder="1"/>
    <xf numFmtId="43" fontId="21" fillId="6" borderId="1" xfId="1" applyFont="1" applyFill="1" applyBorder="1" applyAlignment="1">
      <alignment horizontal="center" vertical="center"/>
    </xf>
    <xf numFmtId="0" fontId="3" fillId="10" borderId="0" xfId="0" applyFont="1" applyFill="1"/>
    <xf numFmtId="0" fontId="1" fillId="10" borderId="0" xfId="0" applyFont="1" applyFill="1"/>
    <xf numFmtId="0" fontId="1" fillId="10" borderId="0" xfId="1" applyNumberFormat="1" applyFont="1" applyFill="1"/>
    <xf numFmtId="9" fontId="0" fillId="10" borderId="0" xfId="0" applyNumberFormat="1" applyFont="1" applyFill="1"/>
    <xf numFmtId="0" fontId="0" fillId="10" borderId="0" xfId="1" applyNumberFormat="1" applyFont="1" applyFill="1"/>
    <xf numFmtId="9" fontId="3" fillId="10" borderId="0" xfId="0" applyNumberFormat="1" applyFont="1" applyFill="1"/>
    <xf numFmtId="0" fontId="38" fillId="10" borderId="0" xfId="0" applyFont="1" applyFill="1"/>
    <xf numFmtId="0" fontId="43" fillId="10" borderId="0" xfId="0" applyFont="1" applyFill="1" applyBorder="1"/>
    <xf numFmtId="0" fontId="43" fillId="0" borderId="0" xfId="0" applyFont="1"/>
    <xf numFmtId="0" fontId="43" fillId="10" borderId="0" xfId="0" applyFont="1" applyFill="1"/>
    <xf numFmtId="164" fontId="13" fillId="10" borderId="0" xfId="0" applyNumberFormat="1" applyFont="1" applyFill="1"/>
    <xf numFmtId="0" fontId="17" fillId="10" borderId="0" xfId="0" applyFont="1" applyFill="1"/>
    <xf numFmtId="164" fontId="17" fillId="10" borderId="0" xfId="0" applyNumberFormat="1" applyFont="1" applyFill="1"/>
    <xf numFmtId="44" fontId="17" fillId="10" borderId="0" xfId="0" applyNumberFormat="1" applyFont="1" applyFill="1"/>
    <xf numFmtId="8" fontId="41" fillId="6" borderId="1" xfId="6" applyNumberFormat="1" applyFont="1" applyBorder="1"/>
    <xf numFmtId="0" fontId="38" fillId="13" borderId="8" xfId="0" applyFont="1" applyFill="1" applyBorder="1" applyAlignment="1">
      <alignment horizontal="right" vertical="center"/>
    </xf>
    <xf numFmtId="0" fontId="38" fillId="14" borderId="8" xfId="0" applyFont="1" applyFill="1" applyBorder="1" applyAlignment="1">
      <alignment horizontal="right" vertical="center"/>
    </xf>
    <xf numFmtId="0" fontId="38" fillId="5" borderId="12" xfId="5" applyFont="1" applyBorder="1" applyAlignment="1">
      <alignment horizontal="left"/>
    </xf>
    <xf numFmtId="0" fontId="38" fillId="5" borderId="9" xfId="5" applyFont="1" applyBorder="1" applyAlignment="1">
      <alignment horizontal="left"/>
    </xf>
    <xf numFmtId="0" fontId="38" fillId="6" borderId="9" xfId="6" applyFont="1" applyBorder="1" applyAlignment="1">
      <alignment horizontal="left"/>
    </xf>
    <xf numFmtId="0" fontId="44" fillId="10" borderId="0" xfId="0" applyFont="1" applyFill="1"/>
    <xf numFmtId="0" fontId="18" fillId="7" borderId="17" xfId="7" applyFont="1" applyBorder="1" applyAlignment="1">
      <alignment horizontal="left"/>
    </xf>
    <xf numFmtId="164" fontId="45" fillId="8" borderId="18" xfId="8" applyNumberFormat="1" applyFont="1" applyBorder="1" applyAlignment="1">
      <alignment horizontal="left"/>
    </xf>
    <xf numFmtId="164" fontId="45" fillId="9" borderId="19" xfId="9" applyNumberFormat="1" applyFont="1" applyBorder="1" applyAlignment="1">
      <alignment horizontal="left"/>
    </xf>
    <xf numFmtId="164" fontId="45" fillId="8" borderId="19" xfId="8" applyNumberFormat="1" applyFont="1" applyBorder="1" applyAlignment="1">
      <alignment horizontal="left"/>
    </xf>
    <xf numFmtId="9" fontId="41" fillId="4" borderId="2" xfId="4" applyNumberFormat="1" applyFont="1" applyBorder="1"/>
    <xf numFmtId="0" fontId="20" fillId="3" borderId="9" xfId="3" applyFont="1" applyBorder="1" applyAlignment="1">
      <alignment horizontal="center"/>
    </xf>
    <xf numFmtId="0" fontId="29" fillId="3" borderId="9" xfId="3" applyFont="1" applyBorder="1" applyAlignment="1">
      <alignment horizontal="center"/>
    </xf>
    <xf numFmtId="43" fontId="46" fillId="5" borderId="17" xfId="1" applyFont="1" applyFill="1" applyBorder="1" applyAlignment="1">
      <alignment horizontal="center" vertical="center"/>
    </xf>
    <xf numFmtId="43" fontId="46" fillId="4" borderId="17" xfId="1" applyFont="1" applyFill="1" applyBorder="1" applyAlignment="1">
      <alignment horizontal="center"/>
    </xf>
    <xf numFmtId="43" fontId="46" fillId="5" borderId="2" xfId="1" applyFont="1" applyFill="1" applyBorder="1" applyAlignment="1">
      <alignment horizontal="center"/>
    </xf>
    <xf numFmtId="0" fontId="41" fillId="0" borderId="1" xfId="0" applyFont="1" applyBorder="1"/>
    <xf numFmtId="10" fontId="41" fillId="6" borderId="1" xfId="6" applyNumberFormat="1" applyFont="1" applyBorder="1"/>
    <xf numFmtId="0" fontId="38" fillId="6" borderId="9" xfId="6" applyFont="1" applyBorder="1"/>
    <xf numFmtId="0" fontId="38" fillId="5" borderId="9" xfId="5" applyFont="1" applyBorder="1"/>
    <xf numFmtId="0" fontId="17" fillId="0" borderId="0" xfId="0" applyFont="1" applyAlignment="1">
      <alignment horizontal="center" wrapText="1"/>
    </xf>
    <xf numFmtId="0" fontId="17" fillId="10" borderId="0" xfId="0" applyFont="1" applyFill="1" applyAlignment="1">
      <alignment horizontal="center" wrapText="1"/>
    </xf>
    <xf numFmtId="0" fontId="32" fillId="12" borderId="0" xfId="0" applyFont="1" applyFill="1" applyAlignment="1">
      <alignment horizontal="center" vertical="center"/>
    </xf>
    <xf numFmtId="0" fontId="33" fillId="12" borderId="0" xfId="0" applyFont="1" applyFill="1" applyAlignment="1">
      <alignment horizontal="center" vertical="center"/>
    </xf>
    <xf numFmtId="0" fontId="19" fillId="7" borderId="6" xfId="7" applyFont="1" applyBorder="1" applyAlignment="1">
      <alignment horizontal="center" vertical="center"/>
    </xf>
    <xf numFmtId="0" fontId="19" fillId="7" borderId="16" xfId="7" applyFont="1" applyBorder="1" applyAlignment="1">
      <alignment horizontal="center" vertical="center"/>
    </xf>
    <xf numFmtId="0" fontId="19" fillId="7" borderId="12" xfId="7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5" fillId="12" borderId="0" xfId="0" applyFont="1" applyFill="1" applyAlignment="1">
      <alignment horizontal="center" vertical="center"/>
    </xf>
    <xf numFmtId="0" fontId="22" fillId="3" borderId="6" xfId="3" applyFont="1" applyBorder="1" applyAlignment="1">
      <alignment horizontal="center" vertical="center"/>
    </xf>
    <xf numFmtId="0" fontId="22" fillId="3" borderId="16" xfId="3" applyFont="1" applyBorder="1" applyAlignment="1">
      <alignment horizontal="center" vertical="center"/>
    </xf>
    <xf numFmtId="0" fontId="22" fillId="3" borderId="12" xfId="3" applyFont="1" applyBorder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0" fontId="22" fillId="3" borderId="17" xfId="3" applyFont="1" applyBorder="1" applyAlignment="1">
      <alignment horizontal="center"/>
    </xf>
    <xf numFmtId="0" fontId="40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0" fontId="38" fillId="14" borderId="2" xfId="0" applyFont="1" applyFill="1" applyBorder="1" applyAlignment="1">
      <alignment horizontal="left"/>
    </xf>
    <xf numFmtId="0" fontId="38" fillId="14" borderId="8" xfId="0" applyFont="1" applyFill="1" applyBorder="1" applyAlignment="1">
      <alignment horizontal="left"/>
    </xf>
    <xf numFmtId="0" fontId="38" fillId="13" borderId="2" xfId="0" applyFont="1" applyFill="1" applyBorder="1" applyAlignment="1">
      <alignment horizontal="left"/>
    </xf>
    <xf numFmtId="0" fontId="38" fillId="13" borderId="8" xfId="0" applyFont="1" applyFill="1" applyBorder="1" applyAlignment="1">
      <alignment horizontal="left"/>
    </xf>
    <xf numFmtId="0" fontId="38" fillId="5" borderId="6" xfId="5" applyFont="1" applyBorder="1" applyAlignment="1">
      <alignment horizontal="left"/>
    </xf>
    <xf numFmtId="0" fontId="38" fillId="5" borderId="16" xfId="5" applyFont="1" applyBorder="1" applyAlignment="1">
      <alignment horizontal="left"/>
    </xf>
    <xf numFmtId="9" fontId="38" fillId="14" borderId="8" xfId="0" applyNumberFormat="1" applyFont="1" applyFill="1" applyBorder="1" applyAlignment="1">
      <alignment horizontal="right" vertical="center"/>
    </xf>
    <xf numFmtId="43" fontId="42" fillId="13" borderId="8" xfId="0" applyNumberFormat="1" applyFont="1" applyFill="1" applyBorder="1" applyAlignment="1">
      <alignment horizontal="right" vertical="center"/>
    </xf>
    <xf numFmtId="8" fontId="42" fillId="14" borderId="8" xfId="0" applyNumberFormat="1" applyFont="1" applyFill="1" applyBorder="1" applyAlignment="1">
      <alignment horizontal="right" vertical="center"/>
    </xf>
    <xf numFmtId="44" fontId="42" fillId="14" borderId="8" xfId="0" applyNumberFormat="1" applyFont="1" applyFill="1" applyBorder="1" applyAlignment="1">
      <alignment horizontal="right" vertical="center"/>
    </xf>
    <xf numFmtId="10" fontId="38" fillId="5" borderId="16" xfId="5" applyNumberFormat="1" applyFont="1" applyBorder="1" applyAlignment="1">
      <alignment horizontal="right" vertical="center"/>
    </xf>
  </cellXfs>
  <cellStyles count="11">
    <cellStyle name="20% - Énfasis1" xfId="8" builtinId="30"/>
    <cellStyle name="20% - Énfasis5" xfId="4" builtinId="46"/>
    <cellStyle name="40% - Énfasis1" xfId="9" builtinId="31"/>
    <cellStyle name="40% - Énfasis5" xfId="5" builtinId="47"/>
    <cellStyle name="60% - Énfasis5" xfId="6" builtinId="48"/>
    <cellStyle name="Black" xfId="10"/>
    <cellStyle name="Énfasis1" xfId="7" builtinId="29"/>
    <cellStyle name="Énfasis5" xfId="3" builtinId="45"/>
    <cellStyle name="Millares" xfId="1" builtinId="3"/>
    <cellStyle name="Moneda" xfId="2" builtinId="4"/>
    <cellStyle name="Normal" xfId="0" builtinId="0"/>
  </cellStyles>
  <dxfs count="18">
    <dxf>
      <font>
        <strike val="0"/>
        <outline val="0"/>
        <shadow val="0"/>
        <u val="none"/>
        <vertAlign val="baseline"/>
        <sz val="18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name val="Arial"/>
        <scheme val="none"/>
      </font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Arial"/>
        <scheme val="none"/>
      </font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etodo 2'!A1"/><Relationship Id="rId3" Type="http://schemas.openxmlformats.org/officeDocument/2006/relationships/hyperlink" Target="#'Pronostico de ventas'!A1"/><Relationship Id="rId7" Type="http://schemas.openxmlformats.org/officeDocument/2006/relationships/hyperlink" Target="#'Rendimiento anual promedio'!A1"/><Relationship Id="rId2" Type="http://schemas.openxmlformats.org/officeDocument/2006/relationships/hyperlink" Target="#'Flujo neto de efectivo'!A1"/><Relationship Id="rId1" Type="http://schemas.openxmlformats.org/officeDocument/2006/relationships/hyperlink" Target="#Datos!A1"/><Relationship Id="rId6" Type="http://schemas.openxmlformats.org/officeDocument/2006/relationships/hyperlink" Target="#TIR!A1"/><Relationship Id="rId11" Type="http://schemas.openxmlformats.org/officeDocument/2006/relationships/hyperlink" Target="#RESUMEN!A1"/><Relationship Id="rId5" Type="http://schemas.openxmlformats.org/officeDocument/2006/relationships/hyperlink" Target="#VPN!A1"/><Relationship Id="rId10" Type="http://schemas.openxmlformats.org/officeDocument/2006/relationships/hyperlink" Target="#'M&#233;todo 1'!A1"/><Relationship Id="rId4" Type="http://schemas.openxmlformats.org/officeDocument/2006/relationships/hyperlink" Target="#'Estado de resultados'!A1"/><Relationship Id="rId9" Type="http://schemas.openxmlformats.org/officeDocument/2006/relationships/hyperlink" Target="#'&#205;ndice de rentabilidad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Rendimiento anual promedio'!A1"/><Relationship Id="rId3" Type="http://schemas.openxmlformats.org/officeDocument/2006/relationships/hyperlink" Target="#'Flujo neto de efectivo'!A1"/><Relationship Id="rId7" Type="http://schemas.openxmlformats.org/officeDocument/2006/relationships/hyperlink" Target="#TIR!A1"/><Relationship Id="rId12" Type="http://schemas.openxmlformats.org/officeDocument/2006/relationships/hyperlink" Target="#RESUMEN!A1"/><Relationship Id="rId2" Type="http://schemas.openxmlformats.org/officeDocument/2006/relationships/hyperlink" Target="#Datos!A1"/><Relationship Id="rId1" Type="http://schemas.openxmlformats.org/officeDocument/2006/relationships/hyperlink" Target="#Car&#225;tula!A1"/><Relationship Id="rId6" Type="http://schemas.openxmlformats.org/officeDocument/2006/relationships/hyperlink" Target="#VPN!A1"/><Relationship Id="rId11" Type="http://schemas.openxmlformats.org/officeDocument/2006/relationships/hyperlink" Target="#'M&#233;todo 1'!A1"/><Relationship Id="rId5" Type="http://schemas.openxmlformats.org/officeDocument/2006/relationships/hyperlink" Target="#'Estado de resultados'!A1"/><Relationship Id="rId10" Type="http://schemas.openxmlformats.org/officeDocument/2006/relationships/hyperlink" Target="#'&#205;ndice de rentabilidad'!A1"/><Relationship Id="rId4" Type="http://schemas.openxmlformats.org/officeDocument/2006/relationships/hyperlink" Target="#'Pronostico de ventas'!A1"/><Relationship Id="rId9" Type="http://schemas.openxmlformats.org/officeDocument/2006/relationships/hyperlink" Target="#'Metodo 2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Rendimiento anual promedio'!A1"/><Relationship Id="rId3" Type="http://schemas.openxmlformats.org/officeDocument/2006/relationships/hyperlink" Target="#'Flujo neto de efectivo'!A1"/><Relationship Id="rId7" Type="http://schemas.openxmlformats.org/officeDocument/2006/relationships/hyperlink" Target="#TIR!A1"/><Relationship Id="rId12" Type="http://schemas.openxmlformats.org/officeDocument/2006/relationships/hyperlink" Target="#RESUMEN!A1"/><Relationship Id="rId2" Type="http://schemas.openxmlformats.org/officeDocument/2006/relationships/hyperlink" Target="#Datos!A1"/><Relationship Id="rId1" Type="http://schemas.openxmlformats.org/officeDocument/2006/relationships/hyperlink" Target="#Car&#225;tula!A1"/><Relationship Id="rId6" Type="http://schemas.openxmlformats.org/officeDocument/2006/relationships/hyperlink" Target="#VPN!A1"/><Relationship Id="rId11" Type="http://schemas.openxmlformats.org/officeDocument/2006/relationships/hyperlink" Target="#'M&#233;todo 1'!A1"/><Relationship Id="rId5" Type="http://schemas.openxmlformats.org/officeDocument/2006/relationships/hyperlink" Target="#'Estado de resultados'!A1"/><Relationship Id="rId10" Type="http://schemas.openxmlformats.org/officeDocument/2006/relationships/hyperlink" Target="#'&#205;ndice de rentabilidad'!A1"/><Relationship Id="rId4" Type="http://schemas.openxmlformats.org/officeDocument/2006/relationships/hyperlink" Target="#'Pronostico de ventas'!A1"/><Relationship Id="rId9" Type="http://schemas.openxmlformats.org/officeDocument/2006/relationships/hyperlink" Target="#'Metodo 2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r&#225;tula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Metodo 2'!A1"/><Relationship Id="rId3" Type="http://schemas.openxmlformats.org/officeDocument/2006/relationships/hyperlink" Target="#'Pronostico de ventas'!A1"/><Relationship Id="rId7" Type="http://schemas.openxmlformats.org/officeDocument/2006/relationships/hyperlink" Target="#'Rendimiento anual promedio'!A1"/><Relationship Id="rId2" Type="http://schemas.openxmlformats.org/officeDocument/2006/relationships/hyperlink" Target="#'Flujo neto de efectivo'!A1"/><Relationship Id="rId1" Type="http://schemas.openxmlformats.org/officeDocument/2006/relationships/hyperlink" Target="#Car&#225;tula!A1"/><Relationship Id="rId6" Type="http://schemas.openxmlformats.org/officeDocument/2006/relationships/hyperlink" Target="#TIR!A1"/><Relationship Id="rId11" Type="http://schemas.openxmlformats.org/officeDocument/2006/relationships/hyperlink" Target="#RESUMEN!A1"/><Relationship Id="rId5" Type="http://schemas.openxmlformats.org/officeDocument/2006/relationships/hyperlink" Target="#VPN!A1"/><Relationship Id="rId10" Type="http://schemas.openxmlformats.org/officeDocument/2006/relationships/hyperlink" Target="#'M&#233;todo 1'!A1"/><Relationship Id="rId4" Type="http://schemas.openxmlformats.org/officeDocument/2006/relationships/hyperlink" Target="#'Estado de resultados'!A1"/><Relationship Id="rId9" Type="http://schemas.openxmlformats.org/officeDocument/2006/relationships/hyperlink" Target="#'&#205;ndice de rentabilidad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&#205;ndice de rentabilidad'!A1"/><Relationship Id="rId3" Type="http://schemas.openxmlformats.org/officeDocument/2006/relationships/hyperlink" Target="#'Estado de resultados'!A1"/><Relationship Id="rId7" Type="http://schemas.openxmlformats.org/officeDocument/2006/relationships/hyperlink" Target="#'Metodo 2'!A1"/><Relationship Id="rId2" Type="http://schemas.openxmlformats.org/officeDocument/2006/relationships/hyperlink" Target="#'Flujo neto de efectivo'!A1"/><Relationship Id="rId1" Type="http://schemas.openxmlformats.org/officeDocument/2006/relationships/hyperlink" Target="#Car&#225;tula!A1"/><Relationship Id="rId6" Type="http://schemas.openxmlformats.org/officeDocument/2006/relationships/hyperlink" Target="#'Rendimiento anual promedio'!A1"/><Relationship Id="rId11" Type="http://schemas.openxmlformats.org/officeDocument/2006/relationships/hyperlink" Target="#'Pronostico de ventas'!A1"/><Relationship Id="rId5" Type="http://schemas.openxmlformats.org/officeDocument/2006/relationships/hyperlink" Target="#TIR!A1"/><Relationship Id="rId10" Type="http://schemas.openxmlformats.org/officeDocument/2006/relationships/hyperlink" Target="#RESUMEN!A1"/><Relationship Id="rId4" Type="http://schemas.openxmlformats.org/officeDocument/2006/relationships/hyperlink" Target="#VPN!A1"/><Relationship Id="rId9" Type="http://schemas.openxmlformats.org/officeDocument/2006/relationships/hyperlink" Target="#'M&#233;todo 1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Metodo 2'!A1"/><Relationship Id="rId3" Type="http://schemas.openxmlformats.org/officeDocument/2006/relationships/hyperlink" Target="#'Pronostico de ventas'!A1"/><Relationship Id="rId7" Type="http://schemas.openxmlformats.org/officeDocument/2006/relationships/hyperlink" Target="#'Rendimiento anual promedio'!A1"/><Relationship Id="rId2" Type="http://schemas.openxmlformats.org/officeDocument/2006/relationships/hyperlink" Target="#'Flujo neto de efectivo'!A1"/><Relationship Id="rId1" Type="http://schemas.openxmlformats.org/officeDocument/2006/relationships/hyperlink" Target="#Car&#225;tula!A1"/><Relationship Id="rId6" Type="http://schemas.openxmlformats.org/officeDocument/2006/relationships/hyperlink" Target="#TIR!A1"/><Relationship Id="rId11" Type="http://schemas.openxmlformats.org/officeDocument/2006/relationships/hyperlink" Target="#RESUMEN!A1"/><Relationship Id="rId5" Type="http://schemas.openxmlformats.org/officeDocument/2006/relationships/hyperlink" Target="#VPN!A1"/><Relationship Id="rId10" Type="http://schemas.openxmlformats.org/officeDocument/2006/relationships/hyperlink" Target="#'M&#233;todo 1'!A1"/><Relationship Id="rId4" Type="http://schemas.openxmlformats.org/officeDocument/2006/relationships/hyperlink" Target="#'Estado de resultados'!A1"/><Relationship Id="rId9" Type="http://schemas.openxmlformats.org/officeDocument/2006/relationships/hyperlink" Target="#'&#205;ndice de rentabilidad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Metodo 2'!A1"/><Relationship Id="rId3" Type="http://schemas.openxmlformats.org/officeDocument/2006/relationships/hyperlink" Target="#'Pronostico de ventas'!A1"/><Relationship Id="rId7" Type="http://schemas.openxmlformats.org/officeDocument/2006/relationships/hyperlink" Target="#'Rendimiento anual promedio'!A1"/><Relationship Id="rId2" Type="http://schemas.openxmlformats.org/officeDocument/2006/relationships/hyperlink" Target="#'Flujo neto de efectivo'!A1"/><Relationship Id="rId1" Type="http://schemas.openxmlformats.org/officeDocument/2006/relationships/hyperlink" Target="#Car&#225;tula!A1"/><Relationship Id="rId6" Type="http://schemas.openxmlformats.org/officeDocument/2006/relationships/hyperlink" Target="#TIR!A1"/><Relationship Id="rId11" Type="http://schemas.openxmlformats.org/officeDocument/2006/relationships/hyperlink" Target="#RESUMEN!A1"/><Relationship Id="rId5" Type="http://schemas.openxmlformats.org/officeDocument/2006/relationships/hyperlink" Target="#VPN!A1"/><Relationship Id="rId10" Type="http://schemas.openxmlformats.org/officeDocument/2006/relationships/hyperlink" Target="#'M&#233;todo 1'!A1"/><Relationship Id="rId4" Type="http://schemas.openxmlformats.org/officeDocument/2006/relationships/hyperlink" Target="#'Estado de resultados'!A1"/><Relationship Id="rId9" Type="http://schemas.openxmlformats.org/officeDocument/2006/relationships/hyperlink" Target="#'&#205;ndice de rentabilidad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Metodo 2'!A1"/><Relationship Id="rId3" Type="http://schemas.openxmlformats.org/officeDocument/2006/relationships/hyperlink" Target="#'Pronostico de ventas'!A1"/><Relationship Id="rId7" Type="http://schemas.openxmlformats.org/officeDocument/2006/relationships/hyperlink" Target="#'Rendimiento anual promedio'!A1"/><Relationship Id="rId2" Type="http://schemas.openxmlformats.org/officeDocument/2006/relationships/hyperlink" Target="#'Flujo neto de efectivo'!A1"/><Relationship Id="rId1" Type="http://schemas.openxmlformats.org/officeDocument/2006/relationships/hyperlink" Target="#Car&#225;tula!A1"/><Relationship Id="rId6" Type="http://schemas.openxmlformats.org/officeDocument/2006/relationships/hyperlink" Target="#TIR!A1"/><Relationship Id="rId11" Type="http://schemas.openxmlformats.org/officeDocument/2006/relationships/hyperlink" Target="#RESUMEN!A1"/><Relationship Id="rId5" Type="http://schemas.openxmlformats.org/officeDocument/2006/relationships/hyperlink" Target="#VPN!A1"/><Relationship Id="rId10" Type="http://schemas.openxmlformats.org/officeDocument/2006/relationships/hyperlink" Target="#'M&#233;todo 1'!A1"/><Relationship Id="rId4" Type="http://schemas.openxmlformats.org/officeDocument/2006/relationships/hyperlink" Target="#'Estado de resultados'!A1"/><Relationship Id="rId9" Type="http://schemas.openxmlformats.org/officeDocument/2006/relationships/hyperlink" Target="#'&#205;ndice de rentabilidad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Metodo 2'!A1"/><Relationship Id="rId3" Type="http://schemas.openxmlformats.org/officeDocument/2006/relationships/hyperlink" Target="#'Pronostico de ventas'!A1"/><Relationship Id="rId7" Type="http://schemas.openxmlformats.org/officeDocument/2006/relationships/hyperlink" Target="#'Rendimiento anual promedio'!A1"/><Relationship Id="rId2" Type="http://schemas.openxmlformats.org/officeDocument/2006/relationships/hyperlink" Target="#'Flujo neto de efectivo'!A1"/><Relationship Id="rId1" Type="http://schemas.openxmlformats.org/officeDocument/2006/relationships/hyperlink" Target="#Car&#225;tula!A1"/><Relationship Id="rId6" Type="http://schemas.openxmlformats.org/officeDocument/2006/relationships/hyperlink" Target="#TIR!A1"/><Relationship Id="rId11" Type="http://schemas.openxmlformats.org/officeDocument/2006/relationships/hyperlink" Target="#RESUMEN!A1"/><Relationship Id="rId5" Type="http://schemas.openxmlformats.org/officeDocument/2006/relationships/hyperlink" Target="#VPN!A1"/><Relationship Id="rId10" Type="http://schemas.openxmlformats.org/officeDocument/2006/relationships/hyperlink" Target="#'M&#233;todo 1'!A1"/><Relationship Id="rId4" Type="http://schemas.openxmlformats.org/officeDocument/2006/relationships/hyperlink" Target="#'Estado de resultados'!A1"/><Relationship Id="rId9" Type="http://schemas.openxmlformats.org/officeDocument/2006/relationships/hyperlink" Target="#'&#205;ndice de rentabilidad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Rendimiento anual promedio'!A1"/><Relationship Id="rId3" Type="http://schemas.openxmlformats.org/officeDocument/2006/relationships/hyperlink" Target="#'Flujo neto de efectivo'!A1"/><Relationship Id="rId7" Type="http://schemas.openxmlformats.org/officeDocument/2006/relationships/hyperlink" Target="#TIR!A1"/><Relationship Id="rId12" Type="http://schemas.openxmlformats.org/officeDocument/2006/relationships/hyperlink" Target="#RESUMEN!A1"/><Relationship Id="rId2" Type="http://schemas.openxmlformats.org/officeDocument/2006/relationships/hyperlink" Target="#Datos!A1"/><Relationship Id="rId1" Type="http://schemas.openxmlformats.org/officeDocument/2006/relationships/hyperlink" Target="#Car&#225;tula!A1"/><Relationship Id="rId6" Type="http://schemas.openxmlformats.org/officeDocument/2006/relationships/hyperlink" Target="#VPN!A1"/><Relationship Id="rId11" Type="http://schemas.openxmlformats.org/officeDocument/2006/relationships/hyperlink" Target="#'M&#233;todo 1'!A1"/><Relationship Id="rId5" Type="http://schemas.openxmlformats.org/officeDocument/2006/relationships/hyperlink" Target="#'Estado de resultados'!A1"/><Relationship Id="rId10" Type="http://schemas.openxmlformats.org/officeDocument/2006/relationships/hyperlink" Target="#'&#205;ndice de rentabilidad'!A1"/><Relationship Id="rId4" Type="http://schemas.openxmlformats.org/officeDocument/2006/relationships/hyperlink" Target="#'Pronostico de ventas'!A1"/><Relationship Id="rId9" Type="http://schemas.openxmlformats.org/officeDocument/2006/relationships/hyperlink" Target="#'Metodo 2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Rendimiento anual promedio'!A1"/><Relationship Id="rId3" Type="http://schemas.openxmlformats.org/officeDocument/2006/relationships/hyperlink" Target="#'Flujo neto de efectivo'!A1"/><Relationship Id="rId7" Type="http://schemas.openxmlformats.org/officeDocument/2006/relationships/hyperlink" Target="#TIR!A1"/><Relationship Id="rId12" Type="http://schemas.openxmlformats.org/officeDocument/2006/relationships/hyperlink" Target="#RESUMEN!A1"/><Relationship Id="rId2" Type="http://schemas.openxmlformats.org/officeDocument/2006/relationships/hyperlink" Target="#Datos!A1"/><Relationship Id="rId1" Type="http://schemas.openxmlformats.org/officeDocument/2006/relationships/hyperlink" Target="#Car&#225;tula!A1"/><Relationship Id="rId6" Type="http://schemas.openxmlformats.org/officeDocument/2006/relationships/hyperlink" Target="#VPN!A1"/><Relationship Id="rId11" Type="http://schemas.openxmlformats.org/officeDocument/2006/relationships/hyperlink" Target="#'M&#233;todo 1'!A1"/><Relationship Id="rId5" Type="http://schemas.openxmlformats.org/officeDocument/2006/relationships/hyperlink" Target="#'Estado de resultados'!A1"/><Relationship Id="rId10" Type="http://schemas.openxmlformats.org/officeDocument/2006/relationships/hyperlink" Target="#'&#205;ndice de rentabilidad'!A1"/><Relationship Id="rId4" Type="http://schemas.openxmlformats.org/officeDocument/2006/relationships/hyperlink" Target="#'Pronostico de ventas'!A1"/><Relationship Id="rId9" Type="http://schemas.openxmlformats.org/officeDocument/2006/relationships/hyperlink" Target="#'Metodo 2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28575</xdr:colOff>
          <xdr:row>0</xdr:row>
          <xdr:rowOff>0</xdr:rowOff>
        </xdr:from>
        <xdr:to>
          <xdr:col>13</xdr:col>
          <xdr:colOff>762000</xdr:colOff>
          <xdr:row>26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238125</xdr:colOff>
      <xdr:row>3</xdr:row>
      <xdr:rowOff>28575</xdr:rowOff>
    </xdr:from>
    <xdr:to>
      <xdr:col>13</xdr:col>
      <xdr:colOff>609600</xdr:colOff>
      <xdr:row>4</xdr:row>
      <xdr:rowOff>171450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620125" y="6000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IR A DATOS</a:t>
          </a:r>
        </a:p>
      </xdr:txBody>
    </xdr:sp>
    <xdr:clientData/>
  </xdr:twoCellAnchor>
  <xdr:twoCellAnchor>
    <xdr:from>
      <xdr:col>11</xdr:col>
      <xdr:colOff>238125</xdr:colOff>
      <xdr:row>9</xdr:row>
      <xdr:rowOff>28575</xdr:rowOff>
    </xdr:from>
    <xdr:to>
      <xdr:col>13</xdr:col>
      <xdr:colOff>609600</xdr:colOff>
      <xdr:row>10</xdr:row>
      <xdr:rowOff>171450</xdr:rowOff>
    </xdr:to>
    <xdr:sp macro="" textlink="">
      <xdr:nvSpPr>
        <xdr:cNvPr id="4" name="Rectá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620125" y="17430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FLUJOS NETOS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EFECTIVO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238125</xdr:colOff>
      <xdr:row>5</xdr:row>
      <xdr:rowOff>28575</xdr:rowOff>
    </xdr:from>
    <xdr:to>
      <xdr:col>13</xdr:col>
      <xdr:colOff>609600</xdr:colOff>
      <xdr:row>6</xdr:row>
      <xdr:rowOff>171450</xdr:rowOff>
    </xdr:to>
    <xdr:sp macro="" textlink="">
      <xdr:nvSpPr>
        <xdr:cNvPr id="5" name="Rectá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620125" y="9810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PRONÓSTICO DE VENTAS</a:t>
          </a:r>
        </a:p>
      </xdr:txBody>
    </xdr:sp>
    <xdr:clientData/>
  </xdr:twoCellAnchor>
  <xdr:twoCellAnchor>
    <xdr:from>
      <xdr:col>11</xdr:col>
      <xdr:colOff>238125</xdr:colOff>
      <xdr:row>7</xdr:row>
      <xdr:rowOff>28575</xdr:rowOff>
    </xdr:from>
    <xdr:to>
      <xdr:col>13</xdr:col>
      <xdr:colOff>609600</xdr:colOff>
      <xdr:row>8</xdr:row>
      <xdr:rowOff>171450</xdr:rowOff>
    </xdr:to>
    <xdr:sp macro="" textlink="">
      <xdr:nvSpPr>
        <xdr:cNvPr id="6" name="Rectá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620125" y="13620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ESTADO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RESULTADOS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247650</xdr:colOff>
      <xdr:row>11</xdr:row>
      <xdr:rowOff>28575</xdr:rowOff>
    </xdr:from>
    <xdr:to>
      <xdr:col>13</xdr:col>
      <xdr:colOff>619125</xdr:colOff>
      <xdr:row>12</xdr:row>
      <xdr:rowOff>171450</xdr:rowOff>
    </xdr:to>
    <xdr:sp macro="" textlink="">
      <xdr:nvSpPr>
        <xdr:cNvPr id="7" name="Rectá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8629650" y="21240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VPN</a:t>
          </a:r>
        </a:p>
      </xdr:txBody>
    </xdr:sp>
    <xdr:clientData/>
  </xdr:twoCellAnchor>
  <xdr:twoCellAnchor>
    <xdr:from>
      <xdr:col>11</xdr:col>
      <xdr:colOff>247650</xdr:colOff>
      <xdr:row>13</xdr:row>
      <xdr:rowOff>28575</xdr:rowOff>
    </xdr:from>
    <xdr:to>
      <xdr:col>13</xdr:col>
      <xdr:colOff>619125</xdr:colOff>
      <xdr:row>14</xdr:row>
      <xdr:rowOff>171450</xdr:rowOff>
    </xdr:to>
    <xdr:sp macro="" textlink="">
      <xdr:nvSpPr>
        <xdr:cNvPr id="8" name="Rectángul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629650" y="25050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TIR</a:t>
          </a:r>
        </a:p>
      </xdr:txBody>
    </xdr:sp>
    <xdr:clientData/>
  </xdr:twoCellAnchor>
  <xdr:twoCellAnchor>
    <xdr:from>
      <xdr:col>11</xdr:col>
      <xdr:colOff>257175</xdr:colOff>
      <xdr:row>15</xdr:row>
      <xdr:rowOff>28575</xdr:rowOff>
    </xdr:from>
    <xdr:to>
      <xdr:col>13</xdr:col>
      <xdr:colOff>628650</xdr:colOff>
      <xdr:row>17</xdr:row>
      <xdr:rowOff>104775</xdr:rowOff>
    </xdr:to>
    <xdr:sp macro="" textlink="">
      <xdr:nvSpPr>
        <xdr:cNvPr id="9" name="Rectángulo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639175" y="2886075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RENDIMIENTO ANUAL PROMEDIO</a:t>
          </a:r>
        </a:p>
      </xdr:txBody>
    </xdr:sp>
    <xdr:clientData/>
  </xdr:twoCellAnchor>
  <xdr:twoCellAnchor>
    <xdr:from>
      <xdr:col>11</xdr:col>
      <xdr:colOff>257175</xdr:colOff>
      <xdr:row>21</xdr:row>
      <xdr:rowOff>152400</xdr:rowOff>
    </xdr:from>
    <xdr:to>
      <xdr:col>13</xdr:col>
      <xdr:colOff>628650</xdr:colOff>
      <xdr:row>24</xdr:row>
      <xdr:rowOff>38100</xdr:rowOff>
    </xdr:to>
    <xdr:sp macro="" textlink="">
      <xdr:nvSpPr>
        <xdr:cNvPr id="10" name="Rectángulo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639175" y="4152900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 DESCONTADO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257175</xdr:colOff>
      <xdr:row>17</xdr:row>
      <xdr:rowOff>142875</xdr:rowOff>
    </xdr:from>
    <xdr:to>
      <xdr:col>13</xdr:col>
      <xdr:colOff>628650</xdr:colOff>
      <xdr:row>19</xdr:row>
      <xdr:rowOff>95250</xdr:rowOff>
    </xdr:to>
    <xdr:sp macro="" textlink="">
      <xdr:nvSpPr>
        <xdr:cNvPr id="11" name="Rectángulo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639175" y="33813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INDICE DE RENTABILIDAD</a:t>
          </a:r>
        </a:p>
      </xdr:txBody>
    </xdr:sp>
    <xdr:clientData/>
  </xdr:twoCellAnchor>
  <xdr:twoCellAnchor>
    <xdr:from>
      <xdr:col>11</xdr:col>
      <xdr:colOff>247650</xdr:colOff>
      <xdr:row>19</xdr:row>
      <xdr:rowOff>142875</xdr:rowOff>
    </xdr:from>
    <xdr:to>
      <xdr:col>13</xdr:col>
      <xdr:colOff>619125</xdr:colOff>
      <xdr:row>21</xdr:row>
      <xdr:rowOff>95250</xdr:rowOff>
    </xdr:to>
    <xdr:sp macro="" textlink="">
      <xdr:nvSpPr>
        <xdr:cNvPr id="12" name="Rectángulo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8629650" y="37623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333375</xdr:colOff>
      <xdr:row>18</xdr:row>
      <xdr:rowOff>180976</xdr:rowOff>
    </xdr:from>
    <xdr:to>
      <xdr:col>9</xdr:col>
      <xdr:colOff>723900</xdr:colOff>
      <xdr:row>20</xdr:row>
      <xdr:rowOff>180976</xdr:rowOff>
    </xdr:to>
    <xdr:sp macro="" textlink="">
      <xdr:nvSpPr>
        <xdr:cNvPr id="3" name="Rectángulo 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429375" y="3609976"/>
          <a:ext cx="11525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0" cap="none" spc="0">
              <a:ln w="0">
                <a:solidFill>
                  <a:schemeClr val="accent5">
                    <a:lumMod val="75000"/>
                  </a:schemeClr>
                </a:solidFill>
              </a:ln>
              <a:solidFill>
                <a:schemeClr val="accent5">
                  <a:lumMod val="75000"/>
                </a:schemeClr>
              </a:solidFill>
              <a:effectLst/>
            </a:rPr>
            <a:t>RESÚMEN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9</xdr:row>
      <xdr:rowOff>161925</xdr:rowOff>
    </xdr:from>
    <xdr:to>
      <xdr:col>4</xdr:col>
      <xdr:colOff>1290108</xdr:colOff>
      <xdr:row>12</xdr:row>
      <xdr:rowOff>78317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4105275" y="2209800"/>
          <a:ext cx="709083" cy="687917"/>
          <a:chOff x="10657417" y="4296833"/>
          <a:chExt cx="709083" cy="687917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10657417" y="4296833"/>
            <a:ext cx="709083" cy="68791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" name="Flecha izquierda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10773833" y="4413249"/>
            <a:ext cx="486833" cy="423333"/>
          </a:xfrm>
          <a:prstGeom prst="leftArrow">
            <a:avLst>
              <a:gd name="adj1" fmla="val 30000"/>
              <a:gd name="adj2" fmla="val 35000"/>
            </a:avLst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5</xdr:col>
      <xdr:colOff>352425</xdr:colOff>
      <xdr:row>3</xdr:row>
      <xdr:rowOff>95250</xdr:rowOff>
    </xdr:from>
    <xdr:to>
      <xdr:col>7</xdr:col>
      <xdr:colOff>723900</xdr:colOff>
      <xdr:row>4</xdr:row>
      <xdr:rowOff>238125</xdr:rowOff>
    </xdr:to>
    <xdr:sp macro="" textlink="">
      <xdr:nvSpPr>
        <xdr:cNvPr id="5" name="Rectá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6067425" y="6667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IR A DATOS</a:t>
          </a:r>
        </a:p>
      </xdr:txBody>
    </xdr:sp>
    <xdr:clientData/>
  </xdr:twoCellAnchor>
  <xdr:twoCellAnchor>
    <xdr:from>
      <xdr:col>5</xdr:col>
      <xdr:colOff>352425</xdr:colOff>
      <xdr:row>8</xdr:row>
      <xdr:rowOff>19050</xdr:rowOff>
    </xdr:from>
    <xdr:to>
      <xdr:col>7</xdr:col>
      <xdr:colOff>723900</xdr:colOff>
      <xdr:row>9</xdr:row>
      <xdr:rowOff>95250</xdr:rowOff>
    </xdr:to>
    <xdr:sp macro="" textlink="">
      <xdr:nvSpPr>
        <xdr:cNvPr id="6" name="Rectá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6067425" y="18097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FLUJOS NETOS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EFECTIVO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352425</xdr:colOff>
      <xdr:row>5</xdr:row>
      <xdr:rowOff>28575</xdr:rowOff>
    </xdr:from>
    <xdr:to>
      <xdr:col>7</xdr:col>
      <xdr:colOff>723900</xdr:colOff>
      <xdr:row>6</xdr:row>
      <xdr:rowOff>104775</xdr:rowOff>
    </xdr:to>
    <xdr:sp macro="" textlink="">
      <xdr:nvSpPr>
        <xdr:cNvPr id="7" name="Rectá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6067425" y="10477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PRONÓSTICO DE VENTAS</a:t>
          </a:r>
        </a:p>
      </xdr:txBody>
    </xdr:sp>
    <xdr:clientData/>
  </xdr:twoCellAnchor>
  <xdr:twoCellAnchor>
    <xdr:from>
      <xdr:col>5</xdr:col>
      <xdr:colOff>352425</xdr:colOff>
      <xdr:row>6</xdr:row>
      <xdr:rowOff>152400</xdr:rowOff>
    </xdr:from>
    <xdr:to>
      <xdr:col>7</xdr:col>
      <xdr:colOff>723900</xdr:colOff>
      <xdr:row>7</xdr:row>
      <xdr:rowOff>228600</xdr:rowOff>
    </xdr:to>
    <xdr:sp macro="" textlink="">
      <xdr:nvSpPr>
        <xdr:cNvPr id="8" name="Rectá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6067425" y="14287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ESTADO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RESULTADOS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361950</xdr:colOff>
      <xdr:row>9</xdr:row>
      <xdr:rowOff>142875</xdr:rowOff>
    </xdr:from>
    <xdr:to>
      <xdr:col>7</xdr:col>
      <xdr:colOff>733425</xdr:colOff>
      <xdr:row>10</xdr:row>
      <xdr:rowOff>219075</xdr:rowOff>
    </xdr:to>
    <xdr:sp macro="" textlink="">
      <xdr:nvSpPr>
        <xdr:cNvPr id="9" name="Rectá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6076950" y="21907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VPN</a:t>
          </a:r>
        </a:p>
      </xdr:txBody>
    </xdr:sp>
    <xdr:clientData/>
  </xdr:twoCellAnchor>
  <xdr:twoCellAnchor>
    <xdr:from>
      <xdr:col>5</xdr:col>
      <xdr:colOff>361950</xdr:colOff>
      <xdr:row>11</xdr:row>
      <xdr:rowOff>9525</xdr:rowOff>
    </xdr:from>
    <xdr:to>
      <xdr:col>7</xdr:col>
      <xdr:colOff>733425</xdr:colOff>
      <xdr:row>12</xdr:row>
      <xdr:rowOff>85725</xdr:rowOff>
    </xdr:to>
    <xdr:sp macro="" textlink="">
      <xdr:nvSpPr>
        <xdr:cNvPr id="10" name="Rectá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6076950" y="25717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TIR</a:t>
          </a:r>
        </a:p>
      </xdr:txBody>
    </xdr:sp>
    <xdr:clientData/>
  </xdr:twoCellAnchor>
  <xdr:twoCellAnchor>
    <xdr:from>
      <xdr:col>5</xdr:col>
      <xdr:colOff>371475</xdr:colOff>
      <xdr:row>12</xdr:row>
      <xdr:rowOff>133350</xdr:rowOff>
    </xdr:from>
    <xdr:to>
      <xdr:col>7</xdr:col>
      <xdr:colOff>742950</xdr:colOff>
      <xdr:row>14</xdr:row>
      <xdr:rowOff>76200</xdr:rowOff>
    </xdr:to>
    <xdr:sp macro="" textlink="">
      <xdr:nvSpPr>
        <xdr:cNvPr id="11" name="Rectá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6086475" y="2952750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RENDIMIENTO ANUAL PROMEDIO</a:t>
          </a:r>
        </a:p>
      </xdr:txBody>
    </xdr:sp>
    <xdr:clientData/>
  </xdr:twoCellAnchor>
  <xdr:twoCellAnchor>
    <xdr:from>
      <xdr:col>5</xdr:col>
      <xdr:colOff>371475</xdr:colOff>
      <xdr:row>17</xdr:row>
      <xdr:rowOff>114300</xdr:rowOff>
    </xdr:from>
    <xdr:to>
      <xdr:col>7</xdr:col>
      <xdr:colOff>742950</xdr:colOff>
      <xdr:row>20</xdr:row>
      <xdr:rowOff>0</xdr:rowOff>
    </xdr:to>
    <xdr:sp macro="" textlink="">
      <xdr:nvSpPr>
        <xdr:cNvPr id="12" name="Rectá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6086475" y="4219575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 DESCONTADO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371475</xdr:colOff>
      <xdr:row>14</xdr:row>
      <xdr:rowOff>114300</xdr:rowOff>
    </xdr:from>
    <xdr:to>
      <xdr:col>7</xdr:col>
      <xdr:colOff>742950</xdr:colOff>
      <xdr:row>15</xdr:row>
      <xdr:rowOff>190500</xdr:rowOff>
    </xdr:to>
    <xdr:sp macro="" textlink="">
      <xdr:nvSpPr>
        <xdr:cNvPr id="13" name="Rectángul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6086475" y="34480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INDICE DE RENTABILIDAD</a:t>
          </a:r>
        </a:p>
      </xdr:txBody>
    </xdr:sp>
    <xdr:clientData/>
  </xdr:twoCellAnchor>
  <xdr:twoCellAnchor>
    <xdr:from>
      <xdr:col>5</xdr:col>
      <xdr:colOff>361950</xdr:colOff>
      <xdr:row>15</xdr:row>
      <xdr:rowOff>238125</xdr:rowOff>
    </xdr:from>
    <xdr:to>
      <xdr:col>7</xdr:col>
      <xdr:colOff>733425</xdr:colOff>
      <xdr:row>17</xdr:row>
      <xdr:rowOff>57150</xdr:rowOff>
    </xdr:to>
    <xdr:sp macro="" textlink="">
      <xdr:nvSpPr>
        <xdr:cNvPr id="14" name="Rectángul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6076950" y="38290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352425</xdr:colOff>
      <xdr:row>15</xdr:row>
      <xdr:rowOff>85726</xdr:rowOff>
    </xdr:from>
    <xdr:to>
      <xdr:col>4</xdr:col>
      <xdr:colOff>1504950</xdr:colOff>
      <xdr:row>16</xdr:row>
      <xdr:rowOff>209551</xdr:rowOff>
    </xdr:to>
    <xdr:sp macro="" textlink="">
      <xdr:nvSpPr>
        <xdr:cNvPr id="15" name="Rectángulo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3876675" y="3676651"/>
          <a:ext cx="11525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0" cap="none" spc="0">
              <a:ln w="0">
                <a:solidFill>
                  <a:schemeClr val="accent5">
                    <a:lumMod val="75000"/>
                  </a:schemeClr>
                </a:solidFill>
              </a:ln>
              <a:solidFill>
                <a:schemeClr val="accent5">
                  <a:lumMod val="75000"/>
                </a:schemeClr>
              </a:solidFill>
              <a:effectLst/>
            </a:rPr>
            <a:t>RESÚMEN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9</xdr:row>
      <xdr:rowOff>76200</xdr:rowOff>
    </xdr:from>
    <xdr:to>
      <xdr:col>5</xdr:col>
      <xdr:colOff>509058</xdr:colOff>
      <xdr:row>11</xdr:row>
      <xdr:rowOff>249767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4591050" y="2124075"/>
          <a:ext cx="709083" cy="687917"/>
          <a:chOff x="10657417" y="4296833"/>
          <a:chExt cx="709083" cy="687917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/>
        </xdr:nvSpPr>
        <xdr:spPr>
          <a:xfrm>
            <a:off x="10657417" y="4296833"/>
            <a:ext cx="709083" cy="68791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" name="Flecha izquierda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/>
        </xdr:nvSpPr>
        <xdr:spPr>
          <a:xfrm>
            <a:off x="10773833" y="4413249"/>
            <a:ext cx="486833" cy="423333"/>
          </a:xfrm>
          <a:prstGeom prst="leftArrow">
            <a:avLst>
              <a:gd name="adj1" fmla="val 30000"/>
              <a:gd name="adj2" fmla="val 35000"/>
            </a:avLst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5</xdr:col>
      <xdr:colOff>1828800</xdr:colOff>
      <xdr:row>3</xdr:row>
      <xdr:rowOff>123825</xdr:rowOff>
    </xdr:from>
    <xdr:to>
      <xdr:col>7</xdr:col>
      <xdr:colOff>57150</xdr:colOff>
      <xdr:row>5</xdr:row>
      <xdr:rowOff>9525</xdr:rowOff>
    </xdr:to>
    <xdr:sp macro="" textlink="">
      <xdr:nvSpPr>
        <xdr:cNvPr id="5" name="Rectá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6619875" y="6953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IR A DATOS</a:t>
          </a:r>
        </a:p>
      </xdr:txBody>
    </xdr:sp>
    <xdr:clientData/>
  </xdr:twoCellAnchor>
  <xdr:twoCellAnchor>
    <xdr:from>
      <xdr:col>5</xdr:col>
      <xdr:colOff>1828800</xdr:colOff>
      <xdr:row>8</xdr:row>
      <xdr:rowOff>47625</xdr:rowOff>
    </xdr:from>
    <xdr:to>
      <xdr:col>7</xdr:col>
      <xdr:colOff>57150</xdr:colOff>
      <xdr:row>9</xdr:row>
      <xdr:rowOff>123825</xdr:rowOff>
    </xdr:to>
    <xdr:sp macro="" textlink="">
      <xdr:nvSpPr>
        <xdr:cNvPr id="6" name="Rectá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6619875" y="18383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FLUJOS NETOS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EFECTIVO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1828800</xdr:colOff>
      <xdr:row>5</xdr:row>
      <xdr:rowOff>57150</xdr:rowOff>
    </xdr:from>
    <xdr:to>
      <xdr:col>7</xdr:col>
      <xdr:colOff>57150</xdr:colOff>
      <xdr:row>6</xdr:row>
      <xdr:rowOff>133350</xdr:rowOff>
    </xdr:to>
    <xdr:sp macro="" textlink="">
      <xdr:nvSpPr>
        <xdr:cNvPr id="7" name="Rectá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6619875" y="10763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PRONÓSTICO DE VENTAS</a:t>
          </a:r>
        </a:p>
      </xdr:txBody>
    </xdr:sp>
    <xdr:clientData/>
  </xdr:twoCellAnchor>
  <xdr:twoCellAnchor>
    <xdr:from>
      <xdr:col>5</xdr:col>
      <xdr:colOff>1828800</xdr:colOff>
      <xdr:row>6</xdr:row>
      <xdr:rowOff>180975</xdr:rowOff>
    </xdr:from>
    <xdr:to>
      <xdr:col>7</xdr:col>
      <xdr:colOff>57150</xdr:colOff>
      <xdr:row>8</xdr:row>
      <xdr:rowOff>0</xdr:rowOff>
    </xdr:to>
    <xdr:sp macro="" textlink="">
      <xdr:nvSpPr>
        <xdr:cNvPr id="8" name="Rectá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6619875" y="14573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ESTADO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RESULTADOS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1838325</xdr:colOff>
      <xdr:row>9</xdr:row>
      <xdr:rowOff>171450</xdr:rowOff>
    </xdr:from>
    <xdr:to>
      <xdr:col>7</xdr:col>
      <xdr:colOff>66675</xdr:colOff>
      <xdr:row>10</xdr:row>
      <xdr:rowOff>247650</xdr:rowOff>
    </xdr:to>
    <xdr:sp macro="" textlink="">
      <xdr:nvSpPr>
        <xdr:cNvPr id="9" name="Rectá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6629400" y="22193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VPN</a:t>
          </a:r>
        </a:p>
      </xdr:txBody>
    </xdr:sp>
    <xdr:clientData/>
  </xdr:twoCellAnchor>
  <xdr:twoCellAnchor>
    <xdr:from>
      <xdr:col>5</xdr:col>
      <xdr:colOff>1838325</xdr:colOff>
      <xdr:row>11</xdr:row>
      <xdr:rowOff>38100</xdr:rowOff>
    </xdr:from>
    <xdr:to>
      <xdr:col>7</xdr:col>
      <xdr:colOff>66675</xdr:colOff>
      <xdr:row>12</xdr:row>
      <xdr:rowOff>114300</xdr:rowOff>
    </xdr:to>
    <xdr:sp macro="" textlink="">
      <xdr:nvSpPr>
        <xdr:cNvPr id="10" name="Rectá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6629400" y="26003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TIR</a:t>
          </a:r>
        </a:p>
      </xdr:txBody>
    </xdr:sp>
    <xdr:clientData/>
  </xdr:twoCellAnchor>
  <xdr:twoCellAnchor>
    <xdr:from>
      <xdr:col>5</xdr:col>
      <xdr:colOff>1847850</xdr:colOff>
      <xdr:row>12</xdr:row>
      <xdr:rowOff>161925</xdr:rowOff>
    </xdr:from>
    <xdr:to>
      <xdr:col>7</xdr:col>
      <xdr:colOff>76200</xdr:colOff>
      <xdr:row>14</xdr:row>
      <xdr:rowOff>104775</xdr:rowOff>
    </xdr:to>
    <xdr:sp macro="" textlink="">
      <xdr:nvSpPr>
        <xdr:cNvPr id="11" name="Rectá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6638925" y="2981325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RENDIMIENTO ANUAL PROMEDIO</a:t>
          </a:r>
        </a:p>
      </xdr:txBody>
    </xdr:sp>
    <xdr:clientData/>
  </xdr:twoCellAnchor>
  <xdr:twoCellAnchor>
    <xdr:from>
      <xdr:col>5</xdr:col>
      <xdr:colOff>1847850</xdr:colOff>
      <xdr:row>17</xdr:row>
      <xdr:rowOff>142875</xdr:rowOff>
    </xdr:from>
    <xdr:to>
      <xdr:col>7</xdr:col>
      <xdr:colOff>76200</xdr:colOff>
      <xdr:row>20</xdr:row>
      <xdr:rowOff>28575</xdr:rowOff>
    </xdr:to>
    <xdr:sp macro="" textlink="">
      <xdr:nvSpPr>
        <xdr:cNvPr id="12" name="Rectá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6638925" y="4248150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 DESCONTADO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1847850</xdr:colOff>
      <xdr:row>14</xdr:row>
      <xdr:rowOff>142875</xdr:rowOff>
    </xdr:from>
    <xdr:to>
      <xdr:col>7</xdr:col>
      <xdr:colOff>76200</xdr:colOff>
      <xdr:row>15</xdr:row>
      <xdr:rowOff>219075</xdr:rowOff>
    </xdr:to>
    <xdr:sp macro="" textlink="">
      <xdr:nvSpPr>
        <xdr:cNvPr id="13" name="Rectángul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6638925" y="34766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INDICE DE RENTABILIDAD</a:t>
          </a:r>
        </a:p>
      </xdr:txBody>
    </xdr:sp>
    <xdr:clientData/>
  </xdr:twoCellAnchor>
  <xdr:twoCellAnchor>
    <xdr:from>
      <xdr:col>5</xdr:col>
      <xdr:colOff>1838325</xdr:colOff>
      <xdr:row>16</xdr:row>
      <xdr:rowOff>9525</xdr:rowOff>
    </xdr:from>
    <xdr:to>
      <xdr:col>7</xdr:col>
      <xdr:colOff>66675</xdr:colOff>
      <xdr:row>17</xdr:row>
      <xdr:rowOff>85725</xdr:rowOff>
    </xdr:to>
    <xdr:sp macro="" textlink="">
      <xdr:nvSpPr>
        <xdr:cNvPr id="14" name="Rectángul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6629400" y="38576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428625</xdr:colOff>
      <xdr:row>15</xdr:row>
      <xdr:rowOff>114301</xdr:rowOff>
    </xdr:from>
    <xdr:to>
      <xdr:col>5</xdr:col>
      <xdr:colOff>790575</xdr:colOff>
      <xdr:row>16</xdr:row>
      <xdr:rowOff>238126</xdr:rowOff>
    </xdr:to>
    <xdr:sp macro="" textlink="">
      <xdr:nvSpPr>
        <xdr:cNvPr id="15" name="Rectángulo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4429125" y="3705226"/>
          <a:ext cx="11525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0" cap="none" spc="0">
              <a:ln w="0">
                <a:solidFill>
                  <a:schemeClr val="accent5">
                    <a:lumMod val="75000"/>
                  </a:schemeClr>
                </a:solidFill>
              </a:ln>
              <a:solidFill>
                <a:schemeClr val="accent5">
                  <a:lumMod val="75000"/>
                </a:schemeClr>
              </a:solidFill>
              <a:effectLst/>
            </a:rPr>
            <a:t>RESÚMEN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11</xdr:row>
      <xdr:rowOff>295275</xdr:rowOff>
    </xdr:from>
    <xdr:to>
      <xdr:col>15</xdr:col>
      <xdr:colOff>80433</xdr:colOff>
      <xdr:row>15</xdr:row>
      <xdr:rowOff>87842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9601200" y="3324225"/>
          <a:ext cx="709083" cy="687917"/>
          <a:chOff x="10657417" y="4296833"/>
          <a:chExt cx="709083" cy="687917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/>
        </xdr:nvSpPr>
        <xdr:spPr>
          <a:xfrm>
            <a:off x="10657417" y="4296833"/>
            <a:ext cx="709083" cy="68791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" name="Flecha izquierda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/>
        </xdr:nvSpPr>
        <xdr:spPr>
          <a:xfrm>
            <a:off x="10773833" y="4413249"/>
            <a:ext cx="486833" cy="423333"/>
          </a:xfrm>
          <a:prstGeom prst="leftArrow">
            <a:avLst>
              <a:gd name="adj1" fmla="val 30000"/>
              <a:gd name="adj2" fmla="val 35000"/>
            </a:avLst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1068917</xdr:colOff>
      <xdr:row>21</xdr:row>
      <xdr:rowOff>116416</xdr:rowOff>
    </xdr:from>
    <xdr:to>
      <xdr:col>7</xdr:col>
      <xdr:colOff>179917</xdr:colOff>
      <xdr:row>25</xdr:row>
      <xdr:rowOff>10583</xdr:rowOff>
    </xdr:to>
    <xdr:grpSp>
      <xdr:nvGrpSpPr>
        <xdr:cNvPr id="4" name="Grup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657417" y="4296833"/>
          <a:ext cx="709083" cy="687917"/>
          <a:chOff x="10657417" y="4296833"/>
          <a:chExt cx="709083" cy="687917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10657417" y="4296833"/>
            <a:ext cx="709083" cy="68791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2" name="Flecha izquierda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10773833" y="4413249"/>
            <a:ext cx="486833" cy="423333"/>
          </a:xfrm>
          <a:prstGeom prst="leftArrow">
            <a:avLst>
              <a:gd name="adj1" fmla="val 30000"/>
              <a:gd name="adj2" fmla="val 35000"/>
            </a:avLst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3</xdr:col>
      <xdr:colOff>518583</xdr:colOff>
      <xdr:row>25</xdr:row>
      <xdr:rowOff>127000</xdr:rowOff>
    </xdr:from>
    <xdr:to>
      <xdr:col>4</xdr:col>
      <xdr:colOff>487891</xdr:colOff>
      <xdr:row>27</xdr:row>
      <xdr:rowOff>79375</xdr:rowOff>
    </xdr:to>
    <xdr:sp macro="" textlink="">
      <xdr:nvSpPr>
        <xdr:cNvPr id="5" name="Rectá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201833" y="5101167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FLUJOS NETOS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EFECTIVO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1280583</xdr:colOff>
      <xdr:row>25</xdr:row>
      <xdr:rowOff>137583</xdr:rowOff>
    </xdr:from>
    <xdr:to>
      <xdr:col>1</xdr:col>
      <xdr:colOff>3176058</xdr:colOff>
      <xdr:row>27</xdr:row>
      <xdr:rowOff>89958</xdr:rowOff>
    </xdr:to>
    <xdr:sp macro="" textlink="">
      <xdr:nvSpPr>
        <xdr:cNvPr id="6" name="Rectá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190750" y="51117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PRONÓSTICO DE VENTAS</a:t>
          </a:r>
        </a:p>
      </xdr:txBody>
    </xdr:sp>
    <xdr:clientData/>
  </xdr:twoCellAnchor>
  <xdr:twoCellAnchor>
    <xdr:from>
      <xdr:col>1</xdr:col>
      <xdr:colOff>3291416</xdr:colOff>
      <xdr:row>25</xdr:row>
      <xdr:rowOff>137583</xdr:rowOff>
    </xdr:from>
    <xdr:to>
      <xdr:col>3</xdr:col>
      <xdr:colOff>413808</xdr:colOff>
      <xdr:row>27</xdr:row>
      <xdr:rowOff>89958</xdr:rowOff>
    </xdr:to>
    <xdr:sp macro="" textlink="">
      <xdr:nvSpPr>
        <xdr:cNvPr id="7" name="Rectá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201583" y="51117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ESTADO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RESULTADOS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591608</xdr:colOff>
      <xdr:row>25</xdr:row>
      <xdr:rowOff>116417</xdr:rowOff>
    </xdr:from>
    <xdr:to>
      <xdr:col>6</xdr:col>
      <xdr:colOff>508000</xdr:colOff>
      <xdr:row>27</xdr:row>
      <xdr:rowOff>68792</xdr:rowOff>
    </xdr:to>
    <xdr:sp macro="" textlink="">
      <xdr:nvSpPr>
        <xdr:cNvPr id="8" name="Rectá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201025" y="5090584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VPN</a:t>
          </a:r>
        </a:p>
      </xdr:txBody>
    </xdr:sp>
    <xdr:clientData/>
  </xdr:twoCellAnchor>
  <xdr:twoCellAnchor>
    <xdr:from>
      <xdr:col>6</xdr:col>
      <xdr:colOff>612775</xdr:colOff>
      <xdr:row>25</xdr:row>
      <xdr:rowOff>116416</xdr:rowOff>
    </xdr:from>
    <xdr:to>
      <xdr:col>7</xdr:col>
      <xdr:colOff>910167</xdr:colOff>
      <xdr:row>27</xdr:row>
      <xdr:rowOff>68791</xdr:rowOff>
    </xdr:to>
    <xdr:sp macro="" textlink="">
      <xdr:nvSpPr>
        <xdr:cNvPr id="9" name="Rectá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201275" y="5090583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TIR</a:t>
          </a:r>
        </a:p>
      </xdr:txBody>
    </xdr:sp>
    <xdr:clientData/>
  </xdr:twoCellAnchor>
  <xdr:twoCellAnchor>
    <xdr:from>
      <xdr:col>1</xdr:col>
      <xdr:colOff>1267883</xdr:colOff>
      <xdr:row>27</xdr:row>
      <xdr:rowOff>169333</xdr:rowOff>
    </xdr:from>
    <xdr:to>
      <xdr:col>1</xdr:col>
      <xdr:colOff>3163358</xdr:colOff>
      <xdr:row>30</xdr:row>
      <xdr:rowOff>55033</xdr:rowOff>
    </xdr:to>
    <xdr:sp macro="" textlink="">
      <xdr:nvSpPr>
        <xdr:cNvPr id="10" name="Rectá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178050" y="5524500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RENDIMIENTO ANUAL PROMEDIO</a:t>
          </a:r>
        </a:p>
      </xdr:txBody>
    </xdr:sp>
    <xdr:clientData/>
  </xdr:twoCellAnchor>
  <xdr:twoCellAnchor>
    <xdr:from>
      <xdr:col>4</xdr:col>
      <xdr:colOff>611717</xdr:colOff>
      <xdr:row>27</xdr:row>
      <xdr:rowOff>155574</xdr:rowOff>
    </xdr:from>
    <xdr:to>
      <xdr:col>6</xdr:col>
      <xdr:colOff>528109</xdr:colOff>
      <xdr:row>30</xdr:row>
      <xdr:rowOff>41274</xdr:rowOff>
    </xdr:to>
    <xdr:sp macro="" textlink="">
      <xdr:nvSpPr>
        <xdr:cNvPr id="11" name="Rectá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221134" y="5510741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 DESCONTADO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3299883</xdr:colOff>
      <xdr:row>27</xdr:row>
      <xdr:rowOff>167216</xdr:rowOff>
    </xdr:from>
    <xdr:to>
      <xdr:col>3</xdr:col>
      <xdr:colOff>422275</xdr:colOff>
      <xdr:row>29</xdr:row>
      <xdr:rowOff>119591</xdr:rowOff>
    </xdr:to>
    <xdr:sp macro="" textlink="">
      <xdr:nvSpPr>
        <xdr:cNvPr id="12" name="Rectá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210050" y="5522383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INDICE DE RENTABILIDAD</a:t>
          </a:r>
        </a:p>
      </xdr:txBody>
    </xdr:sp>
    <xdr:clientData/>
  </xdr:twoCellAnchor>
  <xdr:twoCellAnchor>
    <xdr:from>
      <xdr:col>3</xdr:col>
      <xdr:colOff>538692</xdr:colOff>
      <xdr:row>27</xdr:row>
      <xdr:rowOff>167216</xdr:rowOff>
    </xdr:from>
    <xdr:to>
      <xdr:col>4</xdr:col>
      <xdr:colOff>508000</xdr:colOff>
      <xdr:row>29</xdr:row>
      <xdr:rowOff>119591</xdr:rowOff>
    </xdr:to>
    <xdr:sp macro="" textlink="">
      <xdr:nvSpPr>
        <xdr:cNvPr id="13" name="Rectángul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221942" y="5522383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762000</xdr:colOff>
      <xdr:row>27</xdr:row>
      <xdr:rowOff>162984</xdr:rowOff>
    </xdr:from>
    <xdr:to>
      <xdr:col>7</xdr:col>
      <xdr:colOff>316442</xdr:colOff>
      <xdr:row>29</xdr:row>
      <xdr:rowOff>162984</xdr:rowOff>
    </xdr:to>
    <xdr:sp macro="" textlink="">
      <xdr:nvSpPr>
        <xdr:cNvPr id="14" name="Rectángul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0350500" y="5518151"/>
          <a:ext cx="11525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0" cap="none" spc="0">
              <a:ln w="0">
                <a:solidFill>
                  <a:schemeClr val="accent5">
                    <a:lumMod val="75000"/>
                  </a:schemeClr>
                </a:solidFill>
              </a:ln>
              <a:solidFill>
                <a:schemeClr val="accent5">
                  <a:lumMod val="75000"/>
                </a:schemeClr>
              </a:solidFill>
              <a:effectLst/>
            </a:rPr>
            <a:t>RESÚMEN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752475</xdr:colOff>
      <xdr:row>12</xdr:row>
      <xdr:rowOff>161925</xdr:rowOff>
    </xdr:from>
    <xdr:to>
      <xdr:col>10</xdr:col>
      <xdr:colOff>699558</xdr:colOff>
      <xdr:row>14</xdr:row>
      <xdr:rowOff>202142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0020300" y="3524250"/>
          <a:ext cx="709083" cy="687917"/>
          <a:chOff x="10657417" y="4296833"/>
          <a:chExt cx="709083" cy="687917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0657417" y="4296833"/>
            <a:ext cx="709083" cy="68791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" name="Flecha izquierda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0773833" y="4413249"/>
            <a:ext cx="486833" cy="423333"/>
          </a:xfrm>
          <a:prstGeom prst="leftArrow">
            <a:avLst>
              <a:gd name="adj1" fmla="val 30000"/>
              <a:gd name="adj2" fmla="val 35000"/>
            </a:avLst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6</xdr:col>
      <xdr:colOff>556683</xdr:colOff>
      <xdr:row>16</xdr:row>
      <xdr:rowOff>10584</xdr:rowOff>
    </xdr:from>
    <xdr:to>
      <xdr:col>8</xdr:col>
      <xdr:colOff>480483</xdr:colOff>
      <xdr:row>17</xdr:row>
      <xdr:rowOff>153459</xdr:rowOff>
    </xdr:to>
    <xdr:sp macro="" textlink="">
      <xdr:nvSpPr>
        <xdr:cNvPr id="5" name="Rectá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471458" y="4534959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FLUJOS NETOS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EFECTIVO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185208</xdr:colOff>
      <xdr:row>16</xdr:row>
      <xdr:rowOff>21167</xdr:rowOff>
    </xdr:from>
    <xdr:to>
      <xdr:col>6</xdr:col>
      <xdr:colOff>451908</xdr:colOff>
      <xdr:row>17</xdr:row>
      <xdr:rowOff>164042</xdr:rowOff>
    </xdr:to>
    <xdr:sp macro="" textlink="">
      <xdr:nvSpPr>
        <xdr:cNvPr id="7" name="Rectá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71208" y="4545542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ESTADO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RESULTADOS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584200</xdr:colOff>
      <xdr:row>16</xdr:row>
      <xdr:rowOff>1</xdr:rowOff>
    </xdr:from>
    <xdr:to>
      <xdr:col>8</xdr:col>
      <xdr:colOff>2479675</xdr:colOff>
      <xdr:row>17</xdr:row>
      <xdr:rowOff>142876</xdr:rowOff>
    </xdr:to>
    <xdr:sp macro="" textlink="">
      <xdr:nvSpPr>
        <xdr:cNvPr id="8" name="Rectá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470650" y="4524376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VPN</a:t>
          </a:r>
        </a:p>
      </xdr:txBody>
    </xdr:sp>
    <xdr:clientData/>
  </xdr:twoCellAnchor>
  <xdr:twoCellAnchor>
    <xdr:from>
      <xdr:col>8</xdr:col>
      <xdr:colOff>2584450</xdr:colOff>
      <xdr:row>16</xdr:row>
      <xdr:rowOff>0</xdr:rowOff>
    </xdr:from>
    <xdr:to>
      <xdr:col>10</xdr:col>
      <xdr:colOff>679450</xdr:colOff>
      <xdr:row>17</xdr:row>
      <xdr:rowOff>142875</xdr:rowOff>
    </xdr:to>
    <xdr:sp macro="" textlink="">
      <xdr:nvSpPr>
        <xdr:cNvPr id="9" name="Rectá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470900" y="45243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TIR</a:t>
          </a:r>
        </a:p>
      </xdr:txBody>
    </xdr:sp>
    <xdr:clientData/>
  </xdr:twoCellAnchor>
  <xdr:twoCellAnchor>
    <xdr:from>
      <xdr:col>1</xdr:col>
      <xdr:colOff>0</xdr:colOff>
      <xdr:row>18</xdr:row>
      <xdr:rowOff>52917</xdr:rowOff>
    </xdr:from>
    <xdr:to>
      <xdr:col>4</xdr:col>
      <xdr:colOff>57150</xdr:colOff>
      <xdr:row>20</xdr:row>
      <xdr:rowOff>129117</xdr:rowOff>
    </xdr:to>
    <xdr:sp macro="" textlink="">
      <xdr:nvSpPr>
        <xdr:cNvPr id="10" name="Rectá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47675" y="4958292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RENDIMIENTO ANUAL PROMEDIO</a:t>
          </a:r>
        </a:p>
      </xdr:txBody>
    </xdr:sp>
    <xdr:clientData/>
  </xdr:twoCellAnchor>
  <xdr:twoCellAnchor>
    <xdr:from>
      <xdr:col>8</xdr:col>
      <xdr:colOff>604309</xdr:colOff>
      <xdr:row>18</xdr:row>
      <xdr:rowOff>39158</xdr:rowOff>
    </xdr:from>
    <xdr:to>
      <xdr:col>8</xdr:col>
      <xdr:colOff>2499784</xdr:colOff>
      <xdr:row>20</xdr:row>
      <xdr:rowOff>115358</xdr:rowOff>
    </xdr:to>
    <xdr:sp macro="" textlink="">
      <xdr:nvSpPr>
        <xdr:cNvPr id="11" name="Rectá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490759" y="4944533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 DESCONTADO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193675</xdr:colOff>
      <xdr:row>18</xdr:row>
      <xdr:rowOff>50800</xdr:rowOff>
    </xdr:from>
    <xdr:to>
      <xdr:col>6</xdr:col>
      <xdr:colOff>460375</xdr:colOff>
      <xdr:row>20</xdr:row>
      <xdr:rowOff>3175</xdr:rowOff>
    </xdr:to>
    <xdr:sp macro="" textlink="">
      <xdr:nvSpPr>
        <xdr:cNvPr id="12" name="Rectángul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479675" y="49561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INDICE DE RENTABILIDAD</a:t>
          </a:r>
        </a:p>
      </xdr:txBody>
    </xdr:sp>
    <xdr:clientData/>
  </xdr:twoCellAnchor>
  <xdr:twoCellAnchor>
    <xdr:from>
      <xdr:col>6</xdr:col>
      <xdr:colOff>576792</xdr:colOff>
      <xdr:row>18</xdr:row>
      <xdr:rowOff>50800</xdr:rowOff>
    </xdr:from>
    <xdr:to>
      <xdr:col>8</xdr:col>
      <xdr:colOff>500592</xdr:colOff>
      <xdr:row>20</xdr:row>
      <xdr:rowOff>3175</xdr:rowOff>
    </xdr:to>
    <xdr:sp macro="" textlink="">
      <xdr:nvSpPr>
        <xdr:cNvPr id="13" name="Rectángulo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491567" y="49561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2733675</xdr:colOff>
      <xdr:row>18</xdr:row>
      <xdr:rowOff>46568</xdr:rowOff>
    </xdr:from>
    <xdr:to>
      <xdr:col>10</xdr:col>
      <xdr:colOff>85725</xdr:colOff>
      <xdr:row>20</xdr:row>
      <xdr:rowOff>46568</xdr:rowOff>
    </xdr:to>
    <xdr:sp macro="" textlink="">
      <xdr:nvSpPr>
        <xdr:cNvPr id="14" name="Rectángulo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8620125" y="4951943"/>
          <a:ext cx="11525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0" cap="none" spc="0">
              <a:ln w="0">
                <a:solidFill>
                  <a:schemeClr val="accent5">
                    <a:lumMod val="75000"/>
                  </a:schemeClr>
                </a:solidFill>
              </a:ln>
              <a:solidFill>
                <a:schemeClr val="accent5">
                  <a:lumMod val="75000"/>
                </a:schemeClr>
              </a:solidFill>
              <a:effectLst/>
            </a:rPr>
            <a:t>RESÚMEN</a:t>
          </a:r>
        </a:p>
      </xdr:txBody>
    </xdr:sp>
    <xdr:clientData/>
  </xdr:twoCellAnchor>
  <xdr:twoCellAnchor>
    <xdr:from>
      <xdr:col>1</xdr:col>
      <xdr:colOff>0</xdr:colOff>
      <xdr:row>15</xdr:row>
      <xdr:rowOff>171450</xdr:rowOff>
    </xdr:from>
    <xdr:to>
      <xdr:col>4</xdr:col>
      <xdr:colOff>57150</xdr:colOff>
      <xdr:row>17</xdr:row>
      <xdr:rowOff>123825</xdr:rowOff>
    </xdr:to>
    <xdr:sp macro="" textlink="">
      <xdr:nvSpPr>
        <xdr:cNvPr id="15" name="Rectángulo 1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447675" y="45053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PRONÓSTICO DE VENTAS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17</xdr:row>
      <xdr:rowOff>38100</xdr:rowOff>
    </xdr:from>
    <xdr:to>
      <xdr:col>12</xdr:col>
      <xdr:colOff>728133</xdr:colOff>
      <xdr:row>20</xdr:row>
      <xdr:rowOff>154517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1487150" y="3381375"/>
          <a:ext cx="709083" cy="687917"/>
          <a:chOff x="10657417" y="4296833"/>
          <a:chExt cx="709083" cy="687917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10657417" y="4296833"/>
            <a:ext cx="709083" cy="68791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" name="Flecha izquierda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10773833" y="4413249"/>
            <a:ext cx="486833" cy="423333"/>
          </a:xfrm>
          <a:prstGeom prst="leftArrow">
            <a:avLst>
              <a:gd name="adj1" fmla="val 30000"/>
              <a:gd name="adj2" fmla="val 35000"/>
            </a:avLst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5</xdr:col>
      <xdr:colOff>61383</xdr:colOff>
      <xdr:row>17</xdr:row>
      <xdr:rowOff>10584</xdr:rowOff>
    </xdr:from>
    <xdr:to>
      <xdr:col>6</xdr:col>
      <xdr:colOff>937683</xdr:colOff>
      <xdr:row>18</xdr:row>
      <xdr:rowOff>153459</xdr:rowOff>
    </xdr:to>
    <xdr:sp macro="" textlink="">
      <xdr:nvSpPr>
        <xdr:cNvPr id="5" name="Rectá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395258" y="3353859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FLUJOS NETOS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EFECTIVO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12700</xdr:colOff>
      <xdr:row>17</xdr:row>
      <xdr:rowOff>21167</xdr:rowOff>
    </xdr:from>
    <xdr:to>
      <xdr:col>2</xdr:col>
      <xdr:colOff>1908175</xdr:colOff>
      <xdr:row>18</xdr:row>
      <xdr:rowOff>164042</xdr:rowOff>
    </xdr:to>
    <xdr:sp macro="" textlink="">
      <xdr:nvSpPr>
        <xdr:cNvPr id="6" name="Rectá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84175" y="3364442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PRONÓSTICO DE VENTAS</a:t>
          </a:r>
        </a:p>
      </xdr:txBody>
    </xdr:sp>
    <xdr:clientData/>
  </xdr:twoCellAnchor>
  <xdr:twoCellAnchor>
    <xdr:from>
      <xdr:col>3</xdr:col>
      <xdr:colOff>99483</xdr:colOff>
      <xdr:row>17</xdr:row>
      <xdr:rowOff>21167</xdr:rowOff>
    </xdr:from>
    <xdr:to>
      <xdr:col>4</xdr:col>
      <xdr:colOff>975783</xdr:colOff>
      <xdr:row>18</xdr:row>
      <xdr:rowOff>164042</xdr:rowOff>
    </xdr:to>
    <xdr:sp macro="" textlink="">
      <xdr:nvSpPr>
        <xdr:cNvPr id="7" name="Rectá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395008" y="3364442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ESTADO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RESULTADOS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22225</xdr:colOff>
      <xdr:row>17</xdr:row>
      <xdr:rowOff>1</xdr:rowOff>
    </xdr:from>
    <xdr:to>
      <xdr:col>8</xdr:col>
      <xdr:colOff>898525</xdr:colOff>
      <xdr:row>18</xdr:row>
      <xdr:rowOff>142876</xdr:rowOff>
    </xdr:to>
    <xdr:sp macro="" textlink="">
      <xdr:nvSpPr>
        <xdr:cNvPr id="8" name="Rectá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394450" y="3343276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VPN</a:t>
          </a:r>
        </a:p>
      </xdr:txBody>
    </xdr:sp>
    <xdr:clientData/>
  </xdr:twoCellAnchor>
  <xdr:twoCellAnchor>
    <xdr:from>
      <xdr:col>8</xdr:col>
      <xdr:colOff>1003300</xdr:colOff>
      <xdr:row>17</xdr:row>
      <xdr:rowOff>0</xdr:rowOff>
    </xdr:from>
    <xdr:to>
      <xdr:col>10</xdr:col>
      <xdr:colOff>860425</xdr:colOff>
      <xdr:row>18</xdr:row>
      <xdr:rowOff>142875</xdr:rowOff>
    </xdr:to>
    <xdr:sp macro="" textlink="">
      <xdr:nvSpPr>
        <xdr:cNvPr id="9" name="Rectá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8394700" y="33432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TIR</a:t>
          </a:r>
        </a:p>
      </xdr:txBody>
    </xdr:sp>
    <xdr:clientData/>
  </xdr:twoCellAnchor>
  <xdr:twoCellAnchor>
    <xdr:from>
      <xdr:col>2</xdr:col>
      <xdr:colOff>0</xdr:colOff>
      <xdr:row>19</xdr:row>
      <xdr:rowOff>52917</xdr:rowOff>
    </xdr:from>
    <xdr:to>
      <xdr:col>2</xdr:col>
      <xdr:colOff>1895475</xdr:colOff>
      <xdr:row>21</xdr:row>
      <xdr:rowOff>129117</xdr:rowOff>
    </xdr:to>
    <xdr:sp macro="" textlink="">
      <xdr:nvSpPr>
        <xdr:cNvPr id="10" name="Rectá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71475" y="3777192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RENDIMIENTO ANUAL PROMEDIO</a:t>
          </a:r>
        </a:p>
      </xdr:txBody>
    </xdr:sp>
    <xdr:clientData/>
  </xdr:twoCellAnchor>
  <xdr:twoCellAnchor>
    <xdr:from>
      <xdr:col>7</xdr:col>
      <xdr:colOff>42334</xdr:colOff>
      <xdr:row>19</xdr:row>
      <xdr:rowOff>39158</xdr:rowOff>
    </xdr:from>
    <xdr:to>
      <xdr:col>8</xdr:col>
      <xdr:colOff>918634</xdr:colOff>
      <xdr:row>21</xdr:row>
      <xdr:rowOff>115358</xdr:rowOff>
    </xdr:to>
    <xdr:sp macro="" textlink="">
      <xdr:nvSpPr>
        <xdr:cNvPr id="11" name="Rectá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6414559" y="3763433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 DESCONTADO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107950</xdr:colOff>
      <xdr:row>19</xdr:row>
      <xdr:rowOff>50800</xdr:rowOff>
    </xdr:from>
    <xdr:to>
      <xdr:col>4</xdr:col>
      <xdr:colOff>984250</xdr:colOff>
      <xdr:row>21</xdr:row>
      <xdr:rowOff>3175</xdr:rowOff>
    </xdr:to>
    <xdr:sp macro="" textlink="">
      <xdr:nvSpPr>
        <xdr:cNvPr id="12" name="Rectá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03475" y="37750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INDICE DE RENTABILIDAD</a:t>
          </a:r>
        </a:p>
      </xdr:txBody>
    </xdr:sp>
    <xdr:clientData/>
  </xdr:twoCellAnchor>
  <xdr:twoCellAnchor>
    <xdr:from>
      <xdr:col>5</xdr:col>
      <xdr:colOff>81492</xdr:colOff>
      <xdr:row>19</xdr:row>
      <xdr:rowOff>50800</xdr:rowOff>
    </xdr:from>
    <xdr:to>
      <xdr:col>6</xdr:col>
      <xdr:colOff>957792</xdr:colOff>
      <xdr:row>21</xdr:row>
      <xdr:rowOff>3175</xdr:rowOff>
    </xdr:to>
    <xdr:sp macro="" textlink="">
      <xdr:nvSpPr>
        <xdr:cNvPr id="13" name="Rectángul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4415367" y="377507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133350</xdr:colOff>
      <xdr:row>19</xdr:row>
      <xdr:rowOff>46568</xdr:rowOff>
    </xdr:from>
    <xdr:to>
      <xdr:col>10</xdr:col>
      <xdr:colOff>266700</xdr:colOff>
      <xdr:row>21</xdr:row>
      <xdr:rowOff>46568</xdr:rowOff>
    </xdr:to>
    <xdr:sp macro="" textlink="">
      <xdr:nvSpPr>
        <xdr:cNvPr id="14" name="Rectángul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543925" y="3770843"/>
          <a:ext cx="11525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0" cap="none" spc="0">
              <a:ln w="0">
                <a:solidFill>
                  <a:schemeClr val="accent5">
                    <a:lumMod val="75000"/>
                  </a:schemeClr>
                </a:solidFill>
              </a:ln>
              <a:solidFill>
                <a:schemeClr val="accent5">
                  <a:lumMod val="75000"/>
                </a:schemeClr>
              </a:solidFill>
              <a:effectLst/>
            </a:rPr>
            <a:t>RESÚMEN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11</xdr:row>
      <xdr:rowOff>247650</xdr:rowOff>
    </xdr:from>
    <xdr:to>
      <xdr:col>8</xdr:col>
      <xdr:colOff>80433</xdr:colOff>
      <xdr:row>14</xdr:row>
      <xdr:rowOff>49742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8324850" y="3381375"/>
          <a:ext cx="709083" cy="687917"/>
          <a:chOff x="10657417" y="4296833"/>
          <a:chExt cx="709083" cy="687917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10657417" y="4296833"/>
            <a:ext cx="709083" cy="68791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" name="Flecha izquierda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10773833" y="4413249"/>
            <a:ext cx="486833" cy="423333"/>
          </a:xfrm>
          <a:prstGeom prst="leftArrow">
            <a:avLst>
              <a:gd name="adj1" fmla="val 30000"/>
              <a:gd name="adj2" fmla="val 35000"/>
            </a:avLst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4</xdr:col>
      <xdr:colOff>1328208</xdr:colOff>
      <xdr:row>15</xdr:row>
      <xdr:rowOff>10584</xdr:rowOff>
    </xdr:from>
    <xdr:to>
      <xdr:col>6</xdr:col>
      <xdr:colOff>747183</xdr:colOff>
      <xdr:row>16</xdr:row>
      <xdr:rowOff>86784</xdr:rowOff>
    </xdr:to>
    <xdr:sp macro="" textlink="">
      <xdr:nvSpPr>
        <xdr:cNvPr id="5" name="Rectá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785783" y="4325409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FLUJOS NETOS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EFECTIVO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12700</xdr:colOff>
      <xdr:row>15</xdr:row>
      <xdr:rowOff>21167</xdr:rowOff>
    </xdr:from>
    <xdr:to>
      <xdr:col>2</xdr:col>
      <xdr:colOff>1365250</xdr:colOff>
      <xdr:row>16</xdr:row>
      <xdr:rowOff>97367</xdr:rowOff>
    </xdr:to>
    <xdr:sp macro="" textlink="">
      <xdr:nvSpPr>
        <xdr:cNvPr id="6" name="Rectá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774700" y="4335992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PRONÓSTICO DE VENTAS</a:t>
          </a:r>
        </a:p>
      </xdr:txBody>
    </xdr:sp>
    <xdr:clientData/>
  </xdr:twoCellAnchor>
  <xdr:twoCellAnchor>
    <xdr:from>
      <xdr:col>2</xdr:col>
      <xdr:colOff>1480608</xdr:colOff>
      <xdr:row>15</xdr:row>
      <xdr:rowOff>21167</xdr:rowOff>
    </xdr:from>
    <xdr:to>
      <xdr:col>4</xdr:col>
      <xdr:colOff>1223433</xdr:colOff>
      <xdr:row>16</xdr:row>
      <xdr:rowOff>97367</xdr:rowOff>
    </xdr:to>
    <xdr:sp macro="" textlink="">
      <xdr:nvSpPr>
        <xdr:cNvPr id="7" name="Rectá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2785533" y="4335992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ESTADO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RESULTADOS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850900</xdr:colOff>
      <xdr:row>15</xdr:row>
      <xdr:rowOff>1</xdr:rowOff>
    </xdr:from>
    <xdr:to>
      <xdr:col>7</xdr:col>
      <xdr:colOff>488950</xdr:colOff>
      <xdr:row>16</xdr:row>
      <xdr:rowOff>76201</xdr:rowOff>
    </xdr:to>
    <xdr:sp macro="" textlink="">
      <xdr:nvSpPr>
        <xdr:cNvPr id="8" name="Rectá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784975" y="4314826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VPN</a:t>
          </a:r>
        </a:p>
      </xdr:txBody>
    </xdr:sp>
    <xdr:clientData/>
  </xdr:twoCellAnchor>
  <xdr:twoCellAnchor>
    <xdr:from>
      <xdr:col>7</xdr:col>
      <xdr:colOff>593725</xdr:colOff>
      <xdr:row>15</xdr:row>
      <xdr:rowOff>0</xdr:rowOff>
    </xdr:from>
    <xdr:to>
      <xdr:col>10</xdr:col>
      <xdr:colOff>203200</xdr:colOff>
      <xdr:row>16</xdr:row>
      <xdr:rowOff>76200</xdr:rowOff>
    </xdr:to>
    <xdr:sp macro="" textlink="">
      <xdr:nvSpPr>
        <xdr:cNvPr id="9" name="Rectá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785225" y="43148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TIR</a:t>
          </a:r>
        </a:p>
      </xdr:txBody>
    </xdr:sp>
    <xdr:clientData/>
  </xdr:twoCellAnchor>
  <xdr:twoCellAnchor>
    <xdr:from>
      <xdr:col>1</xdr:col>
      <xdr:colOff>0</xdr:colOff>
      <xdr:row>16</xdr:row>
      <xdr:rowOff>176742</xdr:rowOff>
    </xdr:from>
    <xdr:to>
      <xdr:col>2</xdr:col>
      <xdr:colOff>1352550</xdr:colOff>
      <xdr:row>18</xdr:row>
      <xdr:rowOff>186267</xdr:rowOff>
    </xdr:to>
    <xdr:sp macro="" textlink="">
      <xdr:nvSpPr>
        <xdr:cNvPr id="10" name="Rectá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62000" y="4748742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RENDIMIENTO ANUAL PROMEDIO</a:t>
          </a:r>
        </a:p>
      </xdr:txBody>
    </xdr:sp>
    <xdr:clientData/>
  </xdr:twoCellAnchor>
  <xdr:twoCellAnchor>
    <xdr:from>
      <xdr:col>6</xdr:col>
      <xdr:colOff>871009</xdr:colOff>
      <xdr:row>16</xdr:row>
      <xdr:rowOff>162983</xdr:rowOff>
    </xdr:from>
    <xdr:to>
      <xdr:col>7</xdr:col>
      <xdr:colOff>509059</xdr:colOff>
      <xdr:row>18</xdr:row>
      <xdr:rowOff>172508</xdr:rowOff>
    </xdr:to>
    <xdr:sp macro="" textlink="">
      <xdr:nvSpPr>
        <xdr:cNvPr id="11" name="Rectá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6805084" y="4734983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 DESCONTADO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1489075</xdr:colOff>
      <xdr:row>16</xdr:row>
      <xdr:rowOff>174625</xdr:rowOff>
    </xdr:from>
    <xdr:to>
      <xdr:col>4</xdr:col>
      <xdr:colOff>1231900</xdr:colOff>
      <xdr:row>18</xdr:row>
      <xdr:rowOff>60325</xdr:rowOff>
    </xdr:to>
    <xdr:sp macro="" textlink="">
      <xdr:nvSpPr>
        <xdr:cNvPr id="12" name="Rectá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2794000" y="47466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INDICE DE RENTABILIDAD</a:t>
          </a:r>
        </a:p>
      </xdr:txBody>
    </xdr:sp>
    <xdr:clientData/>
  </xdr:twoCellAnchor>
  <xdr:twoCellAnchor>
    <xdr:from>
      <xdr:col>4</xdr:col>
      <xdr:colOff>1348317</xdr:colOff>
      <xdr:row>16</xdr:row>
      <xdr:rowOff>174625</xdr:rowOff>
    </xdr:from>
    <xdr:to>
      <xdr:col>6</xdr:col>
      <xdr:colOff>767292</xdr:colOff>
      <xdr:row>18</xdr:row>
      <xdr:rowOff>60325</xdr:rowOff>
    </xdr:to>
    <xdr:sp macro="" textlink="">
      <xdr:nvSpPr>
        <xdr:cNvPr id="13" name="Rectángul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4805892" y="47466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742950</xdr:colOff>
      <xdr:row>16</xdr:row>
      <xdr:rowOff>170393</xdr:rowOff>
    </xdr:from>
    <xdr:to>
      <xdr:col>9</xdr:col>
      <xdr:colOff>371475</xdr:colOff>
      <xdr:row>18</xdr:row>
      <xdr:rowOff>103718</xdr:rowOff>
    </xdr:to>
    <xdr:sp macro="" textlink="">
      <xdr:nvSpPr>
        <xdr:cNvPr id="14" name="Rectángul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934450" y="4742393"/>
          <a:ext cx="11525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0" cap="none" spc="0">
              <a:ln w="0">
                <a:solidFill>
                  <a:schemeClr val="accent5">
                    <a:lumMod val="75000"/>
                  </a:schemeClr>
                </a:solidFill>
              </a:ln>
              <a:solidFill>
                <a:schemeClr val="accent5">
                  <a:lumMod val="75000"/>
                </a:schemeClr>
              </a:solidFill>
              <a:effectLst/>
            </a:rPr>
            <a:t>RESÚMEN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12</xdr:row>
      <xdr:rowOff>66675</xdr:rowOff>
    </xdr:from>
    <xdr:to>
      <xdr:col>13</xdr:col>
      <xdr:colOff>61383</xdr:colOff>
      <xdr:row>14</xdr:row>
      <xdr:rowOff>240242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9096375" y="3152775"/>
          <a:ext cx="709083" cy="687917"/>
          <a:chOff x="10657417" y="4296833"/>
          <a:chExt cx="709083" cy="687917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0657417" y="4296833"/>
            <a:ext cx="709083" cy="68791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" name="Flecha izquierda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0773833" y="4413249"/>
            <a:ext cx="486833" cy="423333"/>
          </a:xfrm>
          <a:prstGeom prst="leftArrow">
            <a:avLst>
              <a:gd name="adj1" fmla="val 30000"/>
              <a:gd name="adj2" fmla="val 35000"/>
            </a:avLst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5</xdr:col>
      <xdr:colOff>670983</xdr:colOff>
      <xdr:row>16</xdr:row>
      <xdr:rowOff>10584</xdr:rowOff>
    </xdr:from>
    <xdr:to>
      <xdr:col>8</xdr:col>
      <xdr:colOff>223308</xdr:colOff>
      <xdr:row>17</xdr:row>
      <xdr:rowOff>86784</xdr:rowOff>
    </xdr:to>
    <xdr:sp macro="" textlink="">
      <xdr:nvSpPr>
        <xdr:cNvPr id="5" name="Rectá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814358" y="4125384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FLUJOS NETOS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EFECTIVO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12700</xdr:colOff>
      <xdr:row>16</xdr:row>
      <xdr:rowOff>21167</xdr:rowOff>
    </xdr:from>
    <xdr:to>
      <xdr:col>4</xdr:col>
      <xdr:colOff>127000</xdr:colOff>
      <xdr:row>17</xdr:row>
      <xdr:rowOff>97367</xdr:rowOff>
    </xdr:to>
    <xdr:sp macro="" textlink="">
      <xdr:nvSpPr>
        <xdr:cNvPr id="6" name="Rectá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803275" y="4135967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PRONÓSTICO DE VENTAS</a:t>
          </a:r>
        </a:p>
      </xdr:txBody>
    </xdr:sp>
    <xdr:clientData/>
  </xdr:twoCellAnchor>
  <xdr:twoCellAnchor>
    <xdr:from>
      <xdr:col>4</xdr:col>
      <xdr:colOff>242358</xdr:colOff>
      <xdr:row>16</xdr:row>
      <xdr:rowOff>21167</xdr:rowOff>
    </xdr:from>
    <xdr:to>
      <xdr:col>5</xdr:col>
      <xdr:colOff>566208</xdr:colOff>
      <xdr:row>17</xdr:row>
      <xdr:rowOff>97367</xdr:rowOff>
    </xdr:to>
    <xdr:sp macro="" textlink="">
      <xdr:nvSpPr>
        <xdr:cNvPr id="7" name="Rectá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814108" y="4135967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ESTADO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RESULTADOS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327025</xdr:colOff>
      <xdr:row>16</xdr:row>
      <xdr:rowOff>1</xdr:rowOff>
    </xdr:from>
    <xdr:to>
      <xdr:col>11</xdr:col>
      <xdr:colOff>460375</xdr:colOff>
      <xdr:row>17</xdr:row>
      <xdr:rowOff>76201</xdr:rowOff>
    </xdr:to>
    <xdr:sp macro="" textlink="">
      <xdr:nvSpPr>
        <xdr:cNvPr id="8" name="Rectá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813550" y="4114801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VPN</a:t>
          </a:r>
        </a:p>
      </xdr:txBody>
    </xdr:sp>
    <xdr:clientData/>
  </xdr:twoCellAnchor>
  <xdr:twoCellAnchor>
    <xdr:from>
      <xdr:col>12</xdr:col>
      <xdr:colOff>31750</xdr:colOff>
      <xdr:row>16</xdr:row>
      <xdr:rowOff>0</xdr:rowOff>
    </xdr:from>
    <xdr:to>
      <xdr:col>14</xdr:col>
      <xdr:colOff>203200</xdr:colOff>
      <xdr:row>17</xdr:row>
      <xdr:rowOff>76200</xdr:rowOff>
    </xdr:to>
    <xdr:sp macro="" textlink="">
      <xdr:nvSpPr>
        <xdr:cNvPr id="9" name="Rectá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8813800" y="411480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TIR</a:t>
          </a:r>
        </a:p>
      </xdr:txBody>
    </xdr:sp>
    <xdr:clientData/>
  </xdr:twoCellAnchor>
  <xdr:twoCellAnchor>
    <xdr:from>
      <xdr:col>1</xdr:col>
      <xdr:colOff>0</xdr:colOff>
      <xdr:row>17</xdr:row>
      <xdr:rowOff>176742</xdr:rowOff>
    </xdr:from>
    <xdr:to>
      <xdr:col>4</xdr:col>
      <xdr:colOff>114300</xdr:colOff>
      <xdr:row>19</xdr:row>
      <xdr:rowOff>119592</xdr:rowOff>
    </xdr:to>
    <xdr:sp macro="" textlink="">
      <xdr:nvSpPr>
        <xdr:cNvPr id="10" name="Rectá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790575" y="4548717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RENDIMIENTO ANUAL PROMEDIO</a:t>
          </a:r>
        </a:p>
      </xdr:txBody>
    </xdr:sp>
    <xdr:clientData/>
  </xdr:twoCellAnchor>
  <xdr:twoCellAnchor>
    <xdr:from>
      <xdr:col>8</xdr:col>
      <xdr:colOff>347134</xdr:colOff>
      <xdr:row>17</xdr:row>
      <xdr:rowOff>162983</xdr:rowOff>
    </xdr:from>
    <xdr:to>
      <xdr:col>11</xdr:col>
      <xdr:colOff>480484</xdr:colOff>
      <xdr:row>19</xdr:row>
      <xdr:rowOff>105833</xdr:rowOff>
    </xdr:to>
    <xdr:sp macro="" textlink="">
      <xdr:nvSpPr>
        <xdr:cNvPr id="11" name="Rectá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833659" y="4534958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 DESCONTADO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250825</xdr:colOff>
      <xdr:row>17</xdr:row>
      <xdr:rowOff>174625</xdr:rowOff>
    </xdr:from>
    <xdr:to>
      <xdr:col>5</xdr:col>
      <xdr:colOff>574675</xdr:colOff>
      <xdr:row>18</xdr:row>
      <xdr:rowOff>250825</xdr:rowOff>
    </xdr:to>
    <xdr:sp macro="" textlink="">
      <xdr:nvSpPr>
        <xdr:cNvPr id="12" name="Rectá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2822575" y="454660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INDICE DE RENTABILIDAD</a:t>
          </a:r>
        </a:p>
      </xdr:txBody>
    </xdr:sp>
    <xdr:clientData/>
  </xdr:twoCellAnchor>
  <xdr:twoCellAnchor>
    <xdr:from>
      <xdr:col>5</xdr:col>
      <xdr:colOff>691092</xdr:colOff>
      <xdr:row>17</xdr:row>
      <xdr:rowOff>174625</xdr:rowOff>
    </xdr:from>
    <xdr:to>
      <xdr:col>8</xdr:col>
      <xdr:colOff>243417</xdr:colOff>
      <xdr:row>18</xdr:row>
      <xdr:rowOff>250825</xdr:rowOff>
    </xdr:to>
    <xdr:sp macro="" textlink="">
      <xdr:nvSpPr>
        <xdr:cNvPr id="13" name="Rectángul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834467" y="454660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180975</xdr:colOff>
      <xdr:row>17</xdr:row>
      <xdr:rowOff>170393</xdr:rowOff>
    </xdr:from>
    <xdr:to>
      <xdr:col>13</xdr:col>
      <xdr:colOff>371475</xdr:colOff>
      <xdr:row>19</xdr:row>
      <xdr:rowOff>37043</xdr:rowOff>
    </xdr:to>
    <xdr:sp macro="" textlink="">
      <xdr:nvSpPr>
        <xdr:cNvPr id="14" name="Rectángul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8963025" y="4542368"/>
          <a:ext cx="11525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0" cap="none" spc="0">
              <a:ln w="0">
                <a:solidFill>
                  <a:schemeClr val="accent5">
                    <a:lumMod val="75000"/>
                  </a:schemeClr>
                </a:solidFill>
              </a:ln>
              <a:solidFill>
                <a:schemeClr val="accent5">
                  <a:lumMod val="75000"/>
                </a:schemeClr>
              </a:solidFill>
              <a:effectLst/>
            </a:rPr>
            <a:t>RESÚMEN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12</xdr:row>
      <xdr:rowOff>76200</xdr:rowOff>
    </xdr:from>
    <xdr:to>
      <xdr:col>12</xdr:col>
      <xdr:colOff>547158</xdr:colOff>
      <xdr:row>14</xdr:row>
      <xdr:rowOff>230717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11487150" y="2990850"/>
          <a:ext cx="709083" cy="687917"/>
          <a:chOff x="10657417" y="4296833"/>
          <a:chExt cx="709083" cy="687917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10657417" y="4296833"/>
            <a:ext cx="709083" cy="68791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" name="Flecha izquierda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10773833" y="4413249"/>
            <a:ext cx="486833" cy="423333"/>
          </a:xfrm>
          <a:prstGeom prst="leftArrow">
            <a:avLst>
              <a:gd name="adj1" fmla="val 30000"/>
              <a:gd name="adj2" fmla="val 35000"/>
            </a:avLst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4</xdr:col>
      <xdr:colOff>1261533</xdr:colOff>
      <xdr:row>16</xdr:row>
      <xdr:rowOff>10584</xdr:rowOff>
    </xdr:from>
    <xdr:to>
      <xdr:col>5</xdr:col>
      <xdr:colOff>347133</xdr:colOff>
      <xdr:row>17</xdr:row>
      <xdr:rowOff>77259</xdr:rowOff>
    </xdr:to>
    <xdr:sp macro="" textlink="">
      <xdr:nvSpPr>
        <xdr:cNvPr id="5" name="Rectá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4328583" y="3992034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FLUJOS NETOS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EFECTIVO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12700</xdr:colOff>
      <xdr:row>16</xdr:row>
      <xdr:rowOff>21167</xdr:rowOff>
    </xdr:from>
    <xdr:to>
      <xdr:col>3</xdr:col>
      <xdr:colOff>717550</xdr:colOff>
      <xdr:row>17</xdr:row>
      <xdr:rowOff>87842</xdr:rowOff>
    </xdr:to>
    <xdr:sp macro="" textlink="">
      <xdr:nvSpPr>
        <xdr:cNvPr id="6" name="Rectá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317500" y="4002617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PRONÓSTICO DE VENTAS</a:t>
          </a:r>
        </a:p>
      </xdr:txBody>
    </xdr:sp>
    <xdr:clientData/>
  </xdr:twoCellAnchor>
  <xdr:twoCellAnchor>
    <xdr:from>
      <xdr:col>3</xdr:col>
      <xdr:colOff>832908</xdr:colOff>
      <xdr:row>16</xdr:row>
      <xdr:rowOff>21167</xdr:rowOff>
    </xdr:from>
    <xdr:to>
      <xdr:col>4</xdr:col>
      <xdr:colOff>1156758</xdr:colOff>
      <xdr:row>17</xdr:row>
      <xdr:rowOff>87842</xdr:rowOff>
    </xdr:to>
    <xdr:sp macro="" textlink="">
      <xdr:nvSpPr>
        <xdr:cNvPr id="7" name="Rectá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328333" y="4002617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ESTADO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RESULTADOS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450850</xdr:colOff>
      <xdr:row>16</xdr:row>
      <xdr:rowOff>1</xdr:rowOff>
    </xdr:from>
    <xdr:to>
      <xdr:col>5</xdr:col>
      <xdr:colOff>2346325</xdr:colOff>
      <xdr:row>17</xdr:row>
      <xdr:rowOff>66676</xdr:rowOff>
    </xdr:to>
    <xdr:sp macro="" textlink="">
      <xdr:nvSpPr>
        <xdr:cNvPr id="8" name="Rectá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6327775" y="3981451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VPN</a:t>
          </a:r>
        </a:p>
      </xdr:txBody>
    </xdr:sp>
    <xdr:clientData/>
  </xdr:twoCellAnchor>
  <xdr:twoCellAnchor>
    <xdr:from>
      <xdr:col>5</xdr:col>
      <xdr:colOff>2451100</xdr:colOff>
      <xdr:row>16</xdr:row>
      <xdr:rowOff>0</xdr:rowOff>
    </xdr:from>
    <xdr:to>
      <xdr:col>9</xdr:col>
      <xdr:colOff>31750</xdr:colOff>
      <xdr:row>17</xdr:row>
      <xdr:rowOff>66675</xdr:rowOff>
    </xdr:to>
    <xdr:sp macro="" textlink="">
      <xdr:nvSpPr>
        <xdr:cNvPr id="9" name="Rectá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8328025" y="39814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TIR</a:t>
          </a:r>
        </a:p>
      </xdr:txBody>
    </xdr:sp>
    <xdr:clientData/>
  </xdr:twoCellAnchor>
  <xdr:twoCellAnchor>
    <xdr:from>
      <xdr:col>1</xdr:col>
      <xdr:colOff>0</xdr:colOff>
      <xdr:row>17</xdr:row>
      <xdr:rowOff>167217</xdr:rowOff>
    </xdr:from>
    <xdr:to>
      <xdr:col>3</xdr:col>
      <xdr:colOff>704850</xdr:colOff>
      <xdr:row>19</xdr:row>
      <xdr:rowOff>91017</xdr:rowOff>
    </xdr:to>
    <xdr:sp macro="" textlink="">
      <xdr:nvSpPr>
        <xdr:cNvPr id="10" name="Rectá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304800" y="4415367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RENDIMIENTO ANUAL PROMEDIO</a:t>
          </a:r>
        </a:p>
      </xdr:txBody>
    </xdr:sp>
    <xdr:clientData/>
  </xdr:twoCellAnchor>
  <xdr:twoCellAnchor>
    <xdr:from>
      <xdr:col>5</xdr:col>
      <xdr:colOff>470959</xdr:colOff>
      <xdr:row>17</xdr:row>
      <xdr:rowOff>153458</xdr:rowOff>
    </xdr:from>
    <xdr:to>
      <xdr:col>5</xdr:col>
      <xdr:colOff>2366434</xdr:colOff>
      <xdr:row>19</xdr:row>
      <xdr:rowOff>77258</xdr:rowOff>
    </xdr:to>
    <xdr:sp macro="" textlink="">
      <xdr:nvSpPr>
        <xdr:cNvPr id="11" name="Rectá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6347884" y="4401608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 DESCONTADO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841375</xdr:colOff>
      <xdr:row>17</xdr:row>
      <xdr:rowOff>165100</xdr:rowOff>
    </xdr:from>
    <xdr:to>
      <xdr:col>4</xdr:col>
      <xdr:colOff>1165225</xdr:colOff>
      <xdr:row>18</xdr:row>
      <xdr:rowOff>231775</xdr:rowOff>
    </xdr:to>
    <xdr:sp macro="" textlink="">
      <xdr:nvSpPr>
        <xdr:cNvPr id="12" name="Rectá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2336800" y="44132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INDICE DE RENTABILIDAD</a:t>
          </a:r>
        </a:p>
      </xdr:txBody>
    </xdr:sp>
    <xdr:clientData/>
  </xdr:twoCellAnchor>
  <xdr:twoCellAnchor>
    <xdr:from>
      <xdr:col>4</xdr:col>
      <xdr:colOff>1281642</xdr:colOff>
      <xdr:row>17</xdr:row>
      <xdr:rowOff>165100</xdr:rowOff>
    </xdr:from>
    <xdr:to>
      <xdr:col>5</xdr:col>
      <xdr:colOff>367242</xdr:colOff>
      <xdr:row>18</xdr:row>
      <xdr:rowOff>231775</xdr:rowOff>
    </xdr:to>
    <xdr:sp macro="" textlink="">
      <xdr:nvSpPr>
        <xdr:cNvPr id="13" name="Rectángul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4348692" y="441325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2600325</xdr:colOff>
      <xdr:row>17</xdr:row>
      <xdr:rowOff>160868</xdr:rowOff>
    </xdr:from>
    <xdr:to>
      <xdr:col>8</xdr:col>
      <xdr:colOff>104775</xdr:colOff>
      <xdr:row>19</xdr:row>
      <xdr:rowOff>8468</xdr:rowOff>
    </xdr:to>
    <xdr:sp macro="" textlink="">
      <xdr:nvSpPr>
        <xdr:cNvPr id="14" name="Rectángul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8477250" y="4409018"/>
          <a:ext cx="11525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0" cap="none" spc="0">
              <a:ln w="0">
                <a:solidFill>
                  <a:schemeClr val="accent5">
                    <a:lumMod val="75000"/>
                  </a:schemeClr>
                </a:solidFill>
              </a:ln>
              <a:solidFill>
                <a:schemeClr val="accent5">
                  <a:lumMod val="75000"/>
                </a:schemeClr>
              </a:solidFill>
              <a:effectLst/>
            </a:rPr>
            <a:t>RESÚMEN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10</xdr:row>
      <xdr:rowOff>161925</xdr:rowOff>
    </xdr:from>
    <xdr:to>
      <xdr:col>4</xdr:col>
      <xdr:colOff>280458</xdr:colOff>
      <xdr:row>13</xdr:row>
      <xdr:rowOff>78317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6372225" y="2466975"/>
          <a:ext cx="709083" cy="687917"/>
          <a:chOff x="10657417" y="4296833"/>
          <a:chExt cx="709083" cy="687917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10657417" y="4296833"/>
            <a:ext cx="709083" cy="68791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" name="Flecha izquierda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/>
        </xdr:nvSpPr>
        <xdr:spPr>
          <a:xfrm>
            <a:off x="10773833" y="4413249"/>
            <a:ext cx="486833" cy="423333"/>
          </a:xfrm>
          <a:prstGeom prst="leftArrow">
            <a:avLst>
              <a:gd name="adj1" fmla="val 30000"/>
              <a:gd name="adj2" fmla="val 35000"/>
            </a:avLst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6</xdr:col>
      <xdr:colOff>66675</xdr:colOff>
      <xdr:row>4</xdr:row>
      <xdr:rowOff>38100</xdr:rowOff>
    </xdr:from>
    <xdr:to>
      <xdr:col>8</xdr:col>
      <xdr:colOff>438150</xdr:colOff>
      <xdr:row>5</xdr:row>
      <xdr:rowOff>114300</xdr:rowOff>
    </xdr:to>
    <xdr:sp macro="" textlink="">
      <xdr:nvSpPr>
        <xdr:cNvPr id="5" name="Rectá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8343900" y="80010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IR A DATOS</a:t>
          </a:r>
        </a:p>
      </xdr:txBody>
    </xdr:sp>
    <xdr:clientData/>
  </xdr:twoCellAnchor>
  <xdr:twoCellAnchor>
    <xdr:from>
      <xdr:col>6</xdr:col>
      <xdr:colOff>66675</xdr:colOff>
      <xdr:row>8</xdr:row>
      <xdr:rowOff>152400</xdr:rowOff>
    </xdr:from>
    <xdr:to>
      <xdr:col>8</xdr:col>
      <xdr:colOff>438150</xdr:colOff>
      <xdr:row>9</xdr:row>
      <xdr:rowOff>228600</xdr:rowOff>
    </xdr:to>
    <xdr:sp macro="" textlink="">
      <xdr:nvSpPr>
        <xdr:cNvPr id="6" name="Rectá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8343900" y="194310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FLUJOS NETOS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EFECTIVO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66675</xdr:colOff>
      <xdr:row>5</xdr:row>
      <xdr:rowOff>161925</xdr:rowOff>
    </xdr:from>
    <xdr:to>
      <xdr:col>8</xdr:col>
      <xdr:colOff>438150</xdr:colOff>
      <xdr:row>6</xdr:row>
      <xdr:rowOff>238125</xdr:rowOff>
    </xdr:to>
    <xdr:sp macro="" textlink="">
      <xdr:nvSpPr>
        <xdr:cNvPr id="7" name="Rectá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8343900" y="118110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PRONÓSTICO DE VENTAS</a:t>
          </a:r>
        </a:p>
      </xdr:txBody>
    </xdr:sp>
    <xdr:clientData/>
  </xdr:twoCellAnchor>
  <xdr:twoCellAnchor>
    <xdr:from>
      <xdr:col>6</xdr:col>
      <xdr:colOff>66675</xdr:colOff>
      <xdr:row>7</xdr:row>
      <xdr:rowOff>28575</xdr:rowOff>
    </xdr:from>
    <xdr:to>
      <xdr:col>8</xdr:col>
      <xdr:colOff>438150</xdr:colOff>
      <xdr:row>8</xdr:row>
      <xdr:rowOff>104775</xdr:rowOff>
    </xdr:to>
    <xdr:sp macro="" textlink="">
      <xdr:nvSpPr>
        <xdr:cNvPr id="8" name="Rectá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43900" y="156210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ESTADO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RESULTADOS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76200</xdr:colOff>
      <xdr:row>10</xdr:row>
      <xdr:rowOff>19050</xdr:rowOff>
    </xdr:from>
    <xdr:to>
      <xdr:col>8</xdr:col>
      <xdr:colOff>447675</xdr:colOff>
      <xdr:row>11</xdr:row>
      <xdr:rowOff>95250</xdr:rowOff>
    </xdr:to>
    <xdr:sp macro="" textlink="">
      <xdr:nvSpPr>
        <xdr:cNvPr id="9" name="Rectá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53425" y="232410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VPN</a:t>
          </a:r>
        </a:p>
      </xdr:txBody>
    </xdr:sp>
    <xdr:clientData/>
  </xdr:twoCellAnchor>
  <xdr:twoCellAnchor>
    <xdr:from>
      <xdr:col>6</xdr:col>
      <xdr:colOff>76200</xdr:colOff>
      <xdr:row>11</xdr:row>
      <xdr:rowOff>142875</xdr:rowOff>
    </xdr:from>
    <xdr:to>
      <xdr:col>8</xdr:col>
      <xdr:colOff>447675</xdr:colOff>
      <xdr:row>12</xdr:row>
      <xdr:rowOff>219075</xdr:rowOff>
    </xdr:to>
    <xdr:sp macro="" textlink="">
      <xdr:nvSpPr>
        <xdr:cNvPr id="10" name="Rectá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53425" y="270510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TIR</a:t>
          </a:r>
        </a:p>
      </xdr:txBody>
    </xdr:sp>
    <xdr:clientData/>
  </xdr:twoCellAnchor>
  <xdr:twoCellAnchor>
    <xdr:from>
      <xdr:col>6</xdr:col>
      <xdr:colOff>85725</xdr:colOff>
      <xdr:row>13</xdr:row>
      <xdr:rowOff>9525</xdr:rowOff>
    </xdr:from>
    <xdr:to>
      <xdr:col>8</xdr:col>
      <xdr:colOff>457200</xdr:colOff>
      <xdr:row>14</xdr:row>
      <xdr:rowOff>209550</xdr:rowOff>
    </xdr:to>
    <xdr:sp macro="" textlink="">
      <xdr:nvSpPr>
        <xdr:cNvPr id="11" name="Rectá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62950" y="3086100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RENDIMIENTO ANUAL PROMEDIO</a:t>
          </a:r>
        </a:p>
      </xdr:txBody>
    </xdr:sp>
    <xdr:clientData/>
  </xdr:twoCellAnchor>
  <xdr:twoCellAnchor>
    <xdr:from>
      <xdr:col>6</xdr:col>
      <xdr:colOff>85725</xdr:colOff>
      <xdr:row>17</xdr:row>
      <xdr:rowOff>247650</xdr:rowOff>
    </xdr:from>
    <xdr:to>
      <xdr:col>8</xdr:col>
      <xdr:colOff>457200</xdr:colOff>
      <xdr:row>20</xdr:row>
      <xdr:rowOff>66675</xdr:rowOff>
    </xdr:to>
    <xdr:sp macro="" textlink="">
      <xdr:nvSpPr>
        <xdr:cNvPr id="12" name="Rectá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62950" y="4352925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 DESCONTADO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85725</xdr:colOff>
      <xdr:row>14</xdr:row>
      <xdr:rowOff>247650</xdr:rowOff>
    </xdr:from>
    <xdr:to>
      <xdr:col>8</xdr:col>
      <xdr:colOff>457200</xdr:colOff>
      <xdr:row>16</xdr:row>
      <xdr:rowOff>66675</xdr:rowOff>
    </xdr:to>
    <xdr:sp macro="" textlink="">
      <xdr:nvSpPr>
        <xdr:cNvPr id="13" name="Rectángul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62950" y="358140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INDICE DE RENTABILIDAD</a:t>
          </a:r>
        </a:p>
      </xdr:txBody>
    </xdr:sp>
    <xdr:clientData/>
  </xdr:twoCellAnchor>
  <xdr:twoCellAnchor>
    <xdr:from>
      <xdr:col>6</xdr:col>
      <xdr:colOff>76200</xdr:colOff>
      <xdr:row>16</xdr:row>
      <xdr:rowOff>114300</xdr:rowOff>
    </xdr:from>
    <xdr:to>
      <xdr:col>8</xdr:col>
      <xdr:colOff>447675</xdr:colOff>
      <xdr:row>17</xdr:row>
      <xdr:rowOff>190500</xdr:rowOff>
    </xdr:to>
    <xdr:sp macro="" textlink="">
      <xdr:nvSpPr>
        <xdr:cNvPr id="14" name="Rectángul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53425" y="3962400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161925</xdr:colOff>
      <xdr:row>15</xdr:row>
      <xdr:rowOff>219076</xdr:rowOff>
    </xdr:from>
    <xdr:to>
      <xdr:col>4</xdr:col>
      <xdr:colOff>552450</xdr:colOff>
      <xdr:row>17</xdr:row>
      <xdr:rowOff>85726</xdr:rowOff>
    </xdr:to>
    <xdr:sp macro="" textlink="">
      <xdr:nvSpPr>
        <xdr:cNvPr id="15" name="Rectángulo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6153150" y="3810001"/>
          <a:ext cx="11525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0" cap="none" spc="0">
              <a:ln w="0">
                <a:solidFill>
                  <a:schemeClr val="accent5">
                    <a:lumMod val="75000"/>
                  </a:schemeClr>
                </a:solidFill>
              </a:ln>
              <a:solidFill>
                <a:schemeClr val="accent5">
                  <a:lumMod val="75000"/>
                </a:schemeClr>
              </a:solidFill>
              <a:effectLst/>
            </a:rPr>
            <a:t>RESÚMEN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8</xdr:row>
      <xdr:rowOff>219075</xdr:rowOff>
    </xdr:from>
    <xdr:to>
      <xdr:col>6</xdr:col>
      <xdr:colOff>289983</xdr:colOff>
      <xdr:row>11</xdr:row>
      <xdr:rowOff>21167</xdr:rowOff>
    </xdr:to>
    <xdr:grpSp>
      <xdr:nvGrpSpPr>
        <xdr:cNvPr id="2" name="Grup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6381750" y="2162175"/>
          <a:ext cx="709083" cy="687917"/>
          <a:chOff x="10657417" y="4296833"/>
          <a:chExt cx="709083" cy="687917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10657417" y="4296833"/>
            <a:ext cx="709083" cy="687917"/>
          </a:xfrm>
          <a:prstGeom prst="ellipse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" name="Flecha izquierda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10773833" y="4413249"/>
            <a:ext cx="486833" cy="423333"/>
          </a:xfrm>
          <a:prstGeom prst="leftArrow">
            <a:avLst>
              <a:gd name="adj1" fmla="val 30000"/>
              <a:gd name="adj2" fmla="val 35000"/>
            </a:avLst>
          </a:prstGeom>
          <a:solidFill>
            <a:schemeClr val="tx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8</xdr:col>
      <xdr:colOff>142875</xdr:colOff>
      <xdr:row>3</xdr:row>
      <xdr:rowOff>161925</xdr:rowOff>
    </xdr:from>
    <xdr:to>
      <xdr:col>10</xdr:col>
      <xdr:colOff>514350</xdr:colOff>
      <xdr:row>5</xdr:row>
      <xdr:rowOff>9525</xdr:rowOff>
    </xdr:to>
    <xdr:sp macro="" textlink="">
      <xdr:nvSpPr>
        <xdr:cNvPr id="5" name="Rectángul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8467725" y="7334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IR A DATOS</a:t>
          </a:r>
        </a:p>
      </xdr:txBody>
    </xdr:sp>
    <xdr:clientData/>
  </xdr:twoCellAnchor>
  <xdr:twoCellAnchor>
    <xdr:from>
      <xdr:col>8</xdr:col>
      <xdr:colOff>142875</xdr:colOff>
      <xdr:row>7</xdr:row>
      <xdr:rowOff>228600</xdr:rowOff>
    </xdr:from>
    <xdr:to>
      <xdr:col>10</xdr:col>
      <xdr:colOff>514350</xdr:colOff>
      <xdr:row>8</xdr:row>
      <xdr:rowOff>266700</xdr:rowOff>
    </xdr:to>
    <xdr:sp macro="" textlink="">
      <xdr:nvSpPr>
        <xdr:cNvPr id="6" name="Rectá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8467725" y="18764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FLUJOS NETOS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EFECTIVO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142875</xdr:colOff>
      <xdr:row>5</xdr:row>
      <xdr:rowOff>57150</xdr:rowOff>
    </xdr:from>
    <xdr:to>
      <xdr:col>10</xdr:col>
      <xdr:colOff>514350</xdr:colOff>
      <xdr:row>6</xdr:row>
      <xdr:rowOff>95250</xdr:rowOff>
    </xdr:to>
    <xdr:sp macro="" textlink="">
      <xdr:nvSpPr>
        <xdr:cNvPr id="7" name="Rectá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8467725" y="11144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PRONÓSTICO DE VENTAS</a:t>
          </a:r>
        </a:p>
      </xdr:txBody>
    </xdr:sp>
    <xdr:clientData/>
  </xdr:twoCellAnchor>
  <xdr:twoCellAnchor>
    <xdr:from>
      <xdr:col>8</xdr:col>
      <xdr:colOff>142875</xdr:colOff>
      <xdr:row>6</xdr:row>
      <xdr:rowOff>142875</xdr:rowOff>
    </xdr:from>
    <xdr:to>
      <xdr:col>10</xdr:col>
      <xdr:colOff>514350</xdr:colOff>
      <xdr:row>7</xdr:row>
      <xdr:rowOff>180975</xdr:rowOff>
    </xdr:to>
    <xdr:sp macro="" textlink="">
      <xdr:nvSpPr>
        <xdr:cNvPr id="8" name="Rectá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8467725" y="14954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ESTADO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RESULTADOS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152400</xdr:colOff>
      <xdr:row>9</xdr:row>
      <xdr:rowOff>19050</xdr:rowOff>
    </xdr:from>
    <xdr:to>
      <xdr:col>10</xdr:col>
      <xdr:colOff>523875</xdr:colOff>
      <xdr:row>10</xdr:row>
      <xdr:rowOff>57150</xdr:rowOff>
    </xdr:to>
    <xdr:sp macro="" textlink="">
      <xdr:nvSpPr>
        <xdr:cNvPr id="9" name="Rectá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8477250" y="22574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VPN</a:t>
          </a:r>
        </a:p>
      </xdr:txBody>
    </xdr:sp>
    <xdr:clientData/>
  </xdr:twoCellAnchor>
  <xdr:twoCellAnchor>
    <xdr:from>
      <xdr:col>8</xdr:col>
      <xdr:colOff>152400</xdr:colOff>
      <xdr:row>10</xdr:row>
      <xdr:rowOff>104775</xdr:rowOff>
    </xdr:from>
    <xdr:to>
      <xdr:col>10</xdr:col>
      <xdr:colOff>523875</xdr:colOff>
      <xdr:row>11</xdr:row>
      <xdr:rowOff>142875</xdr:rowOff>
    </xdr:to>
    <xdr:sp macro="" textlink="">
      <xdr:nvSpPr>
        <xdr:cNvPr id="10" name="Rectá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8477250" y="26384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TIR</a:t>
          </a:r>
        </a:p>
      </xdr:txBody>
    </xdr:sp>
    <xdr:clientData/>
  </xdr:twoCellAnchor>
  <xdr:twoCellAnchor>
    <xdr:from>
      <xdr:col>8</xdr:col>
      <xdr:colOff>161925</xdr:colOff>
      <xdr:row>11</xdr:row>
      <xdr:rowOff>190500</xdr:rowOff>
    </xdr:from>
    <xdr:to>
      <xdr:col>10</xdr:col>
      <xdr:colOff>533400</xdr:colOff>
      <xdr:row>13</xdr:row>
      <xdr:rowOff>57150</xdr:rowOff>
    </xdr:to>
    <xdr:sp macro="" textlink="">
      <xdr:nvSpPr>
        <xdr:cNvPr id="11" name="Rectá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486775" y="3019425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RENDIMIENTO ANUAL PROMEDIO</a:t>
          </a:r>
        </a:p>
      </xdr:txBody>
    </xdr:sp>
    <xdr:clientData/>
  </xdr:twoCellAnchor>
  <xdr:twoCellAnchor>
    <xdr:from>
      <xdr:col>8</xdr:col>
      <xdr:colOff>161925</xdr:colOff>
      <xdr:row>15</xdr:row>
      <xdr:rowOff>276225</xdr:rowOff>
    </xdr:from>
    <xdr:to>
      <xdr:col>10</xdr:col>
      <xdr:colOff>533400</xdr:colOff>
      <xdr:row>17</xdr:row>
      <xdr:rowOff>142875</xdr:rowOff>
    </xdr:to>
    <xdr:sp macro="" textlink="">
      <xdr:nvSpPr>
        <xdr:cNvPr id="12" name="Rectángul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8486775" y="4286250"/>
          <a:ext cx="1895475" cy="4572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 DESCONTADO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161925</xdr:colOff>
      <xdr:row>13</xdr:row>
      <xdr:rowOff>95250</xdr:rowOff>
    </xdr:from>
    <xdr:to>
      <xdr:col>10</xdr:col>
      <xdr:colOff>533400</xdr:colOff>
      <xdr:row>14</xdr:row>
      <xdr:rowOff>133350</xdr:rowOff>
    </xdr:to>
    <xdr:sp macro="" textlink="">
      <xdr:nvSpPr>
        <xdr:cNvPr id="13" name="Rectángul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8486775" y="35147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INDICE DE RENTABILIDAD</a:t>
          </a:r>
        </a:p>
      </xdr:txBody>
    </xdr:sp>
    <xdr:clientData/>
  </xdr:twoCellAnchor>
  <xdr:twoCellAnchor>
    <xdr:from>
      <xdr:col>8</xdr:col>
      <xdr:colOff>152400</xdr:colOff>
      <xdr:row>14</xdr:row>
      <xdr:rowOff>180975</xdr:rowOff>
    </xdr:from>
    <xdr:to>
      <xdr:col>10</xdr:col>
      <xdr:colOff>523875</xdr:colOff>
      <xdr:row>15</xdr:row>
      <xdr:rowOff>219075</xdr:rowOff>
    </xdr:to>
    <xdr:sp macro="" textlink="">
      <xdr:nvSpPr>
        <xdr:cNvPr id="14" name="Rectángulo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8477250" y="3895725"/>
          <a:ext cx="1895475" cy="333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solidFill>
                <a:schemeClr val="accent5">
                  <a:lumMod val="75000"/>
                </a:schemeClr>
              </a:solidFill>
            </a:rPr>
            <a:t>PERIODO</a:t>
          </a:r>
          <a:r>
            <a:rPr lang="es-MX" sz="1100" baseline="0">
              <a:solidFill>
                <a:schemeClr val="accent5">
                  <a:lumMod val="75000"/>
                </a:schemeClr>
              </a:solidFill>
            </a:rPr>
            <a:t> DE RECUPERACIÓN</a:t>
          </a:r>
          <a:endParaRPr lang="es-MX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238125</xdr:colOff>
      <xdr:row>14</xdr:row>
      <xdr:rowOff>28576</xdr:rowOff>
    </xdr:from>
    <xdr:to>
      <xdr:col>6</xdr:col>
      <xdr:colOff>628650</xdr:colOff>
      <xdr:row>15</xdr:row>
      <xdr:rowOff>114301</xdr:rowOff>
    </xdr:to>
    <xdr:sp macro="" textlink="">
      <xdr:nvSpPr>
        <xdr:cNvPr id="15" name="Rectángulo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6276975" y="3743326"/>
          <a:ext cx="11525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800" b="0" cap="none" spc="0">
              <a:ln w="0">
                <a:solidFill>
                  <a:schemeClr val="accent5">
                    <a:lumMod val="75000"/>
                  </a:schemeClr>
                </a:solidFill>
              </a:ln>
              <a:solidFill>
                <a:schemeClr val="accent5">
                  <a:lumMod val="75000"/>
                </a:schemeClr>
              </a:solidFill>
              <a:effectLst/>
            </a:rPr>
            <a:t>RESÚMEN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la3" displayName="Tabla3" ref="B5:C18" totalsRowShown="0" headerRowDxfId="15" dataDxfId="13" headerRowBorderDxfId="14" tableBorderDxfId="12" totalsRowBorderDxfId="11" headerRowCellStyle="Énfasis5">
  <autoFilter ref="B5:C18">
    <filterColumn colId="0" hiddenButton="1"/>
    <filterColumn colId="1" hiddenButton="1"/>
  </autoFilter>
  <tableColumns count="2">
    <tableColumn id="1" name="PERIODO" dataDxfId="10" dataCellStyle="Énfasis5"/>
    <tableColumn id="2" name="FLUJOS NETOS" dataDxfId="9" dataCellStyle="20% - Énfasis5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5:E17" totalsRowShown="0" headerRowDxfId="8" dataDxfId="6" headerRowBorderDxfId="7" tableBorderDxfId="5" totalsRowBorderDxfId="4" headerRowCellStyle="Énfasis5">
  <autoFilter ref="B5:E17">
    <filterColumn colId="0" hiddenButton="1"/>
    <filterColumn colId="1" hiddenButton="1"/>
    <filterColumn colId="2" hiddenButton="1"/>
    <filterColumn colId="3" hiddenButton="1"/>
  </autoFilter>
  <tableColumns count="4">
    <tableColumn id="1" name="AÑO" dataDxfId="3" dataCellStyle="Énfasis5"/>
    <tableColumn id="2" name="FLUJO DE EFECTIVO" dataDxfId="2" dataCellStyle="40% - Énfasis5"/>
    <tableColumn id="3" name="VPN" dataDxfId="1" dataCellStyle="20% - Énfasis5"/>
    <tableColumn id="4" name="#Año" dataDxfId="0" dataCellStyle="40% - Énfasis5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Slide.sldx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selection activeCell="B9" sqref="B9"/>
    </sheetView>
  </sheetViews>
  <sheetFormatPr baseColWidth="10" defaultRowHeight="15" x14ac:dyDescent="0.25"/>
  <cols>
    <col min="1" max="16384" width="11.42578125" style="150"/>
  </cols>
  <sheetData>
    <row r="1" spans="1:17" x14ac:dyDescent="0.25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7" x14ac:dyDescent="0.2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</row>
    <row r="3" spans="1:17" x14ac:dyDescent="0.25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</row>
    <row r="4" spans="1:17" x14ac:dyDescent="0.25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</row>
    <row r="5" spans="1:17" x14ac:dyDescent="0.25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</row>
    <row r="6" spans="1:17" x14ac:dyDescent="0.25">
      <c r="A6" s="1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</row>
    <row r="7" spans="1:17" x14ac:dyDescent="0.25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</row>
    <row r="8" spans="1:17" x14ac:dyDescent="0.25">
      <c r="A8" s="149"/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</row>
    <row r="9" spans="1:17" x14ac:dyDescent="0.25">
      <c r="A9" s="149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</row>
    <row r="10" spans="1:17" x14ac:dyDescent="0.25">
      <c r="A10" s="149"/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</row>
    <row r="11" spans="1:17" x14ac:dyDescent="0.25">
      <c r="A11" s="149"/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</row>
    <row r="12" spans="1:17" x14ac:dyDescent="0.25">
      <c r="A12" s="149"/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</row>
    <row r="13" spans="1:17" x14ac:dyDescent="0.25">
      <c r="A13" s="149"/>
      <c r="B13" s="149"/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</row>
    <row r="14" spans="1:17" x14ac:dyDescent="0.25">
      <c r="A14" s="149"/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</row>
    <row r="15" spans="1:17" x14ac:dyDescent="0.25">
      <c r="A15" s="149"/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</row>
    <row r="16" spans="1:17" x14ac:dyDescent="0.25">
      <c r="A16" s="149"/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</row>
    <row r="17" spans="1:18" x14ac:dyDescent="0.25">
      <c r="A17" s="149"/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</row>
    <row r="18" spans="1:18" x14ac:dyDescent="0.25">
      <c r="A18" s="149"/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</row>
    <row r="19" spans="1:18" x14ac:dyDescent="0.25">
      <c r="A19" s="149"/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</row>
    <row r="20" spans="1:18" x14ac:dyDescent="0.25">
      <c r="A20" s="149"/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</row>
    <row r="21" spans="1:18" x14ac:dyDescent="0.25">
      <c r="A21" s="149"/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</row>
    <row r="22" spans="1:18" x14ac:dyDescent="0.25">
      <c r="A22" s="149"/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</row>
    <row r="23" spans="1:18" x14ac:dyDescent="0.25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</row>
    <row r="24" spans="1:18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</row>
    <row r="25" spans="1:18" x14ac:dyDescent="0.25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</row>
    <row r="26" spans="1:18" x14ac:dyDescent="0.25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</row>
    <row r="27" spans="1:18" x14ac:dyDescent="0.25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</row>
    <row r="28" spans="1:18" x14ac:dyDescent="0.25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</row>
    <row r="29" spans="1:18" x14ac:dyDescent="0.25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</row>
    <row r="30" spans="1:18" x14ac:dyDescent="0.25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</row>
    <row r="31" spans="1:18" x14ac:dyDescent="0.25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</row>
    <row r="32" spans="1:18" x14ac:dyDescent="0.25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</row>
    <row r="33" spans="1:18" x14ac:dyDescent="0.25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</row>
    <row r="34" spans="1:18" x14ac:dyDescent="0.25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</row>
    <row r="35" spans="1:18" x14ac:dyDescent="0.25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</row>
    <row r="36" spans="1:18" x14ac:dyDescent="0.25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</row>
    <row r="37" spans="1:18" x14ac:dyDescent="0.25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</row>
    <row r="38" spans="1:18" x14ac:dyDescent="0.25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</row>
    <row r="39" spans="1:18" x14ac:dyDescent="0.25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</row>
    <row r="40" spans="1:18" x14ac:dyDescent="0.25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</row>
    <row r="41" spans="1:18" x14ac:dyDescent="0.25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</row>
    <row r="42" spans="1:18" x14ac:dyDescent="0.25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</row>
    <row r="43" spans="1:18" x14ac:dyDescent="0.25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</row>
    <row r="44" spans="1:18" x14ac:dyDescent="0.25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</row>
    <row r="45" spans="1:18" x14ac:dyDescent="0.25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</row>
    <row r="46" spans="1:18" x14ac:dyDescent="0.25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</row>
    <row r="47" spans="1:18" x14ac:dyDescent="0.25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</row>
    <row r="48" spans="1:18" x14ac:dyDescent="0.25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</row>
    <row r="49" spans="1:18" x14ac:dyDescent="0.25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</row>
    <row r="50" spans="1:18" x14ac:dyDescent="0.25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</row>
  </sheetData>
  <pageMargins left="0.7" right="0.7" top="0.75" bottom="0.75" header="0.3" footer="0.3"/>
  <pageSetup orientation="portrait" horizontalDpi="4294967292" verticalDpi="0" r:id="rId1"/>
  <drawing r:id="rId2"/>
  <legacyDrawing r:id="rId3"/>
  <oleObjects>
    <mc:AlternateContent xmlns:mc="http://schemas.openxmlformats.org/markup-compatibility/2006">
      <mc:Choice Requires="x14">
        <oleObject progId="PowerPoint.Slide.12" shapeId="1025" r:id="rId4">
          <objectPr defaultSize="0" autoPict="0" r:id="rId5">
            <anchor moveWithCells="1" sizeWithCells="1">
              <from>
                <xdr:col>2</xdr:col>
                <xdr:colOff>28575</xdr:colOff>
                <xdr:row>0</xdr:row>
                <xdr:rowOff>0</xdr:rowOff>
              </from>
              <to>
                <xdr:col>13</xdr:col>
                <xdr:colOff>762000</xdr:colOff>
                <xdr:row>26</xdr:row>
                <xdr:rowOff>171450</xdr:rowOff>
              </to>
            </anchor>
          </objectPr>
        </oleObject>
      </mc:Choice>
      <mc:Fallback>
        <oleObject progId="PowerPoint.Slide.12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6" sqref="D6"/>
    </sheetView>
  </sheetViews>
  <sheetFormatPr baseColWidth="10" defaultColWidth="11.42578125" defaultRowHeight="15" x14ac:dyDescent="0.25"/>
  <cols>
    <col min="2" max="2" width="8.85546875" customWidth="1"/>
    <col min="3" max="3" width="9" customWidth="1"/>
    <col min="4" max="4" width="23.5703125" bestFit="1" customWidth="1"/>
    <col min="5" max="5" width="32.85546875" customWidth="1"/>
  </cols>
  <sheetData>
    <row r="1" spans="1:14" x14ac:dyDescent="0.25">
      <c r="A1" s="179" t="s">
        <v>78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</row>
    <row r="2" spans="1:14" x14ac:dyDescent="0.2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14" x14ac:dyDescent="0.2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1:14" x14ac:dyDescent="0.25">
      <c r="A4" s="46"/>
      <c r="B4" s="46"/>
      <c r="C4" s="46"/>
      <c r="D4" s="46"/>
      <c r="E4" s="138"/>
      <c r="F4" s="46"/>
      <c r="G4" s="46"/>
      <c r="H4" s="46"/>
      <c r="I4" s="46"/>
      <c r="J4" s="46"/>
      <c r="K4" s="46"/>
      <c r="L4" s="46"/>
      <c r="M4" s="46"/>
      <c r="N4" s="46"/>
    </row>
    <row r="5" spans="1:14" ht="20.25" x14ac:dyDescent="0.25">
      <c r="A5" s="46"/>
      <c r="B5" s="55" t="s">
        <v>21</v>
      </c>
      <c r="C5" s="55" t="s">
        <v>39</v>
      </c>
      <c r="D5" s="55" t="s">
        <v>40</v>
      </c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20.25" x14ac:dyDescent="0.25">
      <c r="A6" s="46"/>
      <c r="B6" s="55" t="s">
        <v>43</v>
      </c>
      <c r="C6" s="59">
        <v>0</v>
      </c>
      <c r="D6" s="60">
        <f>'Flujo neto de efectivo'!G11*-1</f>
        <v>-1800000</v>
      </c>
      <c r="E6" s="67"/>
      <c r="F6" s="67"/>
      <c r="G6" s="67"/>
      <c r="H6" s="67"/>
      <c r="I6" s="67"/>
      <c r="J6" s="67"/>
      <c r="K6" s="67"/>
      <c r="L6" s="67"/>
      <c r="M6" s="67"/>
      <c r="N6" s="67"/>
    </row>
    <row r="7" spans="1:14" ht="20.25" x14ac:dyDescent="0.25">
      <c r="A7" s="46"/>
      <c r="B7" s="55">
        <v>2017</v>
      </c>
      <c r="C7" s="59">
        <v>1</v>
      </c>
      <c r="D7" s="60">
        <f>'Flujo neto de efectivo'!E5</f>
        <v>1136850.5747126436</v>
      </c>
      <c r="E7" s="67"/>
      <c r="F7" s="67"/>
      <c r="G7" s="67"/>
      <c r="H7" s="67"/>
      <c r="I7" s="67"/>
      <c r="J7" s="67"/>
      <c r="K7" s="67"/>
      <c r="L7" s="67"/>
      <c r="M7" s="67"/>
      <c r="N7" s="67"/>
    </row>
    <row r="8" spans="1:14" ht="20.25" x14ac:dyDescent="0.25">
      <c r="A8" s="46"/>
      <c r="B8" s="55">
        <v>2018</v>
      </c>
      <c r="C8" s="59">
        <v>2</v>
      </c>
      <c r="D8" s="60">
        <f>'Flujo neto de efectivo'!E6</f>
        <v>1125666.091954024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ht="20.25" x14ac:dyDescent="0.25">
      <c r="A9" s="46"/>
      <c r="B9" s="55">
        <v>2019</v>
      </c>
      <c r="C9" s="59">
        <v>3</v>
      </c>
      <c r="D9" s="60">
        <f>'Flujo neto de efectivo'!E7</f>
        <v>1097048.7997126456</v>
      </c>
      <c r="E9" s="67"/>
      <c r="F9" s="67"/>
      <c r="G9" s="67"/>
      <c r="H9" s="67"/>
      <c r="I9" s="67"/>
      <c r="J9" s="67"/>
      <c r="K9" s="67"/>
      <c r="L9" s="67"/>
      <c r="M9" s="67"/>
      <c r="N9" s="67"/>
    </row>
    <row r="10" spans="1:14" ht="20.25" x14ac:dyDescent="0.25">
      <c r="A10" s="46"/>
      <c r="B10" s="55">
        <v>2020</v>
      </c>
      <c r="C10" s="59">
        <v>4</v>
      </c>
      <c r="D10" s="60">
        <f>'Flujo neto de efectivo'!E8</f>
        <v>1047019.9804165234</v>
      </c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20.25" x14ac:dyDescent="0.25">
      <c r="A11" s="46"/>
      <c r="B11" s="55">
        <v>2021</v>
      </c>
      <c r="C11" s="59">
        <v>5</v>
      </c>
      <c r="D11" s="60">
        <f>'Flujo neto de efectivo'!E9</f>
        <v>970898.63126615016</v>
      </c>
      <c r="E11" s="67"/>
      <c r="F11" s="67"/>
      <c r="G11" s="67"/>
      <c r="H11" s="67"/>
      <c r="I11" s="67"/>
      <c r="J11" s="67"/>
      <c r="K11" s="67"/>
      <c r="L11" s="67"/>
      <c r="M11" s="67"/>
      <c r="N11" s="67"/>
    </row>
    <row r="12" spans="1:14" ht="20.25" x14ac:dyDescent="0.25">
      <c r="A12" s="46"/>
      <c r="B12" s="55">
        <v>2022</v>
      </c>
      <c r="C12" s="59">
        <v>6</v>
      </c>
      <c r="D12" s="60">
        <f>'Flujo neto de efectivo'!E10</f>
        <v>-36810.039188770694</v>
      </c>
      <c r="E12" s="67"/>
      <c r="F12" s="67"/>
      <c r="G12" s="67"/>
      <c r="H12" s="67"/>
      <c r="I12" s="67"/>
      <c r="J12" s="67"/>
      <c r="K12" s="67"/>
      <c r="L12" s="67"/>
      <c r="M12" s="67"/>
      <c r="N12" s="67"/>
    </row>
    <row r="13" spans="1:14" ht="20.25" x14ac:dyDescent="0.25">
      <c r="A13" s="46"/>
      <c r="B13" s="55">
        <v>2023</v>
      </c>
      <c r="C13" s="59">
        <v>7</v>
      </c>
      <c r="D13" s="60">
        <f>'Flujo neto de efectivo'!E11</f>
        <v>717457.15600318287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</row>
    <row r="14" spans="1:14" ht="20.25" x14ac:dyDescent="0.25">
      <c r="A14" s="46"/>
      <c r="B14" s="55">
        <v>2024</v>
      </c>
      <c r="C14" s="59">
        <v>8</v>
      </c>
      <c r="D14" s="60">
        <f>'Flujo neto de efectivo'!E12</f>
        <v>526173.9943023324</v>
      </c>
      <c r="E14" s="67"/>
      <c r="F14" s="67"/>
      <c r="G14" s="67"/>
      <c r="H14" s="67"/>
      <c r="I14" s="67"/>
      <c r="J14" s="67"/>
      <c r="K14" s="67"/>
      <c r="L14" s="67"/>
      <c r="M14" s="67"/>
      <c r="N14" s="67"/>
    </row>
    <row r="15" spans="1:14" ht="20.25" x14ac:dyDescent="0.25">
      <c r="A15" s="46"/>
      <c r="B15" s="55">
        <v>2025</v>
      </c>
      <c r="C15" s="59">
        <v>9</v>
      </c>
      <c r="D15" s="60">
        <f>'Flujo neto de efectivo'!E13</f>
        <v>280555.53155537695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</row>
    <row r="16" spans="1:14" ht="20.25" x14ac:dyDescent="0.25">
      <c r="A16" s="46"/>
      <c r="B16" s="55">
        <v>2026</v>
      </c>
      <c r="C16" s="59">
        <v>10</v>
      </c>
      <c r="D16" s="60">
        <f>'Flujo neto de efectivo'!E14</f>
        <v>-29636.2955170887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</row>
    <row r="17" spans="1:14" ht="20.25" x14ac:dyDescent="0.3">
      <c r="A17" s="46"/>
      <c r="B17" s="139" t="s">
        <v>52</v>
      </c>
      <c r="C17" s="140"/>
      <c r="D17" s="156">
        <f>NPV('Flujo neto de efectivo'!G8,D6:D16,)</f>
        <v>243442.35677205684</v>
      </c>
      <c r="E17" s="67"/>
      <c r="F17" s="67"/>
      <c r="G17" s="67"/>
      <c r="H17" s="67"/>
      <c r="I17" s="67"/>
      <c r="J17" s="67"/>
      <c r="K17" s="67"/>
      <c r="L17" s="67"/>
      <c r="M17" s="67"/>
      <c r="N17" s="67"/>
    </row>
    <row r="18" spans="1:14" x14ac:dyDescent="0.25">
      <c r="A18" s="46"/>
      <c r="B18" s="46"/>
      <c r="C18" s="46"/>
      <c r="D18" s="46"/>
      <c r="E18" s="67"/>
      <c r="F18" s="67"/>
      <c r="G18" s="67"/>
      <c r="H18" s="67"/>
      <c r="I18" s="67"/>
      <c r="J18" s="67"/>
      <c r="K18" s="67"/>
      <c r="L18" s="67"/>
      <c r="M18" s="67"/>
      <c r="N18" s="67"/>
    </row>
    <row r="19" spans="1:14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</row>
  </sheetData>
  <mergeCells count="1">
    <mergeCell ref="A1:N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2" workbookViewId="0">
      <selection activeCell="D17" sqref="B17:D17"/>
    </sheetView>
  </sheetViews>
  <sheetFormatPr baseColWidth="10" defaultColWidth="11.42578125" defaultRowHeight="15" x14ac:dyDescent="0.25"/>
  <cols>
    <col min="1" max="1" width="5.42578125" style="4" customWidth="1"/>
    <col min="2" max="2" width="12.140625" style="4" bestFit="1" customWidth="1"/>
    <col min="3" max="3" width="18.5703125" style="4" customWidth="1"/>
    <col min="4" max="4" width="23.85546875" style="4" bestFit="1" customWidth="1"/>
    <col min="5" max="5" width="11.85546875" style="4" bestFit="1" customWidth="1"/>
    <col min="6" max="6" width="43.5703125" style="4" customWidth="1"/>
    <col min="7" max="16384" width="11.42578125" style="4"/>
  </cols>
  <sheetData>
    <row r="1" spans="1:14" x14ac:dyDescent="0.25">
      <c r="A1" s="179" t="s">
        <v>79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42"/>
    </row>
    <row r="2" spans="1:14" x14ac:dyDescent="0.2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42"/>
    </row>
    <row r="3" spans="1:14" x14ac:dyDescent="0.2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42"/>
    </row>
    <row r="4" spans="1:14" x14ac:dyDescent="0.25">
      <c r="A4" s="142"/>
      <c r="B4" s="142"/>
      <c r="C4" s="142"/>
      <c r="D4" s="143"/>
      <c r="E4" s="144"/>
      <c r="F4" s="142"/>
      <c r="G4" s="142"/>
      <c r="H4" s="142"/>
      <c r="I4" s="142"/>
      <c r="J4" s="142"/>
      <c r="K4" s="142"/>
      <c r="L4" s="142"/>
      <c r="M4" s="142"/>
      <c r="N4" s="142"/>
    </row>
    <row r="5" spans="1:14" ht="20.25" x14ac:dyDescent="0.25">
      <c r="A5" s="142"/>
      <c r="B5" s="55" t="s">
        <v>21</v>
      </c>
      <c r="C5" s="55" t="s">
        <v>39</v>
      </c>
      <c r="D5" s="55" t="s">
        <v>40</v>
      </c>
      <c r="E5" s="144"/>
      <c r="F5" s="145"/>
      <c r="G5" s="142"/>
      <c r="H5" s="142"/>
      <c r="I5" s="142"/>
      <c r="J5" s="142"/>
      <c r="K5" s="142"/>
      <c r="L5" s="142"/>
      <c r="M5" s="142"/>
      <c r="N5" s="142"/>
    </row>
    <row r="6" spans="1:14" ht="20.25" x14ac:dyDescent="0.25">
      <c r="A6" s="142"/>
      <c r="B6" s="55" t="s">
        <v>43</v>
      </c>
      <c r="C6" s="59">
        <v>0</v>
      </c>
      <c r="D6" s="141">
        <f>-'Flujo neto de efectivo'!G11</f>
        <v>-1800000</v>
      </c>
      <c r="E6" s="146"/>
      <c r="F6" s="142"/>
      <c r="G6" s="142"/>
      <c r="H6" s="142"/>
      <c r="I6" s="142"/>
      <c r="J6" s="142"/>
      <c r="K6" s="142"/>
      <c r="L6" s="142"/>
      <c r="M6" s="142"/>
      <c r="N6" s="142"/>
    </row>
    <row r="7" spans="1:14" ht="20.25" x14ac:dyDescent="0.25">
      <c r="A7" s="142"/>
      <c r="B7" s="55">
        <v>2017</v>
      </c>
      <c r="C7" s="59">
        <v>1</v>
      </c>
      <c r="D7" s="141">
        <f>'Flujo neto de efectivo'!E5</f>
        <v>1136850.5747126436</v>
      </c>
      <c r="E7" s="146"/>
      <c r="F7" s="147"/>
      <c r="G7" s="142"/>
      <c r="H7" s="142"/>
      <c r="I7" s="142"/>
      <c r="J7" s="142"/>
      <c r="K7" s="142"/>
      <c r="L7" s="142"/>
      <c r="M7" s="142"/>
      <c r="N7" s="142"/>
    </row>
    <row r="8" spans="1:14" ht="20.25" x14ac:dyDescent="0.25">
      <c r="A8" s="142"/>
      <c r="B8" s="55">
        <v>2018</v>
      </c>
      <c r="C8" s="59">
        <v>2</v>
      </c>
      <c r="D8" s="141">
        <f>'Flujo neto de efectivo'!E6</f>
        <v>1125666.091954024</v>
      </c>
      <c r="E8" s="146"/>
      <c r="F8" s="142"/>
      <c r="G8" s="142"/>
      <c r="H8" s="142"/>
      <c r="I8" s="142"/>
      <c r="J8" s="142"/>
      <c r="K8" s="142"/>
      <c r="L8" s="142"/>
      <c r="M8" s="142"/>
      <c r="N8" s="142"/>
    </row>
    <row r="9" spans="1:14" ht="20.25" x14ac:dyDescent="0.25">
      <c r="A9" s="142"/>
      <c r="B9" s="55">
        <v>2019</v>
      </c>
      <c r="C9" s="59">
        <v>3</v>
      </c>
      <c r="D9" s="141">
        <f>'Flujo neto de efectivo'!E7</f>
        <v>1097048.7997126456</v>
      </c>
      <c r="E9" s="144"/>
      <c r="F9" s="142"/>
      <c r="G9" s="142"/>
      <c r="H9" s="142"/>
      <c r="I9" s="142"/>
      <c r="J9" s="142"/>
      <c r="K9" s="142"/>
      <c r="L9" s="142"/>
      <c r="M9" s="142"/>
      <c r="N9" s="142"/>
    </row>
    <row r="10" spans="1:14" ht="20.25" x14ac:dyDescent="0.25">
      <c r="A10" s="142"/>
      <c r="B10" s="55">
        <v>2020</v>
      </c>
      <c r="C10" s="59">
        <v>4</v>
      </c>
      <c r="D10" s="141">
        <f>'Flujo neto de efectivo'!E8</f>
        <v>1047019.9804165234</v>
      </c>
      <c r="E10" s="144"/>
      <c r="F10" s="142"/>
      <c r="G10" s="142"/>
      <c r="H10" s="142"/>
      <c r="I10" s="142"/>
      <c r="J10" s="142"/>
      <c r="K10" s="142"/>
      <c r="L10" s="142"/>
      <c r="M10" s="142"/>
      <c r="N10" s="142"/>
    </row>
    <row r="11" spans="1:14" ht="20.25" x14ac:dyDescent="0.25">
      <c r="A11" s="142"/>
      <c r="B11" s="55">
        <v>2021</v>
      </c>
      <c r="C11" s="59">
        <v>5</v>
      </c>
      <c r="D11" s="141">
        <f>'Flujo neto de efectivo'!E9</f>
        <v>970898.63126615016</v>
      </c>
      <c r="E11" s="143"/>
      <c r="F11" s="142"/>
      <c r="G11" s="142"/>
      <c r="H11" s="142"/>
      <c r="I11" s="142"/>
      <c r="J11" s="142"/>
      <c r="K11" s="142"/>
      <c r="L11" s="142"/>
      <c r="M11" s="142"/>
      <c r="N11" s="142"/>
    </row>
    <row r="12" spans="1:14" ht="20.25" x14ac:dyDescent="0.25">
      <c r="A12" s="142"/>
      <c r="B12" s="55">
        <v>2022</v>
      </c>
      <c r="C12" s="59">
        <v>6</v>
      </c>
      <c r="D12" s="141">
        <f>'Flujo neto de efectivo'!E10</f>
        <v>-36810.039188770694</v>
      </c>
      <c r="E12" s="143"/>
      <c r="F12" s="142"/>
      <c r="G12" s="142"/>
      <c r="H12" s="142"/>
      <c r="I12" s="142"/>
      <c r="J12" s="142"/>
      <c r="K12" s="142"/>
      <c r="L12" s="142"/>
      <c r="M12" s="142"/>
      <c r="N12" s="142"/>
    </row>
    <row r="13" spans="1:14" ht="20.25" x14ac:dyDescent="0.25">
      <c r="A13" s="142"/>
      <c r="B13" s="55">
        <v>2023</v>
      </c>
      <c r="C13" s="59">
        <v>7</v>
      </c>
      <c r="D13" s="141">
        <f>'Flujo neto de efectivo'!E11</f>
        <v>717457.15600318287</v>
      </c>
      <c r="E13" s="143"/>
      <c r="F13" s="142"/>
      <c r="G13" s="142"/>
      <c r="H13" s="142"/>
      <c r="I13" s="142"/>
      <c r="J13" s="142"/>
      <c r="K13" s="142"/>
      <c r="L13" s="142"/>
      <c r="M13" s="142"/>
      <c r="N13" s="142"/>
    </row>
    <row r="14" spans="1:14" ht="20.25" x14ac:dyDescent="0.25">
      <c r="A14" s="142"/>
      <c r="B14" s="55">
        <v>2024</v>
      </c>
      <c r="C14" s="59">
        <v>8</v>
      </c>
      <c r="D14" s="141">
        <f>'Flujo neto de efectivo'!E12</f>
        <v>526173.9943023324</v>
      </c>
      <c r="E14" s="143"/>
      <c r="F14" s="142"/>
      <c r="G14" s="142"/>
      <c r="H14" s="142"/>
      <c r="I14" s="142"/>
      <c r="J14" s="142"/>
      <c r="K14" s="142"/>
      <c r="L14" s="142"/>
      <c r="M14" s="142"/>
      <c r="N14" s="142"/>
    </row>
    <row r="15" spans="1:14" ht="20.25" x14ac:dyDescent="0.25">
      <c r="A15" s="143"/>
      <c r="B15" s="55">
        <v>2025</v>
      </c>
      <c r="C15" s="59">
        <v>9</v>
      </c>
      <c r="D15" s="141">
        <f>'Flujo neto de efectivo'!E13</f>
        <v>280555.53155537695</v>
      </c>
      <c r="E15" s="143"/>
      <c r="F15" s="142"/>
      <c r="G15" s="142"/>
      <c r="H15" s="142"/>
      <c r="I15" s="142"/>
      <c r="J15" s="142"/>
      <c r="K15" s="142"/>
      <c r="L15" s="142"/>
      <c r="M15" s="142"/>
      <c r="N15" s="142"/>
    </row>
    <row r="16" spans="1:14" ht="20.25" x14ac:dyDescent="0.25">
      <c r="A16" s="142"/>
      <c r="B16" s="55">
        <v>2026</v>
      </c>
      <c r="C16" s="59">
        <v>10</v>
      </c>
      <c r="D16" s="141">
        <f>'Flujo neto de efectivo'!E14</f>
        <v>-29636.2955170887</v>
      </c>
      <c r="E16" s="142"/>
      <c r="F16" s="142"/>
      <c r="G16" s="142"/>
      <c r="H16" s="142"/>
      <c r="I16" s="142"/>
      <c r="J16" s="142"/>
      <c r="K16" s="142"/>
      <c r="L16" s="142"/>
      <c r="M16" s="142"/>
      <c r="N16" s="142"/>
    </row>
    <row r="17" spans="1:14" ht="20.25" x14ac:dyDescent="0.3">
      <c r="A17" s="142"/>
      <c r="B17" s="139" t="s">
        <v>51</v>
      </c>
      <c r="C17" s="173"/>
      <c r="D17" s="174">
        <f>IRR(D6:D16)</f>
        <v>0.56429422403593987</v>
      </c>
      <c r="E17" s="142"/>
      <c r="F17" s="142"/>
      <c r="G17" s="142"/>
      <c r="H17" s="142"/>
      <c r="I17" s="142"/>
      <c r="J17" s="142"/>
      <c r="K17" s="142"/>
      <c r="L17" s="142"/>
      <c r="M17" s="142"/>
      <c r="N17" s="142"/>
    </row>
    <row r="18" spans="1:14" x14ac:dyDescent="0.25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</row>
    <row r="19" spans="1:14" x14ac:dyDescent="0.25">
      <c r="A19" s="142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</row>
  </sheetData>
  <mergeCells count="1">
    <mergeCell ref="A1:M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M14" sqref="M14"/>
    </sheetView>
  </sheetViews>
  <sheetFormatPr baseColWidth="10" defaultRowHeight="15" x14ac:dyDescent="0.25"/>
  <cols>
    <col min="10" max="10" width="3.7109375" customWidth="1"/>
    <col min="11" max="11" width="12.5703125" bestFit="1" customWidth="1"/>
    <col min="12" max="12" width="3.7109375" customWidth="1"/>
    <col min="13" max="13" width="15.5703125" bestFit="1" customWidth="1"/>
    <col min="14" max="14" width="3.7109375" customWidth="1"/>
    <col min="15" max="15" width="11.28515625" customWidth="1"/>
    <col min="16" max="16" width="18.140625" bestFit="1" customWidth="1"/>
  </cols>
  <sheetData>
    <row r="1" spans="1:18" x14ac:dyDescent="0.25">
      <c r="A1" s="179" t="s">
        <v>80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46"/>
    </row>
    <row r="2" spans="1:18" x14ac:dyDescent="0.2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46"/>
    </row>
    <row r="3" spans="1:18" x14ac:dyDescent="0.2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</row>
    <row r="4" spans="1:18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ht="25.5" x14ac:dyDescent="0.35">
      <c r="A5" s="46"/>
      <c r="B5" s="193" t="s">
        <v>81</v>
      </c>
      <c r="C5" s="194"/>
      <c r="D5" s="194"/>
      <c r="E5" s="194"/>
      <c r="F5" s="194"/>
      <c r="G5" s="194"/>
      <c r="H5" s="194"/>
      <c r="I5" s="194"/>
      <c r="J5" s="158">
        <f>'Método 1'!H9</f>
        <v>1</v>
      </c>
      <c r="K5" s="158" t="s">
        <v>87</v>
      </c>
      <c r="L5" s="158">
        <f>'Método 1'!J9</f>
        <v>7</v>
      </c>
      <c r="M5" s="158" t="s">
        <v>88</v>
      </c>
      <c r="N5" s="158">
        <f>'Método 1'!L9</f>
        <v>2</v>
      </c>
      <c r="O5" s="158" t="s">
        <v>89</v>
      </c>
      <c r="P5" s="175" t="s">
        <v>90</v>
      </c>
      <c r="Q5" s="46"/>
      <c r="R5" s="46"/>
    </row>
    <row r="6" spans="1:18" ht="25.5" x14ac:dyDescent="0.35">
      <c r="A6" s="46"/>
      <c r="B6" s="195" t="s">
        <v>82</v>
      </c>
      <c r="C6" s="196"/>
      <c r="D6" s="196"/>
      <c r="E6" s="196"/>
      <c r="F6" s="196"/>
      <c r="G6" s="196"/>
      <c r="H6" s="196"/>
      <c r="I6" s="196"/>
      <c r="J6" s="157">
        <f>'Metodo 2'!H11</f>
        <v>3</v>
      </c>
      <c r="K6" s="157" t="s">
        <v>87</v>
      </c>
      <c r="L6" s="157">
        <f>'Metodo 2'!J11</f>
        <v>4</v>
      </c>
      <c r="M6" s="157" t="s">
        <v>88</v>
      </c>
      <c r="N6" s="157">
        <f>'Metodo 2'!L11</f>
        <v>0</v>
      </c>
      <c r="O6" s="157" t="s">
        <v>89</v>
      </c>
      <c r="P6" s="176" t="s">
        <v>90</v>
      </c>
      <c r="Q6" s="46"/>
      <c r="R6" s="46"/>
    </row>
    <row r="7" spans="1:18" ht="25.5" x14ac:dyDescent="0.35">
      <c r="A7" s="46"/>
      <c r="B7" s="193" t="s">
        <v>83</v>
      </c>
      <c r="C7" s="194"/>
      <c r="D7" s="194"/>
      <c r="E7" s="194"/>
      <c r="F7" s="194"/>
      <c r="G7" s="194"/>
      <c r="H7" s="194"/>
      <c r="I7" s="194"/>
      <c r="J7" s="199">
        <f>'Rendimiento anual promedio'!C18</f>
        <v>0.37973469028983442</v>
      </c>
      <c r="K7" s="199"/>
      <c r="L7" s="199"/>
      <c r="M7" s="199"/>
      <c r="N7" s="199"/>
      <c r="O7" s="199"/>
      <c r="P7" s="175" t="s">
        <v>90</v>
      </c>
      <c r="Q7" s="46"/>
      <c r="R7" s="46"/>
    </row>
    <row r="8" spans="1:18" ht="25.5" x14ac:dyDescent="0.35">
      <c r="A8" s="46"/>
      <c r="B8" s="195" t="s">
        <v>84</v>
      </c>
      <c r="C8" s="196"/>
      <c r="D8" s="196"/>
      <c r="E8" s="196"/>
      <c r="F8" s="196"/>
      <c r="G8" s="196"/>
      <c r="H8" s="196"/>
      <c r="I8" s="196"/>
      <c r="J8" s="200">
        <f>'Índice de rentabilidad'!C17</f>
        <v>1.1961063429552679</v>
      </c>
      <c r="K8" s="200"/>
      <c r="L8" s="200"/>
      <c r="M8" s="200"/>
      <c r="N8" s="200"/>
      <c r="O8" s="200"/>
      <c r="P8" s="160" t="str">
        <f>IF(J8&gt;1, "Aceptado", IF(J8&lt;1, "Rechazado", "Es indistinto"))</f>
        <v>Aceptado</v>
      </c>
      <c r="Q8" s="46"/>
      <c r="R8" s="46"/>
    </row>
    <row r="9" spans="1:18" ht="25.5" x14ac:dyDescent="0.35">
      <c r="A9" s="46"/>
      <c r="B9" s="193" t="s">
        <v>85</v>
      </c>
      <c r="C9" s="194"/>
      <c r="D9" s="194"/>
      <c r="E9" s="194"/>
      <c r="F9" s="194"/>
      <c r="G9" s="194"/>
      <c r="H9" s="194"/>
      <c r="I9" s="194"/>
      <c r="J9" s="201">
        <f>VPN!D17</f>
        <v>243442.35677205684</v>
      </c>
      <c r="K9" s="202"/>
      <c r="L9" s="202"/>
      <c r="M9" s="202"/>
      <c r="N9" s="202"/>
      <c r="O9" s="202"/>
      <c r="P9" s="161" t="str">
        <f>IF(J9&gt;0, "Aceptado", IF(J9&lt;0, "Rechazado", "Es indistinto"))</f>
        <v>Aceptado</v>
      </c>
      <c r="Q9" s="46"/>
      <c r="R9" s="46"/>
    </row>
    <row r="10" spans="1:18" ht="25.5" x14ac:dyDescent="0.35">
      <c r="A10" s="46"/>
      <c r="B10" s="197" t="s">
        <v>86</v>
      </c>
      <c r="C10" s="198"/>
      <c r="D10" s="198"/>
      <c r="E10" s="198"/>
      <c r="F10" s="198"/>
      <c r="G10" s="198"/>
      <c r="H10" s="198"/>
      <c r="I10" s="198"/>
      <c r="J10" s="203">
        <f>TIR!D17</f>
        <v>0.56429422403593987</v>
      </c>
      <c r="K10" s="203"/>
      <c r="L10" s="203"/>
      <c r="M10" s="203"/>
      <c r="N10" s="203"/>
      <c r="O10" s="203"/>
      <c r="P10" s="159" t="str">
        <f>IF(J10&gt;'Flujo neto de efectivo'!G8, "Aceptado", IF(J10&lt;'Flujo neto de efectivo'!G8, "Rechazado", "Es indistinto"))</f>
        <v>Aceptado</v>
      </c>
      <c r="Q10" s="46"/>
      <c r="R10" s="46"/>
    </row>
    <row r="11" spans="1:18" ht="25.5" x14ac:dyDescent="0.35">
      <c r="A11" s="46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46"/>
      <c r="M11" s="46"/>
      <c r="N11" s="46"/>
      <c r="O11" s="46"/>
      <c r="P11" s="46"/>
      <c r="Q11" s="46"/>
      <c r="R11" s="46"/>
    </row>
    <row r="12" spans="1:18" ht="25.5" x14ac:dyDescent="0.35">
      <c r="A12" s="46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46"/>
      <c r="M12" s="46"/>
      <c r="N12" s="46"/>
      <c r="O12" s="46"/>
      <c r="P12" s="46"/>
      <c r="Q12" s="46"/>
      <c r="R12" s="46"/>
    </row>
    <row r="13" spans="1:18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162"/>
      <c r="L13" s="46"/>
      <c r="M13" s="46"/>
      <c r="N13" s="46"/>
      <c r="O13" s="46"/>
      <c r="P13" s="46"/>
      <c r="Q13" s="46"/>
      <c r="R13" s="46"/>
    </row>
    <row r="14" spans="1:18" x14ac:dyDescent="0.25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</sheetData>
  <mergeCells count="11">
    <mergeCell ref="B10:I10"/>
    <mergeCell ref="J7:O7"/>
    <mergeCell ref="J8:O8"/>
    <mergeCell ref="J9:O9"/>
    <mergeCell ref="J10:O10"/>
    <mergeCell ref="B9:I9"/>
    <mergeCell ref="A1:Q3"/>
    <mergeCell ref="B5:I5"/>
    <mergeCell ref="B6:I6"/>
    <mergeCell ref="B7:I7"/>
    <mergeCell ref="B8:I8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90" zoomScaleNormal="90" workbookViewId="0">
      <selection activeCell="G23" sqref="G23"/>
    </sheetView>
  </sheetViews>
  <sheetFormatPr baseColWidth="10" defaultColWidth="11.42578125" defaultRowHeight="15" x14ac:dyDescent="0.25"/>
  <cols>
    <col min="1" max="1" width="13.7109375" style="30" customWidth="1"/>
    <col min="2" max="2" width="50.42578125" style="30" customWidth="1"/>
    <col min="3" max="3" width="21.140625" style="31" customWidth="1"/>
    <col min="4" max="4" width="28.85546875" style="30" customWidth="1"/>
    <col min="5" max="5" width="20.42578125" style="30" customWidth="1"/>
    <col min="6" max="6" width="9.140625" style="30" customWidth="1"/>
    <col min="7" max="7" width="24" style="30" customWidth="1"/>
    <col min="8" max="8" width="17.42578125" style="30" customWidth="1"/>
    <col min="9" max="9" width="11.42578125" style="30"/>
    <col min="10" max="10" width="12.7109375" style="30" bestFit="1" customWidth="1"/>
    <col min="11" max="16384" width="11.42578125" style="30"/>
  </cols>
  <sheetData>
    <row r="1" spans="1:12" x14ac:dyDescent="0.25">
      <c r="A1" s="179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</row>
    <row r="2" spans="1:12" x14ac:dyDescent="0.25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</row>
    <row r="3" spans="1:12" x14ac:dyDescent="0.25">
      <c r="A3" s="180"/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</row>
    <row r="4" spans="1:12" x14ac:dyDescent="0.25">
      <c r="A4" s="38"/>
      <c r="B4" s="38"/>
      <c r="C4" s="39"/>
      <c r="D4" s="38"/>
      <c r="E4" s="38"/>
      <c r="F4" s="38"/>
      <c r="G4" s="38"/>
      <c r="H4" s="38"/>
      <c r="I4" s="38"/>
      <c r="J4" s="40"/>
      <c r="K4" s="40"/>
      <c r="L4" s="40"/>
    </row>
    <row r="5" spans="1:12" ht="15.75" x14ac:dyDescent="0.25">
      <c r="A5" s="38"/>
      <c r="B5" s="181" t="s">
        <v>0</v>
      </c>
      <c r="C5" s="182"/>
      <c r="D5" s="183"/>
      <c r="E5" s="87"/>
      <c r="F5" s="38"/>
      <c r="G5" s="38"/>
      <c r="H5" s="38"/>
      <c r="I5" s="38"/>
      <c r="J5" s="40"/>
      <c r="K5" s="40"/>
      <c r="L5" s="40"/>
    </row>
    <row r="6" spans="1:12" ht="15.75" x14ac:dyDescent="0.25">
      <c r="A6" s="38"/>
      <c r="B6" s="88" t="s">
        <v>1</v>
      </c>
      <c r="C6" s="89" t="s">
        <v>2</v>
      </c>
      <c r="D6" s="88" t="s">
        <v>3</v>
      </c>
      <c r="E6" s="87"/>
      <c r="F6" s="38"/>
      <c r="G6" s="38"/>
      <c r="H6" s="38"/>
      <c r="I6" s="38"/>
      <c r="J6" s="38"/>
      <c r="K6" s="40"/>
      <c r="L6" s="40"/>
    </row>
    <row r="7" spans="1:12" ht="15.75" x14ac:dyDescent="0.25">
      <c r="A7" s="38"/>
      <c r="B7" s="88" t="s">
        <v>5</v>
      </c>
      <c r="C7" s="90">
        <v>120</v>
      </c>
      <c r="D7" s="91">
        <v>0.08</v>
      </c>
      <c r="E7" s="87"/>
      <c r="F7" s="41"/>
      <c r="G7" s="98" t="s">
        <v>4</v>
      </c>
      <c r="H7" s="99">
        <v>500000</v>
      </c>
      <c r="I7" s="38"/>
      <c r="J7" s="40"/>
      <c r="K7" s="40"/>
      <c r="L7" s="40"/>
    </row>
    <row r="8" spans="1:12" ht="15.75" x14ac:dyDescent="0.25">
      <c r="A8" s="38"/>
      <c r="B8" s="88" t="s">
        <v>7</v>
      </c>
      <c r="C8" s="90">
        <v>80</v>
      </c>
      <c r="D8" s="91">
        <v>0.08</v>
      </c>
      <c r="E8" s="87"/>
      <c r="F8" s="41"/>
      <c r="G8" s="98" t="s">
        <v>57</v>
      </c>
      <c r="H8" s="100">
        <v>0</v>
      </c>
      <c r="I8" s="38"/>
      <c r="J8" s="40"/>
      <c r="K8" s="40"/>
      <c r="L8" s="40"/>
    </row>
    <row r="9" spans="1:12" ht="15.75" x14ac:dyDescent="0.25">
      <c r="A9" s="38"/>
      <c r="B9" s="88" t="s">
        <v>9</v>
      </c>
      <c r="C9" s="90">
        <v>50</v>
      </c>
      <c r="D9" s="91">
        <v>0.08</v>
      </c>
      <c r="E9" s="87"/>
      <c r="F9" s="41"/>
      <c r="G9" s="98" t="s">
        <v>11</v>
      </c>
      <c r="H9" s="101">
        <v>30</v>
      </c>
      <c r="I9" s="38"/>
      <c r="J9" s="40"/>
      <c r="K9" s="40"/>
      <c r="L9" s="40"/>
    </row>
    <row r="10" spans="1:12" ht="15.75" x14ac:dyDescent="0.25">
      <c r="A10" s="38"/>
      <c r="B10" s="88" t="s">
        <v>10</v>
      </c>
      <c r="C10" s="90">
        <v>50</v>
      </c>
      <c r="D10" s="91">
        <v>0.08</v>
      </c>
      <c r="E10" s="87"/>
      <c r="F10" s="41"/>
      <c r="G10" s="102"/>
      <c r="H10" s="103"/>
      <c r="I10" s="38"/>
      <c r="J10" s="40"/>
      <c r="K10" s="40"/>
      <c r="L10" s="40"/>
    </row>
    <row r="11" spans="1:12" ht="15.75" x14ac:dyDescent="0.25">
      <c r="A11" s="38"/>
      <c r="B11" s="88" t="s">
        <v>12</v>
      </c>
      <c r="C11" s="90">
        <v>150000</v>
      </c>
      <c r="D11" s="91">
        <v>0.08</v>
      </c>
      <c r="E11" s="87"/>
      <c r="F11" s="41"/>
      <c r="G11" s="98" t="s">
        <v>6</v>
      </c>
      <c r="H11" s="99">
        <v>100000</v>
      </c>
      <c r="I11" s="38"/>
      <c r="J11" s="40"/>
      <c r="K11" s="40"/>
      <c r="L11" s="40"/>
    </row>
    <row r="12" spans="1:12" ht="15.75" x14ac:dyDescent="0.25">
      <c r="A12" s="38"/>
      <c r="B12" s="88" t="s">
        <v>13</v>
      </c>
      <c r="C12" s="90">
        <v>100</v>
      </c>
      <c r="D12" s="91">
        <v>0.05</v>
      </c>
      <c r="E12" s="87"/>
      <c r="F12" s="41"/>
      <c r="G12" s="98" t="s">
        <v>57</v>
      </c>
      <c r="H12" s="100">
        <v>0</v>
      </c>
      <c r="I12" s="38"/>
      <c r="J12" s="40"/>
      <c r="K12" s="40"/>
      <c r="L12" s="40"/>
    </row>
    <row r="13" spans="1:12" ht="15.75" x14ac:dyDescent="0.25">
      <c r="A13" s="38"/>
      <c r="B13" s="88" t="s">
        <v>58</v>
      </c>
      <c r="C13" s="90">
        <v>200</v>
      </c>
      <c r="D13" s="91">
        <v>0.05</v>
      </c>
      <c r="E13" s="87"/>
      <c r="F13" s="41"/>
      <c r="G13" s="98" t="s">
        <v>11</v>
      </c>
      <c r="H13" s="100">
        <v>0</v>
      </c>
      <c r="I13" s="38"/>
      <c r="J13" s="40"/>
      <c r="K13" s="40"/>
      <c r="L13" s="40"/>
    </row>
    <row r="14" spans="1:12" ht="15.75" x14ac:dyDescent="0.25">
      <c r="A14" s="38"/>
      <c r="B14" s="88" t="s">
        <v>15</v>
      </c>
      <c r="C14" s="90">
        <v>200000</v>
      </c>
      <c r="D14" s="92"/>
      <c r="E14" s="87"/>
      <c r="F14" s="41"/>
      <c r="G14" s="102"/>
      <c r="H14" s="103"/>
      <c r="I14" s="38"/>
      <c r="J14" s="40"/>
      <c r="K14" s="40"/>
      <c r="L14" s="40"/>
    </row>
    <row r="15" spans="1:12" ht="15.75" x14ac:dyDescent="0.25">
      <c r="A15" s="38"/>
      <c r="B15" s="87"/>
      <c r="C15" s="93"/>
      <c r="D15" s="87"/>
      <c r="E15" s="87"/>
      <c r="F15" s="41"/>
      <c r="G15" s="98" t="s">
        <v>8</v>
      </c>
      <c r="H15" s="99">
        <v>1000000</v>
      </c>
      <c r="I15" s="38"/>
      <c r="J15" s="40"/>
      <c r="K15" s="40"/>
      <c r="L15" s="40"/>
    </row>
    <row r="16" spans="1:12" ht="15.75" x14ac:dyDescent="0.25">
      <c r="A16" s="38"/>
      <c r="B16" s="181" t="s">
        <v>16</v>
      </c>
      <c r="C16" s="182"/>
      <c r="D16" s="182"/>
      <c r="E16" s="183"/>
      <c r="F16" s="41"/>
      <c r="G16" s="98" t="s">
        <v>57</v>
      </c>
      <c r="H16" s="99">
        <v>100000</v>
      </c>
      <c r="I16" s="38"/>
      <c r="J16" s="40"/>
      <c r="K16" s="40"/>
      <c r="L16" s="40"/>
    </row>
    <row r="17" spans="1:13" ht="15.75" x14ac:dyDescent="0.25">
      <c r="A17" s="38"/>
      <c r="B17" s="88" t="s">
        <v>17</v>
      </c>
      <c r="C17" s="88" t="s">
        <v>18</v>
      </c>
      <c r="D17" s="89" t="s">
        <v>19</v>
      </c>
      <c r="E17" s="88" t="s">
        <v>20</v>
      </c>
      <c r="F17" s="41"/>
      <c r="G17" s="98" t="s">
        <v>11</v>
      </c>
      <c r="H17" s="104">
        <v>5</v>
      </c>
      <c r="I17" s="38"/>
      <c r="J17" s="40"/>
      <c r="K17" s="40"/>
      <c r="L17" s="40"/>
    </row>
    <row r="18" spans="1:13" ht="15.75" x14ac:dyDescent="0.25">
      <c r="A18" s="38"/>
      <c r="B18" s="94">
        <v>0</v>
      </c>
      <c r="C18" s="95">
        <f>B19-1</f>
        <v>999</v>
      </c>
      <c r="D18" s="96">
        <v>0</v>
      </c>
      <c r="E18" s="97">
        <v>0.05</v>
      </c>
      <c r="F18" s="41"/>
      <c r="G18" s="102"/>
      <c r="H18" s="103"/>
      <c r="I18" s="40"/>
      <c r="J18" s="40"/>
      <c r="K18" s="40"/>
      <c r="L18" s="40"/>
    </row>
    <row r="19" spans="1:13" ht="15.75" x14ac:dyDescent="0.25">
      <c r="A19" s="38"/>
      <c r="B19" s="94">
        <v>1000</v>
      </c>
      <c r="C19" s="95">
        <f t="shared" ref="C19:C23" si="0">B20-1</f>
        <v>9999</v>
      </c>
      <c r="D19" s="96">
        <v>50</v>
      </c>
      <c r="E19" s="97">
        <v>0.1</v>
      </c>
      <c r="F19" s="41"/>
      <c r="G19" s="98" t="s">
        <v>22</v>
      </c>
      <c r="H19" s="104">
        <v>20000</v>
      </c>
      <c r="I19" s="40"/>
      <c r="J19" s="40"/>
      <c r="K19" s="40"/>
      <c r="L19" s="40"/>
    </row>
    <row r="20" spans="1:13" ht="15.75" x14ac:dyDescent="0.25">
      <c r="A20" s="38"/>
      <c r="B20" s="94">
        <v>10000</v>
      </c>
      <c r="C20" s="95">
        <f t="shared" si="0"/>
        <v>49999</v>
      </c>
      <c r="D20" s="96">
        <v>950</v>
      </c>
      <c r="E20" s="97">
        <v>0.15</v>
      </c>
      <c r="F20" s="41"/>
      <c r="G20" s="41"/>
      <c r="H20" s="41"/>
      <c r="I20" s="40"/>
      <c r="J20" s="40"/>
      <c r="K20" s="40"/>
      <c r="L20" s="40"/>
    </row>
    <row r="21" spans="1:13" ht="15.75" x14ac:dyDescent="0.25">
      <c r="A21" s="38"/>
      <c r="B21" s="94">
        <v>50000</v>
      </c>
      <c r="C21" s="95">
        <f t="shared" si="0"/>
        <v>99999</v>
      </c>
      <c r="D21" s="96">
        <v>6950</v>
      </c>
      <c r="E21" s="97">
        <v>0.2</v>
      </c>
      <c r="F21" s="41"/>
      <c r="G21" s="41"/>
      <c r="H21" s="41"/>
      <c r="I21" s="40"/>
      <c r="J21" s="40"/>
      <c r="K21" s="38"/>
      <c r="L21" s="38"/>
    </row>
    <row r="22" spans="1:13" ht="15.75" x14ac:dyDescent="0.25">
      <c r="A22" s="40"/>
      <c r="B22" s="94">
        <v>100000</v>
      </c>
      <c r="C22" s="95">
        <f t="shared" si="0"/>
        <v>499999</v>
      </c>
      <c r="D22" s="96">
        <v>16950</v>
      </c>
      <c r="E22" s="97">
        <v>0.25</v>
      </c>
      <c r="F22" s="41"/>
      <c r="G22" s="41"/>
      <c r="H22" s="41"/>
      <c r="I22" s="40"/>
      <c r="J22" s="40"/>
      <c r="K22" s="38"/>
      <c r="L22" s="38"/>
    </row>
    <row r="23" spans="1:13" ht="15.75" customHeight="1" x14ac:dyDescent="0.25">
      <c r="A23" s="38"/>
      <c r="B23" s="94">
        <v>500000</v>
      </c>
      <c r="C23" s="95">
        <f t="shared" si="0"/>
        <v>999999</v>
      </c>
      <c r="D23" s="96">
        <v>116949</v>
      </c>
      <c r="E23" s="97">
        <v>0.3</v>
      </c>
      <c r="F23" s="41"/>
      <c r="G23" s="41"/>
      <c r="H23" s="41"/>
      <c r="I23" s="40"/>
      <c r="J23" s="40"/>
      <c r="K23" s="38"/>
      <c r="L23" s="38"/>
    </row>
    <row r="24" spans="1:13" ht="15.75" x14ac:dyDescent="0.25">
      <c r="A24" s="38"/>
      <c r="B24" s="94">
        <v>1000000</v>
      </c>
      <c r="C24" s="95"/>
      <c r="D24" s="96">
        <v>266949</v>
      </c>
      <c r="E24" s="97">
        <v>0.35</v>
      </c>
      <c r="F24" s="42"/>
      <c r="G24" s="42"/>
      <c r="H24" s="42"/>
      <c r="I24" s="40"/>
      <c r="J24" s="40"/>
      <c r="K24" s="38"/>
      <c r="L24" s="38"/>
    </row>
    <row r="25" spans="1:13" x14ac:dyDescent="0.25">
      <c r="A25" s="38"/>
      <c r="B25" s="38"/>
      <c r="C25" s="39"/>
      <c r="D25" s="38"/>
      <c r="E25" s="38"/>
      <c r="F25" s="43"/>
      <c r="G25" s="42"/>
      <c r="H25" s="42"/>
      <c r="I25" s="40"/>
      <c r="J25" s="40"/>
      <c r="K25" s="38"/>
      <c r="L25" s="38"/>
    </row>
    <row r="26" spans="1:13" x14ac:dyDescent="0.25">
      <c r="A26" s="38"/>
      <c r="B26" s="38"/>
      <c r="C26" s="39"/>
      <c r="D26" s="38"/>
      <c r="E26" s="38"/>
      <c r="F26" s="42"/>
      <c r="G26" s="42"/>
      <c r="H26" s="42"/>
      <c r="I26" s="40"/>
      <c r="J26" s="40"/>
      <c r="K26" s="38"/>
      <c r="L26" s="38"/>
    </row>
    <row r="27" spans="1:13" x14ac:dyDescent="0.25">
      <c r="A27" s="38"/>
      <c r="B27" s="38"/>
      <c r="C27" s="39"/>
      <c r="D27" s="38"/>
      <c r="E27" s="38"/>
      <c r="F27" s="38"/>
      <c r="G27" s="38"/>
      <c r="H27" s="38"/>
      <c r="I27" s="40"/>
      <c r="J27" s="40"/>
      <c r="K27" s="38"/>
      <c r="L27" s="38"/>
    </row>
    <row r="28" spans="1:13" x14ac:dyDescent="0.25">
      <c r="A28" s="38"/>
      <c r="B28" s="38"/>
      <c r="C28" s="39"/>
      <c r="D28" s="38"/>
      <c r="E28" s="38"/>
      <c r="F28" s="38"/>
      <c r="G28" s="38"/>
      <c r="H28" s="38"/>
      <c r="I28" s="40"/>
      <c r="J28" s="40"/>
      <c r="K28" s="38"/>
      <c r="L28" s="38"/>
    </row>
    <row r="29" spans="1:13" x14ac:dyDescent="0.25">
      <c r="A29" s="38"/>
      <c r="B29" s="38"/>
      <c r="C29" s="39"/>
      <c r="D29" s="38"/>
      <c r="E29" s="38"/>
      <c r="F29" s="38"/>
      <c r="G29" s="38"/>
      <c r="H29" s="38"/>
      <c r="I29" s="40"/>
      <c r="J29" s="38"/>
      <c r="K29" s="38"/>
      <c r="L29" s="38"/>
      <c r="M29" s="38"/>
    </row>
    <row r="30" spans="1:13" x14ac:dyDescent="0.25">
      <c r="A30" s="38"/>
      <c r="B30" s="38"/>
      <c r="C30" s="39"/>
      <c r="D30" s="38"/>
      <c r="E30" s="38"/>
      <c r="F30" s="38"/>
      <c r="G30" s="38"/>
      <c r="H30" s="38"/>
      <c r="I30" s="40"/>
      <c r="J30" s="38"/>
      <c r="K30" s="38"/>
      <c r="L30" s="38"/>
      <c r="M30" s="38"/>
    </row>
    <row r="31" spans="1:13" x14ac:dyDescent="0.25">
      <c r="A31" s="38"/>
      <c r="B31" s="38"/>
      <c r="C31" s="39"/>
      <c r="D31" s="38"/>
      <c r="E31" s="38"/>
      <c r="F31" s="38"/>
      <c r="G31" s="38"/>
      <c r="H31" s="38"/>
      <c r="I31" s="40"/>
      <c r="J31" s="38"/>
      <c r="K31" s="38"/>
      <c r="L31" s="38"/>
      <c r="M31" s="38"/>
    </row>
    <row r="32" spans="1:13" x14ac:dyDescent="0.25">
      <c r="A32" s="40"/>
      <c r="B32" s="40"/>
      <c r="C32" s="152"/>
      <c r="D32" s="40"/>
      <c r="E32" s="40"/>
      <c r="F32" s="40"/>
      <c r="G32" s="40"/>
      <c r="H32" s="40"/>
      <c r="I32" s="40"/>
      <c r="J32" s="38"/>
      <c r="K32" s="38"/>
      <c r="L32" s="38"/>
      <c r="M32" s="38"/>
    </row>
    <row r="33" spans="1:13" x14ac:dyDescent="0.25">
      <c r="A33" s="40"/>
      <c r="B33" s="40"/>
      <c r="C33" s="152"/>
      <c r="D33" s="40"/>
      <c r="E33" s="40"/>
      <c r="F33" s="40"/>
      <c r="G33" s="40"/>
      <c r="H33" s="40"/>
      <c r="I33" s="40"/>
      <c r="J33" s="38"/>
      <c r="K33" s="38"/>
      <c r="L33" s="38"/>
      <c r="M33" s="38"/>
    </row>
    <row r="34" spans="1:13" x14ac:dyDescent="0.25">
      <c r="A34" s="40"/>
      <c r="B34" s="40"/>
      <c r="C34" s="152"/>
      <c r="D34" s="40"/>
      <c r="E34" s="40"/>
      <c r="F34" s="40"/>
      <c r="G34" s="40"/>
      <c r="H34" s="40"/>
      <c r="I34" s="40"/>
      <c r="J34" s="38"/>
      <c r="K34" s="38"/>
      <c r="L34" s="38"/>
      <c r="M34" s="38"/>
    </row>
    <row r="35" spans="1:13" x14ac:dyDescent="0.25">
      <c r="A35" s="38"/>
      <c r="B35" s="38"/>
      <c r="C35" s="39"/>
      <c r="D35" s="38"/>
      <c r="E35" s="38"/>
      <c r="F35" s="38"/>
      <c r="G35" s="38"/>
      <c r="H35" s="38"/>
      <c r="I35" s="38"/>
      <c r="J35" s="38"/>
      <c r="K35" s="38"/>
      <c r="L35" s="38"/>
      <c r="M35" s="38"/>
    </row>
    <row r="36" spans="1:13" x14ac:dyDescent="0.25">
      <c r="A36" s="38"/>
      <c r="B36" s="38"/>
      <c r="C36" s="39"/>
      <c r="D36" s="38"/>
      <c r="E36" s="38"/>
      <c r="F36" s="38"/>
      <c r="G36" s="38"/>
      <c r="H36" s="38"/>
      <c r="I36" s="38"/>
      <c r="J36" s="38"/>
      <c r="K36" s="38"/>
      <c r="L36" s="38"/>
      <c r="M36" s="38"/>
    </row>
    <row r="37" spans="1:13" x14ac:dyDescent="0.25">
      <c r="A37" s="38"/>
      <c r="B37" s="38"/>
      <c r="C37" s="39"/>
      <c r="D37" s="38"/>
      <c r="E37" s="38"/>
      <c r="F37" s="38"/>
      <c r="G37" s="38"/>
      <c r="H37" s="38"/>
      <c r="I37" s="38"/>
      <c r="J37" s="38"/>
      <c r="K37" s="38"/>
      <c r="L37" s="38"/>
      <c r="M37" s="38"/>
    </row>
    <row r="38" spans="1:13" x14ac:dyDescent="0.25">
      <c r="A38" s="38"/>
      <c r="B38" s="38"/>
      <c r="C38" s="39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3" x14ac:dyDescent="0.25">
      <c r="A39" s="38"/>
      <c r="B39" s="38"/>
      <c r="C39" s="39"/>
      <c r="D39" s="38"/>
      <c r="E39" s="38"/>
      <c r="F39" s="38"/>
      <c r="G39" s="38"/>
      <c r="H39" s="38"/>
      <c r="I39" s="38"/>
      <c r="J39" s="38"/>
      <c r="K39" s="38"/>
      <c r="L39" s="38"/>
      <c r="M39" s="38"/>
    </row>
    <row r="40" spans="1:13" x14ac:dyDescent="0.25">
      <c r="A40" s="38"/>
      <c r="B40" s="38"/>
      <c r="C40" s="39"/>
      <c r="D40" s="38"/>
      <c r="E40" s="38"/>
      <c r="F40" s="38"/>
      <c r="G40" s="38"/>
      <c r="H40" s="38"/>
      <c r="I40" s="38"/>
      <c r="J40" s="38"/>
      <c r="K40" s="38"/>
      <c r="L40" s="38"/>
      <c r="M40" s="38"/>
    </row>
    <row r="41" spans="1:13" x14ac:dyDescent="0.25">
      <c r="A41" s="38"/>
      <c r="B41" s="38"/>
      <c r="C41" s="39"/>
      <c r="D41" s="38"/>
      <c r="E41" s="38"/>
      <c r="F41" s="38"/>
      <c r="G41" s="38"/>
      <c r="H41" s="38"/>
      <c r="I41" s="38"/>
      <c r="J41" s="38"/>
      <c r="K41" s="38"/>
      <c r="L41" s="38"/>
      <c r="M41" s="38"/>
    </row>
    <row r="42" spans="1:13" x14ac:dyDescent="0.25">
      <c r="A42" s="38"/>
      <c r="B42" s="38"/>
      <c r="C42" s="39"/>
      <c r="D42" s="38"/>
      <c r="E42" s="38"/>
      <c r="F42" s="38"/>
      <c r="G42" s="38"/>
      <c r="H42" s="38"/>
      <c r="I42" s="38"/>
      <c r="J42" s="38"/>
      <c r="K42" s="38"/>
      <c r="L42" s="38"/>
      <c r="M42" s="38"/>
    </row>
    <row r="43" spans="1:13" x14ac:dyDescent="0.25">
      <c r="A43" s="38"/>
      <c r="B43" s="38"/>
      <c r="C43" s="39"/>
      <c r="D43" s="38"/>
      <c r="E43" s="38"/>
      <c r="F43" s="38"/>
      <c r="G43" s="38"/>
      <c r="H43" s="38"/>
      <c r="I43" s="38"/>
      <c r="J43" s="38"/>
      <c r="K43" s="38"/>
      <c r="L43" s="38"/>
      <c r="M43" s="38"/>
    </row>
    <row r="44" spans="1:13" x14ac:dyDescent="0.25">
      <c r="A44" s="38"/>
      <c r="B44" s="38"/>
      <c r="C44" s="39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spans="1:13" x14ac:dyDescent="0.25">
      <c r="A45" s="153"/>
      <c r="B45" s="153"/>
      <c r="C45" s="154"/>
      <c r="D45" s="153"/>
      <c r="E45" s="153"/>
      <c r="F45" s="153"/>
      <c r="G45" s="153"/>
      <c r="H45" s="153"/>
      <c r="I45" s="38"/>
      <c r="J45" s="38"/>
      <c r="K45" s="38"/>
      <c r="L45" s="38"/>
      <c r="M45" s="38"/>
    </row>
    <row r="46" spans="1:13" x14ac:dyDescent="0.25">
      <c r="A46" s="153"/>
      <c r="B46" s="153"/>
      <c r="C46" s="154"/>
      <c r="D46" s="153"/>
      <c r="E46" s="153"/>
      <c r="F46" s="155">
        <f>(H7-H8)/H9</f>
        <v>16666.666666666668</v>
      </c>
      <c r="G46" s="178" t="s">
        <v>62</v>
      </c>
      <c r="H46" s="153"/>
      <c r="I46" s="38"/>
      <c r="J46" s="38"/>
      <c r="K46" s="38"/>
      <c r="L46" s="38"/>
      <c r="M46" s="38"/>
    </row>
    <row r="47" spans="1:13" x14ac:dyDescent="0.25">
      <c r="A47" s="153"/>
      <c r="B47" s="153"/>
      <c r="C47" s="154"/>
      <c r="D47" s="153"/>
      <c r="E47" s="153"/>
      <c r="F47" s="155">
        <f>(H15-H16)/H17</f>
        <v>180000</v>
      </c>
      <c r="G47" s="178"/>
      <c r="H47" s="153"/>
      <c r="I47" s="38"/>
      <c r="J47" s="38"/>
      <c r="K47" s="38"/>
      <c r="L47" s="38"/>
      <c r="M47" s="38"/>
    </row>
    <row r="48" spans="1:13" x14ac:dyDescent="0.25">
      <c r="A48" s="153"/>
      <c r="B48" s="153"/>
      <c r="C48" s="154"/>
      <c r="D48" s="153"/>
      <c r="E48" s="153"/>
      <c r="F48" s="155">
        <f>SUM(F46:F47)</f>
        <v>196666.66666666666</v>
      </c>
      <c r="G48" s="178"/>
      <c r="H48" s="153"/>
      <c r="I48" s="38"/>
      <c r="J48" s="38"/>
      <c r="K48" s="38"/>
      <c r="L48" s="38"/>
      <c r="M48" s="38"/>
    </row>
    <row r="49" spans="1:8" x14ac:dyDescent="0.25">
      <c r="A49" s="35"/>
      <c r="B49" s="35"/>
      <c r="C49" s="36"/>
      <c r="D49" s="35"/>
      <c r="E49" s="35"/>
      <c r="F49" s="35"/>
      <c r="G49" s="35"/>
      <c r="H49" s="35"/>
    </row>
    <row r="50" spans="1:8" x14ac:dyDescent="0.25">
      <c r="A50" s="36">
        <f>((C7+C8+C9+C10)*'Pronostico de ventas'!H6)+C11</f>
        <v>6150000</v>
      </c>
      <c r="B50" s="37">
        <f>((C7*(1+D7)+C8*(1+D8)+C9*(1+D9)+C10*(1+D10))*'Pronostico de ventas'!H7)+C11*(1+D11)</f>
        <v>6966000</v>
      </c>
      <c r="C50" s="37">
        <f>((C7*(1+D7)^2+C8*(1+D8)^2+C9*(1+D9)^2+C10*(1+D10)^2)*'Pronostico de ventas'!H8)+C11*(1+D11)^2</f>
        <v>7890696</v>
      </c>
      <c r="D50" s="37">
        <f>((C7*(1+D7)^3+C8*(1+D8)^3+C9*(1+D9)^3+C10*(1+D10)^3)*'Pronostico de ventas'!H9)+C11*(1+D11)^3</f>
        <v>8938601.4240000006</v>
      </c>
      <c r="E50" s="37">
        <f>((C7*(1+D7)^4+C8*(1+D8)^4+C9*(1+D9)^4+C10*(1+D10)^4)*'Pronostico de ventas'!H10)+C11*(1+D11)^4</f>
        <v>10126170.347616002</v>
      </c>
      <c r="F50" s="37">
        <f>((C7*(1+D7)^5+C8*(1+D8)^5+C9*(1+D9)^5+C10*(1+D10)^5)*'Pronostico de ventas'!H11)+C11*(1+D11)^5</f>
        <v>11472057.213620545</v>
      </c>
      <c r="G50" s="37">
        <f>((C7*(1+D7)^6+C8*(1+D8)^6+C9*(1+D9)^6+C10*(1+D10)^6)*'Pronostico de ventas'!H12)+C11*(1+D11)^6</f>
        <v>12997411.322823623</v>
      </c>
      <c r="H50" s="184" t="s">
        <v>59</v>
      </c>
    </row>
    <row r="51" spans="1:8" x14ac:dyDescent="0.25">
      <c r="A51" s="37">
        <f>((C7*(1+D7)^7+C8*(1+D8)^7+C9*(1+D9)^7+C10*(1+D10)^7)*'Pronostico de ventas'!H13)+C11*(1+D11)^7</f>
        <v>14726210.758066142</v>
      </c>
      <c r="B51" s="37">
        <f>((C7*(1+D7)^8+C8*(1+D8)^8+C9*(1+D9)^8+C10*(1+D10)^8)*'Pronostico de ventas'!H14)+C11*(1+D11)^8</f>
        <v>16685641.02306989</v>
      </c>
      <c r="C51" s="37">
        <f>((C7*(1+D7)^9+C8*(1+D8)^9+C9*(1+D9)^9+C10*(1+D10)^9)*'Pronostico de ventas'!H15)+C11*(1+D11)^9</f>
        <v>18906524.385457978</v>
      </c>
      <c r="D51" s="35"/>
      <c r="E51" s="35"/>
      <c r="F51" s="35"/>
      <c r="G51" s="35"/>
      <c r="H51" s="184"/>
    </row>
    <row r="52" spans="1:8" x14ac:dyDescent="0.25">
      <c r="A52" s="35"/>
      <c r="B52" s="35"/>
      <c r="C52" s="36"/>
      <c r="D52" s="35"/>
      <c r="E52" s="35"/>
      <c r="F52" s="35"/>
      <c r="G52" s="35"/>
      <c r="H52" s="35"/>
    </row>
    <row r="53" spans="1:8" x14ac:dyDescent="0.25">
      <c r="A53" s="36">
        <f>((C12)*'Pronostico de ventas'!H6)</f>
        <v>2000000</v>
      </c>
      <c r="B53" s="36">
        <f>((C12*(1+D12))*'Pronostico de ventas'!H7)</f>
        <v>2205000</v>
      </c>
      <c r="C53" s="36">
        <f>((C12*(1+D12)^2)*'Pronostico de ventas'!H8)</f>
        <v>2431012.5</v>
      </c>
      <c r="D53" s="36">
        <f>((C12*(1+D12)^3)*'Pronostico de ventas'!H9)</f>
        <v>2680191.2812500005</v>
      </c>
      <c r="E53" s="36">
        <f>((C12*(1+D12)^4)*'Pronostico de ventas'!H10)</f>
        <v>2954910.8875781251</v>
      </c>
      <c r="F53" s="36">
        <f>((C12*(1+D12)^5)*'Pronostico de ventas'!H11)</f>
        <v>3257789.2535548834</v>
      </c>
      <c r="G53" s="36">
        <f>((C12*(1+D12)^6)*'Pronostico de ventas'!H12)</f>
        <v>3591712.6520442585</v>
      </c>
      <c r="H53" s="184" t="s">
        <v>60</v>
      </c>
    </row>
    <row r="54" spans="1:8" x14ac:dyDescent="0.25">
      <c r="A54" s="36">
        <f>((C12*(1+D12)^7)*'Pronostico de ventas'!H13)</f>
        <v>3959863.1988787958</v>
      </c>
      <c r="B54" s="36">
        <f>((C12*(1+D12)^8)*'Pronostico de ventas'!H14)</f>
        <v>4365749.1767638717</v>
      </c>
      <c r="C54" s="36">
        <f>((C12*(1+D12)^9)*'Pronostico de ventas'!H15)</f>
        <v>4813238.4673821693</v>
      </c>
      <c r="D54" s="35"/>
      <c r="E54" s="35"/>
      <c r="F54" s="35"/>
      <c r="G54" s="35"/>
      <c r="H54" s="184"/>
    </row>
    <row r="55" spans="1:8" x14ac:dyDescent="0.25">
      <c r="A55" s="35"/>
      <c r="B55" s="35"/>
      <c r="C55" s="36"/>
      <c r="D55" s="35"/>
      <c r="E55" s="35"/>
      <c r="F55" s="35"/>
      <c r="G55" s="35"/>
      <c r="H55" s="35"/>
    </row>
    <row r="56" spans="1:8" x14ac:dyDescent="0.25">
      <c r="A56" s="36">
        <f>C13*'Pronostico de ventas'!H6</f>
        <v>4000000</v>
      </c>
      <c r="B56" s="36">
        <f>(C13*(1+D13)*'Pronostico de ventas'!H7)</f>
        <v>4410000</v>
      </c>
      <c r="C56" s="36">
        <f>(C13*(1+D13)^2)*'Pronostico de ventas'!H8</f>
        <v>4862025</v>
      </c>
      <c r="D56" s="36">
        <f>(C13*(1+D13)^3)*'Pronostico de ventas'!H9</f>
        <v>5360382.5625000009</v>
      </c>
      <c r="E56" s="36">
        <f>(C13*(1+D13)^4)*'Pronostico de ventas'!H10</f>
        <v>5909821.7751562502</v>
      </c>
      <c r="F56" s="36">
        <f>(C13*(1+D13)^5)*'Pronostico de ventas'!H11</f>
        <v>6515578.5071097668</v>
      </c>
      <c r="G56" s="36">
        <f>(C13*(1+D13)^6)*'Pronostico de ventas'!H12</f>
        <v>7183425.3040885171</v>
      </c>
      <c r="H56" s="177" t="s">
        <v>61</v>
      </c>
    </row>
    <row r="57" spans="1:8" x14ac:dyDescent="0.25">
      <c r="A57" s="36">
        <f>(C13*(1+D13)^7)*'Pronostico de ventas'!H13</f>
        <v>7919726.3977575917</v>
      </c>
      <c r="B57" s="36">
        <f>(C13*(1+D13)^8)*'Pronostico de ventas'!H14</f>
        <v>8731498.3535277434</v>
      </c>
      <c r="C57" s="36">
        <f>(C13*(1+D13)^9)*'Pronostico de ventas'!H15</f>
        <v>9626476.9347643387</v>
      </c>
      <c r="D57" s="35"/>
      <c r="E57" s="35"/>
      <c r="F57" s="35"/>
      <c r="G57" s="35"/>
      <c r="H57" s="177"/>
    </row>
    <row r="58" spans="1:8" x14ac:dyDescent="0.25">
      <c r="A58" s="32"/>
      <c r="B58" s="32"/>
      <c r="C58" s="33"/>
      <c r="D58" s="32"/>
      <c r="E58" s="32"/>
      <c r="F58" s="32"/>
      <c r="G58" s="32"/>
      <c r="H58" s="32"/>
    </row>
  </sheetData>
  <mergeCells count="7">
    <mergeCell ref="H56:H57"/>
    <mergeCell ref="G46:G48"/>
    <mergeCell ref="A1:L3"/>
    <mergeCell ref="B5:D5"/>
    <mergeCell ref="B16:E16"/>
    <mergeCell ref="H50:H51"/>
    <mergeCell ref="H53:H54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H7" sqref="H7"/>
    </sheetView>
  </sheetViews>
  <sheetFormatPr baseColWidth="10" defaultColWidth="11.42578125" defaultRowHeight="15" x14ac:dyDescent="0.25"/>
  <cols>
    <col min="1" max="1" width="6.7109375" style="2" customWidth="1"/>
    <col min="2" max="2" width="10.140625" style="3" bestFit="1" customWidth="1"/>
    <col min="3" max="3" width="10.140625" customWidth="1"/>
    <col min="4" max="4" width="7.28515625" customWidth="1"/>
    <col min="5" max="5" width="14.28515625" customWidth="1"/>
    <col min="6" max="7" width="10.140625" customWidth="1"/>
    <col min="8" max="8" width="24.5703125" customWidth="1"/>
    <col min="9" max="9" width="45.5703125" bestFit="1" customWidth="1"/>
  </cols>
  <sheetData>
    <row r="1" spans="1:15" x14ac:dyDescent="0.25">
      <c r="A1" s="185" t="s">
        <v>69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</row>
    <row r="2" spans="1:15" x14ac:dyDescent="0.25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1:15" x14ac:dyDescent="0.25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5" x14ac:dyDescent="0.25">
      <c r="A4" s="44"/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15" ht="26.25" x14ac:dyDescent="0.4">
      <c r="A5" s="111"/>
      <c r="B5" s="112"/>
      <c r="C5" s="46"/>
      <c r="D5" s="46"/>
      <c r="E5" s="46"/>
      <c r="F5" s="46"/>
      <c r="G5" s="110" t="s">
        <v>21</v>
      </c>
      <c r="H5" s="105" t="s">
        <v>22</v>
      </c>
      <c r="I5" s="106" t="s">
        <v>23</v>
      </c>
      <c r="J5" s="46"/>
      <c r="K5" s="46"/>
      <c r="L5" s="46"/>
      <c r="M5" s="46"/>
      <c r="N5" s="46"/>
      <c r="O5" s="46"/>
    </row>
    <row r="6" spans="1:15" ht="25.5" x14ac:dyDescent="0.35">
      <c r="A6" s="111"/>
      <c r="B6" s="113"/>
      <c r="C6" s="46"/>
      <c r="D6" s="46"/>
      <c r="E6" s="46"/>
      <c r="F6" s="46"/>
      <c r="G6" s="114">
        <v>2017</v>
      </c>
      <c r="H6" s="107">
        <f>Datos!H19</f>
        <v>20000</v>
      </c>
      <c r="I6" s="108">
        <v>800</v>
      </c>
      <c r="J6" s="46"/>
      <c r="K6" s="46"/>
      <c r="L6" s="46"/>
      <c r="M6" s="46"/>
      <c r="N6" s="46"/>
      <c r="O6" s="46"/>
    </row>
    <row r="7" spans="1:15" ht="25.5" x14ac:dyDescent="0.35">
      <c r="A7" s="111"/>
      <c r="B7" s="112"/>
      <c r="C7" s="46"/>
      <c r="D7" s="46"/>
      <c r="E7" s="46"/>
      <c r="F7" s="46"/>
      <c r="G7" s="114">
        <v>2018</v>
      </c>
      <c r="H7" s="107">
        <f>H6*(1+Datos!D13)</f>
        <v>21000</v>
      </c>
      <c r="I7" s="108">
        <f>I6*(1+Datos!D13)</f>
        <v>840</v>
      </c>
      <c r="J7" s="46"/>
      <c r="K7" s="46"/>
      <c r="L7" s="46"/>
      <c r="M7" s="46"/>
      <c r="N7" s="46"/>
      <c r="O7" s="46"/>
    </row>
    <row r="8" spans="1:15" ht="25.5" x14ac:dyDescent="0.35">
      <c r="A8" s="111"/>
      <c r="B8" s="112"/>
      <c r="C8" s="46"/>
      <c r="D8" s="46"/>
      <c r="E8" s="46"/>
      <c r="F8" s="46"/>
      <c r="G8" s="114">
        <v>2019</v>
      </c>
      <c r="H8" s="107">
        <f>H7*(1+Datos!D13)</f>
        <v>22050</v>
      </c>
      <c r="I8" s="108">
        <f>I7*(1+Datos!D13)</f>
        <v>882</v>
      </c>
      <c r="J8" s="46"/>
      <c r="K8" s="46"/>
      <c r="L8" s="46"/>
      <c r="M8" s="46"/>
      <c r="N8" s="46"/>
      <c r="O8" s="46"/>
    </row>
    <row r="9" spans="1:15" ht="25.5" x14ac:dyDescent="0.35">
      <c r="A9" s="111"/>
      <c r="B9" s="112"/>
      <c r="C9" s="46"/>
      <c r="D9" s="46"/>
      <c r="E9" s="46"/>
      <c r="F9" s="46"/>
      <c r="G9" s="114">
        <v>2020</v>
      </c>
      <c r="H9" s="107">
        <f>H8*(1+Datos!D13)</f>
        <v>23152.5</v>
      </c>
      <c r="I9" s="108">
        <f>I8*(1+Datos!D13)</f>
        <v>926.1</v>
      </c>
      <c r="J9" s="46"/>
      <c r="K9" s="46"/>
      <c r="L9" s="46"/>
      <c r="M9" s="46"/>
      <c r="N9" s="46"/>
      <c r="O9" s="46"/>
    </row>
    <row r="10" spans="1:15" ht="25.5" x14ac:dyDescent="0.35">
      <c r="A10" s="111"/>
      <c r="B10" s="112"/>
      <c r="C10" s="46"/>
      <c r="D10" s="46"/>
      <c r="E10" s="46"/>
      <c r="F10" s="46"/>
      <c r="G10" s="114">
        <v>2021</v>
      </c>
      <c r="H10" s="107">
        <f>H9*(1+Datos!D13)</f>
        <v>24310.125</v>
      </c>
      <c r="I10" s="108">
        <f>I9*(1+Datos!D13)</f>
        <v>972.40500000000009</v>
      </c>
      <c r="J10" s="46"/>
      <c r="K10" s="46"/>
      <c r="L10" s="46"/>
      <c r="M10" s="46"/>
      <c r="N10" s="46"/>
      <c r="O10" s="46"/>
    </row>
    <row r="11" spans="1:15" ht="25.5" x14ac:dyDescent="0.35">
      <c r="A11" s="111"/>
      <c r="B11" s="112"/>
      <c r="C11" s="46"/>
      <c r="D11" s="46"/>
      <c r="E11" s="46"/>
      <c r="F11" s="46"/>
      <c r="G11" s="114">
        <v>2022</v>
      </c>
      <c r="H11" s="107">
        <f>H10*(1+Datos!D13)</f>
        <v>25525.631250000002</v>
      </c>
      <c r="I11" s="108">
        <f>I10*(1+Datos!D13)</f>
        <v>1021.0252500000001</v>
      </c>
      <c r="J11" s="46"/>
      <c r="K11" s="46"/>
      <c r="L11" s="46"/>
      <c r="M11" s="46"/>
      <c r="N11" s="46"/>
      <c r="O11" s="46"/>
    </row>
    <row r="12" spans="1:15" ht="25.5" x14ac:dyDescent="0.35">
      <c r="A12" s="111"/>
      <c r="B12" s="112"/>
      <c r="C12" s="46"/>
      <c r="D12" s="46"/>
      <c r="E12" s="46"/>
      <c r="F12" s="46"/>
      <c r="G12" s="114">
        <v>2023</v>
      </c>
      <c r="H12" s="107">
        <f>H11*(1+Datos!D13)</f>
        <v>26801.912812500002</v>
      </c>
      <c r="I12" s="108">
        <f>I11*(1+Datos!D13)</f>
        <v>1072.0765125000003</v>
      </c>
      <c r="J12" s="46"/>
      <c r="K12" s="46"/>
      <c r="L12" s="46"/>
      <c r="M12" s="46"/>
      <c r="N12" s="46"/>
      <c r="O12" s="46"/>
    </row>
    <row r="13" spans="1:15" ht="25.5" x14ac:dyDescent="0.35">
      <c r="A13" s="111"/>
      <c r="B13" s="112"/>
      <c r="C13" s="46"/>
      <c r="D13" s="46"/>
      <c r="E13" s="46"/>
      <c r="F13" s="46"/>
      <c r="G13" s="114">
        <v>2024</v>
      </c>
      <c r="H13" s="107">
        <f>H12*(1+Datos!D13)</f>
        <v>28142.008453125003</v>
      </c>
      <c r="I13" s="108">
        <f>I12*(1+Datos!D13)</f>
        <v>1125.6803381250004</v>
      </c>
      <c r="J13" s="46"/>
      <c r="K13" s="46"/>
      <c r="L13" s="46"/>
      <c r="M13" s="46"/>
      <c r="N13" s="46"/>
      <c r="O13" s="46"/>
    </row>
    <row r="14" spans="1:15" ht="25.5" x14ac:dyDescent="0.35">
      <c r="A14" s="111"/>
      <c r="B14" s="112"/>
      <c r="C14" s="46"/>
      <c r="D14" s="46"/>
      <c r="E14" s="46"/>
      <c r="F14" s="46"/>
      <c r="G14" s="114">
        <v>2025</v>
      </c>
      <c r="H14" s="107">
        <f>H13*(1+Datos!D13)</f>
        <v>29549.108875781254</v>
      </c>
      <c r="I14" s="108">
        <f>I13*(1+Datos!D13)</f>
        <v>1181.9643550312505</v>
      </c>
      <c r="J14" s="46"/>
      <c r="K14" s="46"/>
      <c r="L14" s="46"/>
      <c r="M14" s="46"/>
      <c r="N14" s="46"/>
      <c r="O14" s="46"/>
    </row>
    <row r="15" spans="1:15" ht="25.5" x14ac:dyDescent="0.35">
      <c r="A15" s="111"/>
      <c r="B15" s="112"/>
      <c r="C15" s="46"/>
      <c r="D15" s="46"/>
      <c r="E15" s="46"/>
      <c r="F15" s="46"/>
      <c r="G15" s="114">
        <v>2026</v>
      </c>
      <c r="H15" s="109">
        <f>H14*(1+Datos!D13)</f>
        <v>31026.56431957032</v>
      </c>
      <c r="I15" s="108">
        <f>I14*(1+Datos!D13)</f>
        <v>1241.062572782813</v>
      </c>
      <c r="J15" s="46"/>
      <c r="K15" s="46"/>
      <c r="L15" s="46"/>
      <c r="M15" s="46"/>
      <c r="N15" s="46"/>
      <c r="O15" s="46"/>
    </row>
    <row r="16" spans="1:15" x14ac:dyDescent="0.25">
      <c r="A16" s="111"/>
      <c r="B16" s="112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5" x14ac:dyDescent="0.25">
      <c r="A17" s="111"/>
      <c r="B17" s="112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1:15" x14ac:dyDescent="0.25">
      <c r="A18" s="44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 spans="1:15" x14ac:dyDescent="0.25">
      <c r="A19" s="44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1:15" x14ac:dyDescent="0.25">
      <c r="A20" s="44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1:15" x14ac:dyDescent="0.25">
      <c r="A21" s="44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 x14ac:dyDescent="0.25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</row>
    <row r="23" spans="1:15" x14ac:dyDescent="0.25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</row>
  </sheetData>
  <mergeCells count="1">
    <mergeCell ref="A1:O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workbookViewId="0">
      <selection activeCell="C16" sqref="C16:M16"/>
    </sheetView>
  </sheetViews>
  <sheetFormatPr baseColWidth="10" defaultColWidth="11.42578125" defaultRowHeight="15" x14ac:dyDescent="0.25"/>
  <cols>
    <col min="1" max="1" width="3.28515625" style="2" customWidth="1"/>
    <col min="2" max="2" width="2.28515625" customWidth="1"/>
    <col min="3" max="3" width="28.85546875" style="1" customWidth="1"/>
    <col min="4" max="4" width="15.28515625" style="1" customWidth="1"/>
    <col min="5" max="7" width="15.28515625" style="1" bestFit="1" customWidth="1"/>
    <col min="8" max="8" width="15.28515625" style="1" customWidth="1"/>
    <col min="9" max="11" width="15.28515625" style="1" bestFit="1" customWidth="1"/>
    <col min="12" max="12" width="15.28515625" style="1" customWidth="1"/>
    <col min="13" max="13" width="15.28515625" bestFit="1" customWidth="1"/>
  </cols>
  <sheetData>
    <row r="1" spans="1:36" x14ac:dyDescent="0.25">
      <c r="A1" s="179" t="s">
        <v>70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48"/>
      <c r="O1" s="6"/>
      <c r="P1" s="6"/>
      <c r="Q1" s="6"/>
      <c r="R1" s="6"/>
    </row>
    <row r="2" spans="1:36" x14ac:dyDescent="0.2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48"/>
      <c r="O2" s="6"/>
      <c r="P2" s="6"/>
      <c r="Q2" s="6"/>
      <c r="R2" s="6"/>
    </row>
    <row r="3" spans="1:36" x14ac:dyDescent="0.2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48"/>
      <c r="O3" s="6"/>
      <c r="P3" s="6"/>
      <c r="Q3" s="6"/>
      <c r="R3" s="6"/>
    </row>
    <row r="4" spans="1:36" x14ac:dyDescent="0.25">
      <c r="A4" s="44"/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6"/>
      <c r="N4" s="48"/>
      <c r="O4" s="6"/>
      <c r="P4" s="6"/>
      <c r="Q4" s="6"/>
      <c r="R4" s="6"/>
    </row>
    <row r="5" spans="1:36" ht="18.75" x14ac:dyDescent="0.4">
      <c r="A5" s="44"/>
      <c r="B5" s="115"/>
      <c r="C5" s="116" t="s">
        <v>21</v>
      </c>
      <c r="D5" s="117">
        <v>2017</v>
      </c>
      <c r="E5" s="117">
        <v>2018</v>
      </c>
      <c r="F5" s="117">
        <v>2019</v>
      </c>
      <c r="G5" s="117">
        <v>2020</v>
      </c>
      <c r="H5" s="117">
        <v>2021</v>
      </c>
      <c r="I5" s="117">
        <v>2022</v>
      </c>
      <c r="J5" s="117">
        <v>2023</v>
      </c>
      <c r="K5" s="117">
        <v>2024</v>
      </c>
      <c r="L5" s="117">
        <v>2025</v>
      </c>
      <c r="M5" s="117">
        <v>2026</v>
      </c>
      <c r="N5" s="48"/>
      <c r="O5" s="6"/>
      <c r="P5" s="6"/>
      <c r="Q5" s="6"/>
      <c r="R5" s="6"/>
    </row>
    <row r="6" spans="1:36" x14ac:dyDescent="0.25">
      <c r="A6" s="44"/>
      <c r="B6" s="51"/>
      <c r="C6" s="13" t="s">
        <v>24</v>
      </c>
      <c r="D6" s="14">
        <f>'Pronostico de ventas'!H6*'Pronostico de ventas'!I6</f>
        <v>16000000</v>
      </c>
      <c r="E6" s="118">
        <f>'Pronostico de ventas'!H7*'Pronostico de ventas'!I7</f>
        <v>17640000</v>
      </c>
      <c r="F6" s="14">
        <f>'Pronostico de ventas'!H8*'Pronostico de ventas'!I8</f>
        <v>19448100</v>
      </c>
      <c r="G6" s="118">
        <f>'Pronostico de ventas'!H9*'Pronostico de ventas'!I9</f>
        <v>21441530.25</v>
      </c>
      <c r="H6" s="14">
        <f>'Pronostico de ventas'!H10*'Pronostico de ventas'!I10</f>
        <v>23639287.100625001</v>
      </c>
      <c r="I6" s="118">
        <f>'Pronostico de ventas'!H11*'Pronostico de ventas'!I11</f>
        <v>26062314.028439067</v>
      </c>
      <c r="J6" s="14">
        <f>'Pronostico de ventas'!H12*'Pronostico de ventas'!I12</f>
        <v>28733701.216354076</v>
      </c>
      <c r="K6" s="118">
        <f>'Pronostico de ventas'!H13*'Pronostico de ventas'!I13</f>
        <v>31678905.591030374</v>
      </c>
      <c r="L6" s="14">
        <f>'Pronostico de ventas'!H14*'Pronostico de ventas'!I14</f>
        <v>34925993.414110988</v>
      </c>
      <c r="M6" s="118">
        <f>'Pronostico de ventas'!H15*'Pronostico de ventas'!I15</f>
        <v>38505907.73905737</v>
      </c>
      <c r="N6" s="48"/>
      <c r="O6" s="6"/>
      <c r="P6" s="6"/>
      <c r="Q6" s="6"/>
      <c r="R6" s="6"/>
    </row>
    <row r="7" spans="1:36" x14ac:dyDescent="0.25">
      <c r="A7" s="44"/>
      <c r="B7" s="51" t="s">
        <v>25</v>
      </c>
      <c r="C7" s="13" t="s">
        <v>26</v>
      </c>
      <c r="D7" s="14">
        <f>D6-D8</f>
        <v>2206896.5517241377</v>
      </c>
      <c r="E7" s="118">
        <f t="shared" ref="E7:M7" si="0">E6-E8</f>
        <v>2433103.4482758604</v>
      </c>
      <c r="F7" s="14">
        <f t="shared" si="0"/>
        <v>2682496.5517241359</v>
      </c>
      <c r="G7" s="118">
        <f t="shared" si="0"/>
        <v>2957452.4482758604</v>
      </c>
      <c r="H7" s="14">
        <f t="shared" si="0"/>
        <v>3260591.3242241368</v>
      </c>
      <c r="I7" s="118">
        <f t="shared" si="0"/>
        <v>3594801.9349571094</v>
      </c>
      <c r="J7" s="14">
        <f t="shared" si="0"/>
        <v>3963269.1332902163</v>
      </c>
      <c r="K7" s="118">
        <f t="shared" si="0"/>
        <v>4369504.2194524631</v>
      </c>
      <c r="L7" s="14">
        <f t="shared" si="0"/>
        <v>4817378.4019463398</v>
      </c>
      <c r="M7" s="118">
        <f t="shared" si="0"/>
        <v>5311159.6881458424</v>
      </c>
      <c r="N7" s="48"/>
      <c r="O7" s="6"/>
      <c r="P7" s="6"/>
      <c r="Q7" s="6"/>
      <c r="R7" s="6"/>
    </row>
    <row r="8" spans="1:36" x14ac:dyDescent="0.25">
      <c r="A8" s="44"/>
      <c r="B8" s="51" t="s">
        <v>27</v>
      </c>
      <c r="C8" s="13" t="s">
        <v>28</v>
      </c>
      <c r="D8" s="14">
        <f>D6/1.16</f>
        <v>13793103.448275862</v>
      </c>
      <c r="E8" s="118">
        <f>E6/1.16</f>
        <v>15206896.55172414</v>
      </c>
      <c r="F8" s="14">
        <f t="shared" ref="F8:M8" si="1">F6/1.16</f>
        <v>16765603.448275864</v>
      </c>
      <c r="G8" s="118">
        <f t="shared" si="1"/>
        <v>18484077.80172414</v>
      </c>
      <c r="H8" s="14">
        <f t="shared" si="1"/>
        <v>20378695.776400864</v>
      </c>
      <c r="I8" s="118">
        <f t="shared" si="1"/>
        <v>22467512.093481958</v>
      </c>
      <c r="J8" s="14">
        <f t="shared" si="1"/>
        <v>24770432.083063859</v>
      </c>
      <c r="K8" s="118">
        <f t="shared" si="1"/>
        <v>27309401.371577911</v>
      </c>
      <c r="L8" s="14">
        <f t="shared" si="1"/>
        <v>30108615.012164649</v>
      </c>
      <c r="M8" s="118">
        <f t="shared" si="1"/>
        <v>33194748.050911527</v>
      </c>
      <c r="N8" s="48"/>
      <c r="O8" s="6"/>
      <c r="P8" s="6"/>
      <c r="Q8" s="6"/>
      <c r="R8" s="6"/>
    </row>
    <row r="9" spans="1:36" x14ac:dyDescent="0.25">
      <c r="A9" s="44"/>
      <c r="B9" s="51" t="s">
        <v>25</v>
      </c>
      <c r="C9" s="13" t="s">
        <v>29</v>
      </c>
      <c r="D9" s="19">
        <f>Datos!A50</f>
        <v>6150000</v>
      </c>
      <c r="E9" s="118">
        <f>Datos!B50</f>
        <v>6966000</v>
      </c>
      <c r="F9" s="14">
        <f>Datos!C50</f>
        <v>7890696</v>
      </c>
      <c r="G9" s="118">
        <f>Datos!D50</f>
        <v>8938601.4240000006</v>
      </c>
      <c r="H9" s="14">
        <f>Datos!E50</f>
        <v>10126170.347616002</v>
      </c>
      <c r="I9" s="118">
        <f>Datos!F50</f>
        <v>11472057.213620545</v>
      </c>
      <c r="J9" s="14">
        <f>Datos!G50</f>
        <v>12997411.322823623</v>
      </c>
      <c r="K9" s="118">
        <f>Datos!A51</f>
        <v>14726210.758066142</v>
      </c>
      <c r="L9" s="14">
        <f>Datos!B51</f>
        <v>16685641.02306989</v>
      </c>
      <c r="M9" s="118">
        <f>Datos!C51</f>
        <v>18906524.385457978</v>
      </c>
      <c r="N9" s="48"/>
      <c r="O9" s="6"/>
      <c r="P9" s="6"/>
      <c r="Q9" s="6"/>
      <c r="R9" s="6"/>
    </row>
    <row r="10" spans="1:36" ht="15.75" thickBot="1" x14ac:dyDescent="0.3">
      <c r="A10" s="44"/>
      <c r="B10" s="51" t="s">
        <v>25</v>
      </c>
      <c r="C10" s="13" t="s">
        <v>30</v>
      </c>
      <c r="D10" s="20">
        <f>Datos!F48</f>
        <v>196666.66666666666</v>
      </c>
      <c r="E10" s="21">
        <f>Datos!F48</f>
        <v>196666.66666666666</v>
      </c>
      <c r="F10" s="22">
        <f>Datos!F48</f>
        <v>196666.66666666666</v>
      </c>
      <c r="G10" s="21">
        <f>Datos!F48</f>
        <v>196666.66666666666</v>
      </c>
      <c r="H10" s="22">
        <f>Datos!F48</f>
        <v>196666.66666666666</v>
      </c>
      <c r="I10" s="21">
        <f>Datos!F48</f>
        <v>196666.66666666666</v>
      </c>
      <c r="J10" s="22">
        <f>Datos!F48</f>
        <v>196666.66666666666</v>
      </c>
      <c r="K10" s="21">
        <f>Datos!F48</f>
        <v>196666.66666666666</v>
      </c>
      <c r="L10" s="22">
        <f>Datos!F48</f>
        <v>196666.66666666666</v>
      </c>
      <c r="M10" s="21">
        <f>Datos!F48</f>
        <v>196666.66666666666</v>
      </c>
      <c r="N10" s="48"/>
      <c r="O10" s="6"/>
      <c r="P10" s="6"/>
      <c r="Q10" s="6"/>
      <c r="R10" s="6"/>
    </row>
    <row r="11" spans="1:36" ht="15.75" thickTop="1" x14ac:dyDescent="0.25">
      <c r="A11" s="44"/>
      <c r="B11" s="51" t="s">
        <v>27</v>
      </c>
      <c r="C11" s="13" t="s">
        <v>31</v>
      </c>
      <c r="D11" s="23">
        <f>D8-D9-D10</f>
        <v>7446436.7816091953</v>
      </c>
      <c r="E11" s="119">
        <f t="shared" ref="E11:L11" si="2">E8-E9-E10</f>
        <v>8044229.8850574726</v>
      </c>
      <c r="F11" s="24">
        <f t="shared" si="2"/>
        <v>8678240.7816091981</v>
      </c>
      <c r="G11" s="119">
        <f t="shared" si="2"/>
        <v>9348809.711057473</v>
      </c>
      <c r="H11" s="24">
        <f t="shared" si="2"/>
        <v>10055858.762118196</v>
      </c>
      <c r="I11" s="119">
        <f t="shared" si="2"/>
        <v>10798788.213194747</v>
      </c>
      <c r="J11" s="24">
        <f t="shared" si="2"/>
        <v>11576354.09357357</v>
      </c>
      <c r="K11" s="119">
        <f t="shared" si="2"/>
        <v>12386523.946845103</v>
      </c>
      <c r="L11" s="24">
        <f t="shared" si="2"/>
        <v>13226307.322428092</v>
      </c>
      <c r="M11" s="119">
        <f>M8-M9-M10</f>
        <v>14091556.998786883</v>
      </c>
      <c r="N11" s="48"/>
      <c r="O11" s="6"/>
      <c r="P11" s="6"/>
      <c r="Q11" s="6"/>
      <c r="R11" s="6"/>
    </row>
    <row r="12" spans="1:36" x14ac:dyDescent="0.25">
      <c r="A12" s="44"/>
      <c r="B12" s="51" t="s">
        <v>25</v>
      </c>
      <c r="C12" s="13" t="s">
        <v>32</v>
      </c>
      <c r="D12" s="25">
        <f>Datos!A53</f>
        <v>2000000</v>
      </c>
      <c r="E12" s="120">
        <f>Datos!B53</f>
        <v>2205000</v>
      </c>
      <c r="F12" s="26">
        <f>Datos!C53</f>
        <v>2431012.5</v>
      </c>
      <c r="G12" s="120">
        <f>Datos!D53</f>
        <v>2680191.2812500005</v>
      </c>
      <c r="H12" s="26">
        <f>Datos!E53</f>
        <v>2954910.8875781251</v>
      </c>
      <c r="I12" s="120">
        <f>Datos!F53</f>
        <v>3257789.2535548834</v>
      </c>
      <c r="J12" s="26">
        <f>Datos!G53</f>
        <v>3591712.6520442585</v>
      </c>
      <c r="K12" s="120">
        <f>Datos!A54</f>
        <v>3959863.1988787958</v>
      </c>
      <c r="L12" s="26">
        <f>Datos!B54</f>
        <v>4365749.1767638717</v>
      </c>
      <c r="M12" s="120">
        <f>Datos!C54</f>
        <v>4813238.4673821693</v>
      </c>
      <c r="N12" s="48"/>
      <c r="O12" s="6"/>
      <c r="P12" s="6"/>
      <c r="Q12" s="6"/>
      <c r="R12" s="6"/>
    </row>
    <row r="13" spans="1:36" ht="15.75" thickBot="1" x14ac:dyDescent="0.3">
      <c r="A13" s="44"/>
      <c r="B13" s="51" t="s">
        <v>25</v>
      </c>
      <c r="C13" s="13" t="s">
        <v>14</v>
      </c>
      <c r="D13" s="20">
        <f>Datos!A56</f>
        <v>4000000</v>
      </c>
      <c r="E13" s="21">
        <f>Datos!B56</f>
        <v>4410000</v>
      </c>
      <c r="F13" s="22">
        <f>Datos!C56</f>
        <v>4862025</v>
      </c>
      <c r="G13" s="21">
        <f>Datos!D56</f>
        <v>5360382.5625000009</v>
      </c>
      <c r="H13" s="22">
        <f>Datos!E56</f>
        <v>5909821.7751562502</v>
      </c>
      <c r="I13" s="21">
        <f>Datos!F56</f>
        <v>6515578.5071097668</v>
      </c>
      <c r="J13" s="22">
        <f>Datos!G56</f>
        <v>7183425.3040885171</v>
      </c>
      <c r="K13" s="21">
        <f>Datos!A57</f>
        <v>7919726.3977575917</v>
      </c>
      <c r="L13" s="21">
        <f>Datos!B57</f>
        <v>8731498.3535277434</v>
      </c>
      <c r="M13" s="21">
        <f>Datos!C57</f>
        <v>9626476.9347643387</v>
      </c>
      <c r="N13" s="48"/>
      <c r="O13" s="6"/>
      <c r="P13" s="6"/>
      <c r="Q13" s="6"/>
      <c r="R13" s="6"/>
    </row>
    <row r="14" spans="1:36" ht="15.75" thickTop="1" x14ac:dyDescent="0.25">
      <c r="A14" s="44"/>
      <c r="B14" s="51" t="s">
        <v>27</v>
      </c>
      <c r="C14" s="13" t="s">
        <v>33</v>
      </c>
      <c r="D14" s="23">
        <f>D11-D12-D13</f>
        <v>1446436.7816091953</v>
      </c>
      <c r="E14" s="119">
        <f t="shared" ref="E14:M14" si="3">E11-E12-E13</f>
        <v>1429229.8850574726</v>
      </c>
      <c r="F14" s="24">
        <f t="shared" si="3"/>
        <v>1385203.2816091981</v>
      </c>
      <c r="G14" s="119">
        <f t="shared" si="3"/>
        <v>1308235.867307472</v>
      </c>
      <c r="H14" s="24">
        <f t="shared" si="3"/>
        <v>1191126.0993838208</v>
      </c>
      <c r="I14" s="119">
        <f t="shared" si="3"/>
        <v>1025420.4525300963</v>
      </c>
      <c r="J14" s="24">
        <f t="shared" si="3"/>
        <v>801216.13744079415</v>
      </c>
      <c r="K14" s="119">
        <f t="shared" si="3"/>
        <v>506934.35020871647</v>
      </c>
      <c r="L14" s="24">
        <f t="shared" si="3"/>
        <v>129059.79213647731</v>
      </c>
      <c r="M14" s="119">
        <f t="shared" si="3"/>
        <v>-348158.40335962363</v>
      </c>
      <c r="N14" s="48"/>
      <c r="O14" s="6"/>
      <c r="P14" s="6"/>
      <c r="Q14" s="6"/>
      <c r="R14" s="6"/>
    </row>
    <row r="15" spans="1:36" ht="15.75" thickBot="1" x14ac:dyDescent="0.3">
      <c r="A15" s="44"/>
      <c r="B15" s="51" t="s">
        <v>25</v>
      </c>
      <c r="C15" s="13" t="s">
        <v>34</v>
      </c>
      <c r="D15" s="20">
        <f>IF(0&lt;D14&lt;999,D14*(0.05),IF(1000&lt;D14&lt;9999,D14*(0.1),IF(10000&lt;D14&lt;49999,D14*(0.15),IF(50000&lt;D14&lt;99000,D14*(0.2),IF(100000&lt;D14&lt;499000,D14*(0.25),IF(500000&lt;D14&lt;999999,D14*(0.3),D14*(0.35)))))))</f>
        <v>506252.87356321834</v>
      </c>
      <c r="E15" s="21">
        <f t="shared" ref="E15:M15" si="4">IF(0&lt;E14&lt;999,E14*(0.05),IF(1000&lt;E14&lt;9999,E14*(0.1),IF(10000&lt;E14&lt;49999,E14*(0.15),IF(50000&lt;E14&lt;99000,E14*(0.2),IF(100000&lt;E14&lt;499000,E14*(0.25),IF(500000&lt;E14&lt;999999,E14*(0.3),E14*(0.35)))))))</f>
        <v>500230.45977011538</v>
      </c>
      <c r="F15" s="22">
        <f t="shared" si="4"/>
        <v>484821.14856321929</v>
      </c>
      <c r="G15" s="21">
        <f t="shared" si="4"/>
        <v>457882.5535576152</v>
      </c>
      <c r="H15" s="22">
        <f t="shared" si="4"/>
        <v>416894.13478433725</v>
      </c>
      <c r="I15" s="21">
        <f t="shared" si="4"/>
        <v>358897.15838553366</v>
      </c>
      <c r="J15" s="22">
        <f t="shared" si="4"/>
        <v>280425.64810427791</v>
      </c>
      <c r="K15" s="21">
        <f t="shared" si="4"/>
        <v>177427.02257305075</v>
      </c>
      <c r="L15" s="22">
        <f t="shared" si="4"/>
        <v>45170.927247767053</v>
      </c>
      <c r="M15" s="21">
        <f t="shared" si="4"/>
        <v>-121855.44117586825</v>
      </c>
      <c r="N15" s="4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ht="15.75" thickTop="1" x14ac:dyDescent="0.25">
      <c r="A16" s="44"/>
      <c r="B16" s="51" t="s">
        <v>27</v>
      </c>
      <c r="C16" s="163" t="s">
        <v>35</v>
      </c>
      <c r="D16" s="164">
        <f>D14-D15</f>
        <v>940183.90804597689</v>
      </c>
      <c r="E16" s="165">
        <f t="shared" ref="E16:L16" si="5">E14-E15</f>
        <v>928999.4252873573</v>
      </c>
      <c r="F16" s="166">
        <f t="shared" si="5"/>
        <v>900382.13304597884</v>
      </c>
      <c r="G16" s="165">
        <f t="shared" si="5"/>
        <v>850353.31374985678</v>
      </c>
      <c r="H16" s="166">
        <f t="shared" si="5"/>
        <v>774231.96459948353</v>
      </c>
      <c r="I16" s="165">
        <f>I14-I15</f>
        <v>666523.29414456268</v>
      </c>
      <c r="J16" s="166">
        <f t="shared" si="5"/>
        <v>520790.48933651624</v>
      </c>
      <c r="K16" s="165">
        <f t="shared" si="5"/>
        <v>329507.32763566572</v>
      </c>
      <c r="L16" s="166">
        <f t="shared" si="5"/>
        <v>83888.864888710261</v>
      </c>
      <c r="M16" s="165">
        <f>(M14-M15)</f>
        <v>-226302.96218375536</v>
      </c>
      <c r="N16" s="48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s="44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6"/>
      <c r="N17" s="4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s="44"/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6"/>
      <c r="N18" s="48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s="44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6"/>
      <c r="N19" s="48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A20" s="49"/>
      <c r="B20" s="48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48"/>
      <c r="N20" s="48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5">
      <c r="A21" s="49"/>
      <c r="B21" s="48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48"/>
      <c r="N21" s="48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22" s="49"/>
      <c r="B22" s="48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48"/>
      <c r="N22" s="48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23" s="49"/>
      <c r="B23" s="48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48"/>
      <c r="N23" s="48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s="49"/>
      <c r="B24" s="48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48"/>
      <c r="N24" s="48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25">
      <c r="A25" s="49"/>
      <c r="B25" s="48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48"/>
      <c r="N25" s="48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25">
      <c r="A26" s="8"/>
      <c r="B26" s="6"/>
      <c r="C26" s="9"/>
      <c r="D26" s="9"/>
      <c r="E26" s="9"/>
      <c r="F26" s="9"/>
      <c r="G26" s="9"/>
      <c r="H26" s="9"/>
      <c r="I26" s="9"/>
      <c r="J26" s="9"/>
      <c r="K26" s="9"/>
      <c r="L26" s="9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A27" s="8"/>
      <c r="B27" s="6"/>
      <c r="C27" s="9"/>
      <c r="D27" s="9"/>
      <c r="E27" s="9"/>
      <c r="F27" s="9"/>
      <c r="G27" s="9"/>
      <c r="H27" s="9"/>
      <c r="I27" s="9"/>
      <c r="J27" s="9"/>
      <c r="K27" s="9"/>
      <c r="L27" s="9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A28" s="8"/>
      <c r="B28" s="6"/>
      <c r="C28" s="9"/>
      <c r="D28" s="9"/>
      <c r="E28" s="9"/>
      <c r="F28" s="9"/>
      <c r="G28" s="9"/>
      <c r="H28" s="9"/>
      <c r="I28" s="9"/>
      <c r="J28" s="9"/>
      <c r="K28" s="9"/>
      <c r="L28" s="9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A29" s="8"/>
      <c r="B29" s="6"/>
      <c r="C29" s="9"/>
      <c r="D29" s="9"/>
      <c r="E29" s="9"/>
      <c r="F29" s="9"/>
      <c r="G29" s="9"/>
      <c r="H29" s="9"/>
      <c r="I29" s="9"/>
      <c r="J29" s="9"/>
      <c r="K29" s="9"/>
      <c r="L29" s="9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A30" s="8"/>
      <c r="B30" s="6"/>
      <c r="C30" s="9"/>
      <c r="D30" s="9"/>
      <c r="E30" s="9"/>
      <c r="F30" s="9"/>
      <c r="G30" s="9"/>
      <c r="H30" s="9"/>
      <c r="I30" s="9"/>
      <c r="J30" s="9"/>
      <c r="K30" s="9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40" spans="2:13" x14ac:dyDescent="0.25">
      <c r="B40" s="8"/>
      <c r="C40" s="16" t="s">
        <v>36</v>
      </c>
      <c r="D40" s="17">
        <v>2017</v>
      </c>
      <c r="E40" s="17">
        <v>2018</v>
      </c>
      <c r="F40" s="17">
        <v>2019</v>
      </c>
      <c r="G40" s="17">
        <v>2020</v>
      </c>
      <c r="H40" s="17">
        <v>2021</v>
      </c>
      <c r="I40" s="17">
        <v>2022</v>
      </c>
      <c r="J40" s="17">
        <v>2023</v>
      </c>
      <c r="K40" s="17">
        <v>2024</v>
      </c>
      <c r="L40" s="17">
        <v>2025</v>
      </c>
      <c r="M40" s="17">
        <v>2026</v>
      </c>
    </row>
    <row r="41" spans="2:13" x14ac:dyDescent="0.25">
      <c r="B41" s="8"/>
      <c r="C41" s="18">
        <f>D6/1.16</f>
        <v>13793103.448275862</v>
      </c>
      <c r="D41" s="18">
        <f>D16+D10</f>
        <v>1136850.5747126436</v>
      </c>
      <c r="E41" s="18">
        <f>E16+E10</f>
        <v>1125666.091954024</v>
      </c>
      <c r="F41" s="18">
        <f>F16+F10</f>
        <v>1097048.7997126456</v>
      </c>
      <c r="G41" s="18">
        <f>G16+G10</f>
        <v>1047019.9804165234</v>
      </c>
      <c r="H41" s="18">
        <f>H16+H10</f>
        <v>970898.63126615016</v>
      </c>
      <c r="I41" s="18">
        <f>I16+I10-900000</f>
        <v>-36810.039188770694</v>
      </c>
      <c r="J41" s="18">
        <f>J16+J10</f>
        <v>717457.15600318287</v>
      </c>
      <c r="K41" s="18">
        <f>K16+K10</f>
        <v>526173.9943023324</v>
      </c>
      <c r="L41" s="18">
        <f>L16+L10</f>
        <v>280555.53155537695</v>
      </c>
      <c r="M41" s="18">
        <f>M16+M10</f>
        <v>-29636.2955170887</v>
      </c>
    </row>
    <row r="42" spans="2:13" x14ac:dyDescent="0.25">
      <c r="B42" s="8"/>
      <c r="C42" s="9">
        <f>D6-C41</f>
        <v>2206896.5517241377</v>
      </c>
      <c r="D42" s="9"/>
      <c r="E42" s="9"/>
      <c r="F42" s="9"/>
      <c r="G42" s="9"/>
      <c r="H42" s="9"/>
      <c r="I42" s="9"/>
      <c r="J42" s="9"/>
      <c r="K42" s="9"/>
      <c r="L42" s="9"/>
      <c r="M42" s="9"/>
    </row>
  </sheetData>
  <mergeCells count="1">
    <mergeCell ref="A1:M3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O2"/>
    </sheetView>
  </sheetViews>
  <sheetFormatPr baseColWidth="10" defaultColWidth="11.42578125" defaultRowHeight="15" x14ac:dyDescent="0.25"/>
  <cols>
    <col min="1" max="1" width="11.42578125" style="7"/>
    <col min="2" max="2" width="8.140625" style="7" customWidth="1"/>
    <col min="3" max="3" width="23.28515625" style="7" bestFit="1" customWidth="1"/>
    <col min="4" max="4" width="9" style="7" customWidth="1"/>
    <col min="5" max="5" width="25.7109375" style="7" customWidth="1"/>
    <col min="6" max="6" width="11.42578125" style="7"/>
    <col min="7" max="7" width="33.85546875" style="7" bestFit="1" customWidth="1"/>
    <col min="8" max="16384" width="11.42578125" style="7"/>
  </cols>
  <sheetData>
    <row r="1" spans="1:15" ht="20.25" customHeight="1" x14ac:dyDescent="0.25">
      <c r="A1" s="185" t="s">
        <v>36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</row>
    <row r="2" spans="1:15" ht="20.25" customHeight="1" x14ac:dyDescent="0.25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1:15" ht="20.25" x14ac:dyDescent="0.3">
      <c r="A3" s="54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 ht="23.25" x14ac:dyDescent="0.35">
      <c r="A4" s="54"/>
      <c r="B4" s="52"/>
      <c r="C4" s="73"/>
      <c r="D4" s="77" t="s">
        <v>21</v>
      </c>
      <c r="E4" s="77" t="s">
        <v>65</v>
      </c>
      <c r="G4" s="46"/>
      <c r="H4" s="52"/>
      <c r="I4" s="52"/>
      <c r="J4" s="52"/>
      <c r="K4" s="52"/>
      <c r="L4" s="52"/>
      <c r="M4" s="52"/>
      <c r="N4" s="52"/>
      <c r="O4" s="52"/>
    </row>
    <row r="5" spans="1:15" ht="23.25" x14ac:dyDescent="0.35">
      <c r="A5" s="54"/>
      <c r="B5" s="52"/>
      <c r="C5" s="73"/>
      <c r="D5" s="75">
        <v>2017</v>
      </c>
      <c r="E5" s="76">
        <f>'Estado de resultados'!D41</f>
        <v>1136850.5747126436</v>
      </c>
      <c r="F5" s="54"/>
      <c r="G5" s="54"/>
      <c r="H5" s="52"/>
      <c r="I5" s="52"/>
      <c r="J5" s="52"/>
      <c r="K5" s="52"/>
      <c r="L5" s="52"/>
      <c r="M5" s="52"/>
      <c r="N5" s="52"/>
      <c r="O5" s="52"/>
    </row>
    <row r="6" spans="1:15" ht="23.25" x14ac:dyDescent="0.35">
      <c r="A6" s="54"/>
      <c r="B6" s="52"/>
      <c r="C6" s="73"/>
      <c r="D6" s="70">
        <v>2018</v>
      </c>
      <c r="E6" s="71">
        <f>'Estado de resultados'!E41</f>
        <v>1125666.091954024</v>
      </c>
      <c r="F6" s="54"/>
      <c r="G6" s="54"/>
      <c r="H6" s="52"/>
      <c r="I6" s="52"/>
      <c r="J6" s="52"/>
      <c r="K6" s="52"/>
      <c r="L6" s="52"/>
      <c r="M6" s="52"/>
      <c r="N6" s="52"/>
      <c r="O6" s="52"/>
    </row>
    <row r="7" spans="1:15" ht="23.25" x14ac:dyDescent="0.35">
      <c r="A7" s="54"/>
      <c r="B7" s="52"/>
      <c r="C7" s="73"/>
      <c r="D7" s="70">
        <v>2019</v>
      </c>
      <c r="E7" s="71">
        <f>'Estado de resultados'!F41</f>
        <v>1097048.7997126456</v>
      </c>
      <c r="F7" s="54"/>
      <c r="G7" s="78" t="s">
        <v>37</v>
      </c>
      <c r="H7" s="52"/>
      <c r="I7" s="52"/>
      <c r="J7" s="52"/>
      <c r="K7" s="52"/>
      <c r="L7" s="52"/>
      <c r="M7" s="52"/>
      <c r="N7" s="52"/>
      <c r="O7" s="52"/>
    </row>
    <row r="8" spans="1:15" ht="23.25" x14ac:dyDescent="0.35">
      <c r="A8" s="54"/>
      <c r="B8" s="52"/>
      <c r="C8" s="73"/>
      <c r="D8" s="70">
        <v>2020</v>
      </c>
      <c r="E8" s="71">
        <f>'Estado de resultados'!G41</f>
        <v>1047019.9804165234</v>
      </c>
      <c r="F8" s="54"/>
      <c r="G8" s="72">
        <v>0.45</v>
      </c>
      <c r="H8" s="52"/>
      <c r="I8" s="52"/>
      <c r="J8" s="52"/>
      <c r="K8" s="52"/>
      <c r="L8" s="52"/>
      <c r="M8" s="52"/>
      <c r="N8" s="52"/>
      <c r="O8" s="52"/>
    </row>
    <row r="9" spans="1:15" ht="23.25" x14ac:dyDescent="0.35">
      <c r="A9" s="54"/>
      <c r="B9" s="52"/>
      <c r="C9" s="73"/>
      <c r="D9" s="70">
        <v>2021</v>
      </c>
      <c r="E9" s="71">
        <f>'Estado de resultados'!H41</f>
        <v>970898.63126615016</v>
      </c>
      <c r="F9" s="54"/>
      <c r="G9" s="73"/>
      <c r="H9" s="52"/>
      <c r="I9" s="52"/>
      <c r="J9" s="52"/>
      <c r="K9" s="52"/>
      <c r="L9" s="52"/>
      <c r="M9" s="52"/>
      <c r="N9" s="52"/>
      <c r="O9" s="52"/>
    </row>
    <row r="10" spans="1:15" ht="23.25" x14ac:dyDescent="0.35">
      <c r="A10" s="54"/>
      <c r="B10" s="52"/>
      <c r="C10" s="73"/>
      <c r="D10" s="70">
        <v>2022</v>
      </c>
      <c r="E10" s="71">
        <f>'Estado de resultados'!I41</f>
        <v>-36810.039188770694</v>
      </c>
      <c r="F10" s="54"/>
      <c r="G10" s="78" t="s">
        <v>38</v>
      </c>
      <c r="H10" s="52"/>
      <c r="I10" s="52"/>
      <c r="J10" s="52"/>
      <c r="K10" s="52"/>
      <c r="L10" s="52"/>
      <c r="M10" s="52"/>
      <c r="N10" s="52"/>
      <c r="O10" s="52"/>
    </row>
    <row r="11" spans="1:15" ht="23.25" x14ac:dyDescent="0.35">
      <c r="A11" s="54"/>
      <c r="B11" s="52"/>
      <c r="C11" s="73"/>
      <c r="D11" s="70">
        <v>2023</v>
      </c>
      <c r="E11" s="71">
        <f>'Estado de resultados'!J41</f>
        <v>717457.15600318287</v>
      </c>
      <c r="F11" s="54"/>
      <c r="G11" s="74">
        <f>Datos!H7+Datos!H11+Datos!H15+Datos!C14</f>
        <v>1800000</v>
      </c>
      <c r="H11" s="52"/>
      <c r="I11" s="52"/>
      <c r="J11" s="52"/>
      <c r="K11" s="52"/>
      <c r="L11" s="52"/>
      <c r="M11" s="52"/>
      <c r="N11" s="52"/>
      <c r="O11" s="52"/>
    </row>
    <row r="12" spans="1:15" ht="23.25" x14ac:dyDescent="0.35">
      <c r="A12" s="54"/>
      <c r="B12" s="52"/>
      <c r="C12" s="73"/>
      <c r="D12" s="70">
        <v>2024</v>
      </c>
      <c r="E12" s="71">
        <f>'Estado de resultados'!K41</f>
        <v>526173.9943023324</v>
      </c>
      <c r="F12" s="54"/>
      <c r="G12" s="54"/>
      <c r="H12" s="52"/>
      <c r="I12" s="52"/>
      <c r="J12" s="52"/>
      <c r="K12" s="52"/>
      <c r="L12" s="52"/>
      <c r="M12" s="52"/>
      <c r="N12" s="52"/>
      <c r="O12" s="52"/>
    </row>
    <row r="13" spans="1:15" ht="23.25" x14ac:dyDescent="0.35">
      <c r="A13" s="54"/>
      <c r="B13" s="52"/>
      <c r="C13" s="73"/>
      <c r="D13" s="70">
        <v>2025</v>
      </c>
      <c r="E13" s="71">
        <f>'Estado de resultados'!L41</f>
        <v>280555.53155537695</v>
      </c>
      <c r="F13" s="54"/>
      <c r="G13" s="54"/>
      <c r="H13" s="52"/>
      <c r="I13" s="52"/>
      <c r="J13" s="52"/>
      <c r="K13" s="52"/>
      <c r="L13" s="52"/>
      <c r="M13" s="52"/>
      <c r="N13" s="52"/>
      <c r="O13" s="52"/>
    </row>
    <row r="14" spans="1:15" ht="23.25" x14ac:dyDescent="0.35">
      <c r="A14" s="54"/>
      <c r="B14" s="54"/>
      <c r="C14" s="73"/>
      <c r="D14" s="70">
        <v>2026</v>
      </c>
      <c r="E14" s="71">
        <f>'Estado de resultados'!M41</f>
        <v>-29636.2955170887</v>
      </c>
      <c r="F14" s="54"/>
      <c r="G14" s="54"/>
      <c r="H14" s="52"/>
      <c r="I14" s="52"/>
      <c r="J14" s="52"/>
      <c r="K14" s="52"/>
      <c r="L14" s="52"/>
      <c r="M14" s="52"/>
      <c r="N14" s="52"/>
      <c r="O14" s="52"/>
    </row>
    <row r="15" spans="1:15" ht="23.25" x14ac:dyDescent="0.35">
      <c r="A15" s="52"/>
      <c r="B15" s="52"/>
      <c r="C15" s="73"/>
      <c r="D15" s="52"/>
      <c r="E15" s="52"/>
      <c r="H15" s="52"/>
      <c r="I15" s="52"/>
      <c r="J15" s="52"/>
      <c r="K15" s="52"/>
      <c r="L15" s="52"/>
      <c r="M15" s="52"/>
      <c r="N15" s="52"/>
      <c r="O15" s="52"/>
    </row>
    <row r="16" spans="1:15" ht="20.25" x14ac:dyDescent="0.3">
      <c r="A16" s="52"/>
      <c r="B16" s="52"/>
      <c r="C16" s="52"/>
      <c r="D16" s="52"/>
      <c r="E16" s="54"/>
      <c r="F16" s="58"/>
      <c r="G16" s="52"/>
      <c r="H16" s="52"/>
      <c r="I16" s="52"/>
      <c r="J16" s="52"/>
      <c r="K16" s="52"/>
      <c r="L16" s="52"/>
      <c r="M16" s="52"/>
      <c r="N16" s="52"/>
      <c r="O16" s="52"/>
    </row>
    <row r="17" spans="1:15" ht="20.25" x14ac:dyDescent="0.3">
      <c r="A17" s="52"/>
      <c r="B17" s="52"/>
      <c r="C17" s="52"/>
      <c r="D17" s="52"/>
      <c r="E17" s="54"/>
      <c r="F17" s="54"/>
      <c r="G17" s="52"/>
      <c r="H17" s="52"/>
      <c r="I17" s="52"/>
      <c r="J17" s="52"/>
      <c r="K17" s="52"/>
      <c r="L17" s="52"/>
      <c r="M17" s="52"/>
      <c r="N17" s="52"/>
      <c r="O17" s="52"/>
    </row>
    <row r="18" spans="1:15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x14ac:dyDescent="0.25">
      <c r="A19" s="52"/>
      <c r="B19" s="52"/>
      <c r="C19" s="52"/>
      <c r="D19" s="53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x14ac:dyDescent="0.2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x14ac:dyDescent="0.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</sheetData>
  <mergeCells count="1">
    <mergeCell ref="A1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activeCell="F15" sqref="E15:F15"/>
    </sheetView>
  </sheetViews>
  <sheetFormatPr baseColWidth="10" defaultColWidth="11.42578125" defaultRowHeight="15" x14ac:dyDescent="0.25"/>
  <cols>
    <col min="1" max="1" width="11.85546875" style="5" customWidth="1"/>
    <col min="2" max="3" width="8.85546875" style="5" customWidth="1"/>
    <col min="4" max="4" width="9" style="5" customWidth="1"/>
    <col min="5" max="5" width="23.5703125" style="5" bestFit="1" customWidth="1"/>
    <col min="6" max="6" width="23.28515625" style="5" customWidth="1"/>
    <col min="7" max="7" width="6.140625" style="5" customWidth="1"/>
    <col min="8" max="8" width="5.7109375" style="5" customWidth="1"/>
    <col min="9" max="9" width="10" style="5" customWidth="1"/>
    <col min="10" max="10" width="6.140625" style="5" customWidth="1"/>
    <col min="11" max="11" width="10.28515625" style="5" customWidth="1"/>
    <col min="12" max="12" width="8" style="5" customWidth="1"/>
    <col min="13" max="13" width="14.42578125" style="5" customWidth="1"/>
    <col min="14" max="16384" width="11.42578125" style="5"/>
  </cols>
  <sheetData>
    <row r="1" spans="1:17" ht="20.25" customHeight="1" x14ac:dyDescent="0.25">
      <c r="A1" s="185" t="s">
        <v>66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</row>
    <row r="2" spans="1:17" ht="20.25" customHeight="1" x14ac:dyDescent="0.25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</row>
    <row r="3" spans="1:17" ht="20.25" x14ac:dyDescent="0.3">
      <c r="A3" s="66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20.25" x14ac:dyDescent="0.3">
      <c r="A4" s="66"/>
      <c r="B4" s="67"/>
      <c r="C4" s="55" t="s">
        <v>21</v>
      </c>
      <c r="D4" s="55" t="s">
        <v>39</v>
      </c>
      <c r="E4" s="55" t="s">
        <v>40</v>
      </c>
      <c r="F4" s="55" t="s">
        <v>41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</row>
    <row r="5" spans="1:17" ht="20.25" x14ac:dyDescent="0.3">
      <c r="A5" s="66"/>
      <c r="B5" s="67"/>
      <c r="C5" s="55" t="s">
        <v>43</v>
      </c>
      <c r="D5" s="59">
        <v>0</v>
      </c>
      <c r="E5" s="60">
        <f>'Flujo neto de efectivo'!G11</f>
        <v>1800000</v>
      </c>
      <c r="F5" s="56">
        <f>E5</f>
        <v>1800000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</row>
    <row r="6" spans="1:17" ht="20.25" x14ac:dyDescent="0.3">
      <c r="A6" s="66"/>
      <c r="B6" s="67"/>
      <c r="C6" s="55">
        <v>2017</v>
      </c>
      <c r="D6" s="59">
        <v>1</v>
      </c>
      <c r="E6" s="60">
        <f>'Flujo neto de efectivo'!E5</f>
        <v>1136850.5747126436</v>
      </c>
      <c r="F6" s="56">
        <f>E6</f>
        <v>1136850.5747126436</v>
      </c>
      <c r="G6" s="54"/>
      <c r="H6" s="54"/>
      <c r="I6" s="54"/>
      <c r="J6" s="54"/>
      <c r="K6" s="68"/>
      <c r="L6" s="68"/>
      <c r="M6" s="68"/>
      <c r="N6" s="68"/>
      <c r="O6" s="68"/>
      <c r="P6" s="68"/>
      <c r="Q6" s="68"/>
    </row>
    <row r="7" spans="1:17" ht="20.25" customHeight="1" x14ac:dyDescent="0.3">
      <c r="A7" s="66"/>
      <c r="B7" s="67"/>
      <c r="C7" s="55">
        <v>2018</v>
      </c>
      <c r="D7" s="59">
        <v>2</v>
      </c>
      <c r="E7" s="60">
        <f>'Flujo neto de efectivo'!E6</f>
        <v>1125666.091954024</v>
      </c>
      <c r="F7" s="56">
        <f t="shared" ref="F7:F15" si="0">E7+F6</f>
        <v>2262516.6666666679</v>
      </c>
      <c r="G7" s="54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 ht="20.25" x14ac:dyDescent="0.3">
      <c r="A8" s="66"/>
      <c r="B8" s="67"/>
      <c r="C8" s="55">
        <v>2019</v>
      </c>
      <c r="D8" s="59">
        <v>3</v>
      </c>
      <c r="E8" s="60">
        <f>'Flujo neto de efectivo'!E7</f>
        <v>1097048.7997126456</v>
      </c>
      <c r="F8" s="56">
        <f t="shared" si="0"/>
        <v>3359565.4663793137</v>
      </c>
      <c r="G8" s="54"/>
      <c r="H8" s="186" t="s">
        <v>63</v>
      </c>
      <c r="I8" s="187"/>
      <c r="J8" s="187"/>
      <c r="K8" s="187"/>
      <c r="L8" s="187"/>
      <c r="M8" s="188"/>
      <c r="N8" s="68"/>
      <c r="O8" s="68"/>
      <c r="P8" s="68"/>
      <c r="Q8" s="68"/>
    </row>
    <row r="9" spans="1:17" ht="20.25" x14ac:dyDescent="0.3">
      <c r="A9" s="66"/>
      <c r="B9" s="67"/>
      <c r="C9" s="55">
        <v>2020</v>
      </c>
      <c r="D9" s="59">
        <v>4</v>
      </c>
      <c r="E9" s="60">
        <f>'Flujo neto de efectivo'!E8</f>
        <v>1047019.9804165234</v>
      </c>
      <c r="F9" s="56">
        <f t="shared" si="0"/>
        <v>4406585.446795837</v>
      </c>
      <c r="G9" s="54"/>
      <c r="H9" s="61">
        <f>TRUNC(B44)</f>
        <v>1</v>
      </c>
      <c r="I9" s="62" t="s">
        <v>44</v>
      </c>
      <c r="J9" s="63">
        <f>TRUNC(C44)</f>
        <v>7</v>
      </c>
      <c r="K9" s="64" t="s">
        <v>45</v>
      </c>
      <c r="L9" s="63">
        <f>TRUNC(D44)</f>
        <v>2</v>
      </c>
      <c r="M9" s="65" t="s">
        <v>46</v>
      </c>
      <c r="N9" s="68"/>
      <c r="O9" s="68"/>
      <c r="P9" s="68"/>
      <c r="Q9" s="68"/>
    </row>
    <row r="10" spans="1:17" ht="20.25" x14ac:dyDescent="0.3">
      <c r="A10" s="66"/>
      <c r="B10" s="67"/>
      <c r="C10" s="55">
        <v>2021</v>
      </c>
      <c r="D10" s="59">
        <v>5</v>
      </c>
      <c r="E10" s="60">
        <f>'Flujo neto de efectivo'!E9</f>
        <v>970898.63126615016</v>
      </c>
      <c r="F10" s="56">
        <f t="shared" si="0"/>
        <v>5377484.0780619867</v>
      </c>
      <c r="G10" s="54"/>
      <c r="H10" s="68"/>
      <c r="I10" s="68"/>
      <c r="J10" s="54"/>
      <c r="K10" s="68"/>
      <c r="L10" s="68"/>
      <c r="M10" s="68"/>
      <c r="N10" s="68"/>
      <c r="O10" s="68"/>
      <c r="P10" s="68"/>
      <c r="Q10" s="68"/>
    </row>
    <row r="11" spans="1:17" ht="20.25" x14ac:dyDescent="0.3">
      <c r="A11" s="66"/>
      <c r="B11" s="67"/>
      <c r="C11" s="55">
        <v>2022</v>
      </c>
      <c r="D11" s="59">
        <v>6</v>
      </c>
      <c r="E11" s="60">
        <f>'Flujo neto de efectivo'!E10</f>
        <v>-36810.039188770694</v>
      </c>
      <c r="F11" s="56">
        <f t="shared" si="0"/>
        <v>5340674.0388732161</v>
      </c>
      <c r="G11" s="54"/>
      <c r="H11" s="68"/>
      <c r="I11" s="68"/>
      <c r="J11" s="54"/>
      <c r="K11" s="68"/>
      <c r="L11" s="68"/>
      <c r="M11" s="68"/>
      <c r="N11" s="68"/>
      <c r="O11" s="68"/>
      <c r="P11" s="68"/>
      <c r="Q11" s="68"/>
    </row>
    <row r="12" spans="1:17" ht="20.25" x14ac:dyDescent="0.3">
      <c r="A12" s="66"/>
      <c r="B12" s="67"/>
      <c r="C12" s="55">
        <v>2023</v>
      </c>
      <c r="D12" s="59">
        <v>7</v>
      </c>
      <c r="E12" s="60">
        <f>'Flujo neto de efectivo'!E11</f>
        <v>717457.15600318287</v>
      </c>
      <c r="F12" s="56">
        <f t="shared" si="0"/>
        <v>6058131.1948763989</v>
      </c>
      <c r="G12" s="54"/>
      <c r="H12" s="68"/>
      <c r="I12" s="68"/>
      <c r="J12" s="54"/>
      <c r="K12" s="68"/>
      <c r="L12" s="68"/>
      <c r="M12" s="68"/>
      <c r="N12" s="68"/>
      <c r="O12" s="68"/>
      <c r="P12" s="68"/>
      <c r="Q12" s="68"/>
    </row>
    <row r="13" spans="1:17" ht="20.25" x14ac:dyDescent="0.3">
      <c r="A13" s="66"/>
      <c r="B13" s="67"/>
      <c r="C13" s="55">
        <v>2024</v>
      </c>
      <c r="D13" s="59">
        <v>8</v>
      </c>
      <c r="E13" s="60">
        <f>'Flujo neto de efectivo'!E12</f>
        <v>526173.9943023324</v>
      </c>
      <c r="F13" s="56">
        <f t="shared" si="0"/>
        <v>6584305.1891787313</v>
      </c>
      <c r="G13" s="54"/>
      <c r="H13" s="68"/>
      <c r="I13" s="68"/>
      <c r="J13" s="54"/>
      <c r="K13" s="68"/>
      <c r="L13" s="68"/>
      <c r="M13" s="68"/>
      <c r="N13" s="68"/>
      <c r="O13" s="68"/>
      <c r="P13" s="68"/>
      <c r="Q13" s="68"/>
    </row>
    <row r="14" spans="1:17" ht="20.25" x14ac:dyDescent="0.3">
      <c r="A14" s="66"/>
      <c r="B14" s="67"/>
      <c r="C14" s="55">
        <v>2025</v>
      </c>
      <c r="D14" s="59">
        <v>9</v>
      </c>
      <c r="E14" s="60">
        <f>'Flujo neto de efectivo'!E13</f>
        <v>280555.53155537695</v>
      </c>
      <c r="F14" s="56">
        <f t="shared" si="0"/>
        <v>6864860.7207341082</v>
      </c>
      <c r="G14" s="54"/>
      <c r="H14" s="68"/>
      <c r="I14" s="68"/>
      <c r="J14" s="54"/>
      <c r="K14" s="68"/>
      <c r="L14" s="68"/>
      <c r="M14" s="68"/>
      <c r="N14" s="68"/>
      <c r="O14" s="68"/>
      <c r="P14" s="68"/>
      <c r="Q14" s="68"/>
    </row>
    <row r="15" spans="1:17" ht="20.25" x14ac:dyDescent="0.3">
      <c r="A15" s="66"/>
      <c r="B15" s="67"/>
      <c r="C15" s="55">
        <v>2026</v>
      </c>
      <c r="D15" s="59">
        <v>10</v>
      </c>
      <c r="E15" s="60">
        <f>'Flujo neto de efectivo'!E14</f>
        <v>-29636.2955170887</v>
      </c>
      <c r="F15" s="56">
        <f t="shared" si="0"/>
        <v>6835224.4252170194</v>
      </c>
      <c r="G15" s="54"/>
      <c r="H15" s="54"/>
      <c r="I15" s="54"/>
      <c r="J15" s="54"/>
      <c r="K15" s="68"/>
      <c r="L15" s="68"/>
      <c r="M15" s="68"/>
      <c r="N15" s="68"/>
      <c r="O15" s="68"/>
      <c r="P15" s="68"/>
      <c r="Q15" s="68"/>
    </row>
    <row r="16" spans="1:17" ht="20.25" x14ac:dyDescent="0.3">
      <c r="A16" s="66"/>
      <c r="B16" s="66"/>
      <c r="C16" s="68"/>
      <c r="D16" s="68"/>
      <c r="E16" s="68"/>
      <c r="F16" s="68"/>
      <c r="G16" s="54"/>
      <c r="H16" s="54"/>
      <c r="I16" s="54"/>
      <c r="J16" s="54"/>
      <c r="K16" s="68"/>
      <c r="L16" s="68"/>
      <c r="M16" s="68"/>
      <c r="N16" s="68"/>
      <c r="O16" s="68"/>
      <c r="P16" s="68"/>
      <c r="Q16" s="68"/>
    </row>
    <row r="17" spans="1:17" ht="20.25" x14ac:dyDescent="0.3">
      <c r="A17" s="66"/>
      <c r="B17" s="66"/>
      <c r="C17" s="68"/>
      <c r="D17" s="68"/>
      <c r="E17" s="68"/>
      <c r="F17" s="68"/>
      <c r="G17" s="54"/>
      <c r="H17" s="54"/>
      <c r="I17" s="54"/>
      <c r="J17" s="54"/>
      <c r="K17" s="68"/>
      <c r="L17" s="68"/>
      <c r="M17" s="68"/>
      <c r="N17" s="68"/>
      <c r="O17" s="68"/>
      <c r="P17" s="68"/>
      <c r="Q17" s="68"/>
    </row>
    <row r="18" spans="1:17" ht="20.25" x14ac:dyDescent="0.3">
      <c r="A18" s="67"/>
      <c r="B18" s="67"/>
      <c r="C18" s="68"/>
      <c r="D18" s="68"/>
      <c r="E18" s="68"/>
      <c r="F18" s="68"/>
      <c r="G18" s="54"/>
      <c r="H18" s="69"/>
      <c r="I18" s="54"/>
      <c r="J18" s="54"/>
      <c r="K18" s="68"/>
      <c r="L18" s="68"/>
      <c r="M18" s="68"/>
      <c r="N18" s="68"/>
      <c r="O18" s="68"/>
      <c r="P18" s="68"/>
      <c r="Q18" s="68"/>
    </row>
    <row r="19" spans="1:17" ht="20.25" x14ac:dyDescent="0.3">
      <c r="A19" s="67"/>
      <c r="B19" s="67"/>
      <c r="C19" s="54"/>
      <c r="D19" s="54"/>
      <c r="E19" s="54"/>
      <c r="F19" s="69"/>
      <c r="G19" s="69"/>
      <c r="H19" s="69"/>
      <c r="I19" s="69"/>
      <c r="J19" s="54"/>
      <c r="K19" s="68"/>
      <c r="L19" s="68"/>
      <c r="M19" s="68"/>
      <c r="N19" s="68"/>
      <c r="O19" s="68"/>
      <c r="P19" s="68"/>
      <c r="Q19" s="68"/>
    </row>
    <row r="20" spans="1:17" x14ac:dyDescent="0.25">
      <c r="A20" s="48"/>
      <c r="B20" s="48"/>
      <c r="C20" s="48"/>
      <c r="D20" s="48"/>
      <c r="E20" s="48"/>
      <c r="F20" s="48"/>
      <c r="G20" s="48"/>
      <c r="H20" s="48"/>
      <c r="I20" s="68"/>
      <c r="J20" s="68"/>
      <c r="K20" s="68"/>
      <c r="L20" s="68"/>
      <c r="M20" s="68"/>
      <c r="N20" s="68"/>
      <c r="O20" s="68"/>
      <c r="P20" s="68"/>
      <c r="Q20" s="68"/>
    </row>
    <row r="21" spans="1:17" x14ac:dyDescent="0.25">
      <c r="A21" s="6"/>
      <c r="B21" s="6"/>
      <c r="C21" s="6"/>
      <c r="D21" s="6"/>
      <c r="E21" s="6"/>
      <c r="F21" s="6"/>
      <c r="G21" s="6"/>
      <c r="H21" s="6"/>
    </row>
    <row r="38" spans="2:14" x14ac:dyDescent="0.25">
      <c r="N38" s="6"/>
    </row>
    <row r="39" spans="2:14" x14ac:dyDescent="0.25">
      <c r="N39" s="6" t="s">
        <v>42</v>
      </c>
    </row>
    <row r="40" spans="2:14" x14ac:dyDescent="0.25">
      <c r="N40" s="27"/>
    </row>
    <row r="41" spans="2:14" x14ac:dyDescent="0.25">
      <c r="N41" s="28">
        <f>F5-F6</f>
        <v>663149.42528735637</v>
      </c>
    </row>
    <row r="42" spans="2:14" x14ac:dyDescent="0.25">
      <c r="N42" s="28">
        <f>F5-F7</f>
        <v>-462516.66666666791</v>
      </c>
    </row>
    <row r="43" spans="2:14" x14ac:dyDescent="0.25">
      <c r="N43" s="28">
        <f>F5-F8</f>
        <v>-1559565.4663793137</v>
      </c>
    </row>
    <row r="44" spans="2:14" x14ac:dyDescent="0.25">
      <c r="B44" s="6">
        <f>(D6+(N41/E7))</f>
        <v>1.5891173501870406</v>
      </c>
      <c r="C44" s="6">
        <f>(MID(B44,SEARCH(".",B44,1),10)*12)</f>
        <v>7.0694081999999998</v>
      </c>
      <c r="D44" s="6">
        <f>(MID(C44,SEARCH(".",C44,1),10)*30)</f>
        <v>2.082246</v>
      </c>
      <c r="N44" s="28">
        <f>-F9+F5</f>
        <v>-2606585.446795837</v>
      </c>
    </row>
    <row r="45" spans="2:14" x14ac:dyDescent="0.25">
      <c r="N45" s="28">
        <f>-F10+F5</f>
        <v>-3577484.0780619867</v>
      </c>
    </row>
    <row r="46" spans="2:14" x14ac:dyDescent="0.25">
      <c r="N46" s="28">
        <f>-F11+F5</f>
        <v>-3540674.0388732161</v>
      </c>
    </row>
    <row r="47" spans="2:14" x14ac:dyDescent="0.25">
      <c r="N47" s="28">
        <f>-F12+F5</f>
        <v>-4258131.1948763989</v>
      </c>
    </row>
    <row r="48" spans="2:14" x14ac:dyDescent="0.25">
      <c r="N48" s="28">
        <f>-F13+F5</f>
        <v>-4784305.1891787313</v>
      </c>
    </row>
    <row r="49" spans="14:14" x14ac:dyDescent="0.25">
      <c r="N49" s="28">
        <f>-F14+F5</f>
        <v>-5064860.7207341082</v>
      </c>
    </row>
    <row r="50" spans="14:14" x14ac:dyDescent="0.25">
      <c r="N50" s="28">
        <f>-F15+F5</f>
        <v>-5035224.4252170194</v>
      </c>
    </row>
    <row r="51" spans="14:14" x14ac:dyDescent="0.25">
      <c r="N51" s="6"/>
    </row>
    <row r="52" spans="14:14" x14ac:dyDescent="0.25">
      <c r="N52" s="6"/>
    </row>
    <row r="53" spans="14:14" x14ac:dyDescent="0.25">
      <c r="N53" s="6"/>
    </row>
  </sheetData>
  <mergeCells count="2">
    <mergeCell ref="A1:Q2"/>
    <mergeCell ref="H8:M8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sqref="A1:N2"/>
    </sheetView>
  </sheetViews>
  <sheetFormatPr baseColWidth="10" defaultColWidth="11.42578125" defaultRowHeight="15" x14ac:dyDescent="0.25"/>
  <cols>
    <col min="1" max="1" width="4.5703125" customWidth="1"/>
    <col min="2" max="2" width="8.85546875" customWidth="1"/>
    <col min="3" max="3" width="9" customWidth="1"/>
    <col min="4" max="4" width="23.5703125" customWidth="1"/>
    <col min="5" max="5" width="42.140625" customWidth="1"/>
    <col min="6" max="6" width="44.28515625" bestFit="1" customWidth="1"/>
    <col min="7" max="7" width="5.5703125" customWidth="1"/>
    <col min="8" max="8" width="4.85546875" customWidth="1"/>
    <col min="9" max="9" width="10" customWidth="1"/>
    <col min="10" max="10" width="5.140625" customWidth="1"/>
    <col min="12" max="12" width="5.28515625" customWidth="1"/>
    <col min="13" max="13" width="8.7109375" customWidth="1"/>
  </cols>
  <sheetData>
    <row r="1" spans="1:14" x14ac:dyDescent="0.25">
      <c r="A1" s="189" t="s">
        <v>67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</row>
    <row r="2" spans="1:14" x14ac:dyDescent="0.25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3" spans="1:14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 ht="20.25" x14ac:dyDescent="0.25">
      <c r="A4" s="46"/>
      <c r="B4" s="55" t="s">
        <v>21</v>
      </c>
      <c r="C4" s="55" t="s">
        <v>39</v>
      </c>
      <c r="D4" s="55" t="s">
        <v>40</v>
      </c>
      <c r="E4" s="55" t="s">
        <v>47</v>
      </c>
      <c r="F4" s="55" t="s">
        <v>48</v>
      </c>
      <c r="G4" s="67"/>
      <c r="H4" s="67"/>
      <c r="I4" s="67"/>
      <c r="J4" s="67"/>
      <c r="K4" s="67"/>
      <c r="L4" s="67"/>
      <c r="M4" s="67"/>
      <c r="N4" s="67"/>
    </row>
    <row r="5" spans="1:14" ht="20.25" x14ac:dyDescent="0.3">
      <c r="A5" s="46"/>
      <c r="B5" s="55" t="s">
        <v>43</v>
      </c>
      <c r="C5" s="59">
        <v>0</v>
      </c>
      <c r="D5" s="57">
        <f>'Flujo neto de efectivo'!G11</f>
        <v>1800000</v>
      </c>
      <c r="E5" s="56">
        <f>D5</f>
        <v>1800000</v>
      </c>
      <c r="F5" s="80"/>
      <c r="G5" s="67"/>
      <c r="H5" s="67"/>
      <c r="I5" s="67"/>
      <c r="J5" s="67"/>
      <c r="K5" s="67"/>
      <c r="L5" s="67"/>
      <c r="M5" s="67"/>
      <c r="N5" s="67"/>
    </row>
    <row r="6" spans="1:14" ht="20.25" x14ac:dyDescent="0.3">
      <c r="A6" s="46"/>
      <c r="B6" s="55">
        <v>2017</v>
      </c>
      <c r="C6" s="59">
        <v>1</v>
      </c>
      <c r="D6" s="57">
        <f>'Flujo neto de efectivo'!E5</f>
        <v>1136850.5747126436</v>
      </c>
      <c r="E6" s="56">
        <f>D6/(1+'Flujo neto de efectivo'!G8)^C6</f>
        <v>784034.8791121681</v>
      </c>
      <c r="F6" s="81">
        <f>E6</f>
        <v>784034.8791121681</v>
      </c>
      <c r="G6" s="48"/>
      <c r="H6" s="46"/>
      <c r="I6" s="46"/>
      <c r="J6" s="46"/>
      <c r="K6" s="46"/>
      <c r="L6" s="46"/>
      <c r="M6" s="46"/>
      <c r="N6" s="46"/>
    </row>
    <row r="7" spans="1:14" ht="20.25" x14ac:dyDescent="0.3">
      <c r="A7" s="46"/>
      <c r="B7" s="55">
        <v>2018</v>
      </c>
      <c r="C7" s="59">
        <v>2</v>
      </c>
      <c r="D7" s="57">
        <f>'Flujo neto de efectivo'!E6</f>
        <v>1125666.091954024</v>
      </c>
      <c r="E7" s="56">
        <f>D7/(1+'Flujo neto de efectivo'!G8)^C7</f>
        <v>535394.09843235393</v>
      </c>
      <c r="F7" s="81">
        <f>E7+F6</f>
        <v>1319428.9775445219</v>
      </c>
      <c r="G7" s="83"/>
      <c r="H7" s="46"/>
      <c r="I7" s="46"/>
      <c r="J7" s="46"/>
      <c r="K7" s="46"/>
      <c r="L7" s="46"/>
      <c r="M7" s="46"/>
      <c r="N7" s="46"/>
    </row>
    <row r="8" spans="1:14" ht="21" x14ac:dyDescent="0.35">
      <c r="A8" s="46"/>
      <c r="B8" s="55">
        <v>2019</v>
      </c>
      <c r="C8" s="59">
        <v>3</v>
      </c>
      <c r="D8" s="57">
        <f>'Flujo neto de efectivo'!E7</f>
        <v>1097048.7997126456</v>
      </c>
      <c r="E8" s="56">
        <f>D8/(1+'Flujo neto de efectivo'!G8)^C8</f>
        <v>359850.35867404012</v>
      </c>
      <c r="F8" s="81">
        <f>E8+F7</f>
        <v>1679279.336218562</v>
      </c>
      <c r="G8" s="46"/>
      <c r="H8" s="34"/>
      <c r="I8" s="34"/>
      <c r="J8" s="84"/>
      <c r="K8" s="85"/>
      <c r="L8" s="34"/>
      <c r="M8" s="34"/>
      <c r="N8" s="34"/>
    </row>
    <row r="9" spans="1:14" ht="21" x14ac:dyDescent="0.35">
      <c r="A9" s="46"/>
      <c r="B9" s="55">
        <v>2020</v>
      </c>
      <c r="C9" s="59">
        <v>4</v>
      </c>
      <c r="D9" s="57">
        <f>'Flujo neto de efectivo'!E8</f>
        <v>1047019.9804165234</v>
      </c>
      <c r="E9" s="56">
        <f>D9/(1+'Flujo neto de efectivo'!G8)^C9</f>
        <v>236855.22001388946</v>
      </c>
      <c r="F9" s="81">
        <f t="shared" ref="F9:F14" si="0">E9+F8</f>
        <v>1916134.5562324515</v>
      </c>
      <c r="G9" s="46"/>
      <c r="H9" s="34"/>
      <c r="I9" s="34"/>
      <c r="J9" s="84"/>
      <c r="K9" s="85"/>
      <c r="L9" s="34"/>
      <c r="M9" s="34"/>
      <c r="N9" s="34"/>
    </row>
    <row r="10" spans="1:14" ht="20.25" x14ac:dyDescent="0.3">
      <c r="A10" s="46"/>
      <c r="B10" s="55">
        <v>2021</v>
      </c>
      <c r="C10" s="59">
        <v>5</v>
      </c>
      <c r="D10" s="57">
        <f>'Flujo neto de efectivo'!E9</f>
        <v>970898.63126615016</v>
      </c>
      <c r="E10" s="56">
        <f>D10/(1+'Flujo neto de efectivo'!G8)^C10</f>
        <v>151472.52940591876</v>
      </c>
      <c r="F10" s="81">
        <f t="shared" si="0"/>
        <v>2067607.0856383701</v>
      </c>
      <c r="G10" s="46"/>
      <c r="H10" s="190" t="s">
        <v>64</v>
      </c>
      <c r="I10" s="190"/>
      <c r="J10" s="190"/>
      <c r="K10" s="190"/>
      <c r="L10" s="190"/>
      <c r="M10" s="190"/>
      <c r="N10" s="34"/>
    </row>
    <row r="11" spans="1:14" ht="20.25" x14ac:dyDescent="0.3">
      <c r="A11" s="46"/>
      <c r="B11" s="55">
        <v>2022</v>
      </c>
      <c r="C11" s="59">
        <v>6</v>
      </c>
      <c r="D11" s="57">
        <f>'Flujo neto de efectivo'!E10</f>
        <v>-36810.039188770694</v>
      </c>
      <c r="E11" s="56">
        <f>D11/(1+'Flujo neto de efectivo'!G8)^C11</f>
        <v>-3960.575224456145</v>
      </c>
      <c r="F11" s="81">
        <f t="shared" si="0"/>
        <v>2063646.510413914</v>
      </c>
      <c r="G11" s="46"/>
      <c r="H11" s="121">
        <f>TRUNC(B41)</f>
        <v>3</v>
      </c>
      <c r="I11" s="122" t="s">
        <v>49</v>
      </c>
      <c r="J11" s="122">
        <f>TRUNC(C41)</f>
        <v>4</v>
      </c>
      <c r="K11" s="122" t="s">
        <v>45</v>
      </c>
      <c r="L11" s="122">
        <f>TRUNC(D41)</f>
        <v>0</v>
      </c>
      <c r="M11" s="82" t="s">
        <v>50</v>
      </c>
      <c r="N11" s="34"/>
    </row>
    <row r="12" spans="1:14" ht="21" x14ac:dyDescent="0.35">
      <c r="A12" s="46"/>
      <c r="B12" s="55">
        <v>2023</v>
      </c>
      <c r="C12" s="59">
        <v>7</v>
      </c>
      <c r="D12" s="57">
        <f>'Flujo neto de efectivo'!E11</f>
        <v>717457.15600318287</v>
      </c>
      <c r="E12" s="56">
        <f>D12/(1+'Flujo neto de efectivo'!G8)^C12</f>
        <v>53237.782302527819</v>
      </c>
      <c r="F12" s="81">
        <f>E12+F11</f>
        <v>2116884.2927164417</v>
      </c>
      <c r="G12" s="46"/>
      <c r="H12" s="86"/>
      <c r="I12" s="86"/>
      <c r="J12" s="85"/>
      <c r="K12" s="85"/>
      <c r="L12" s="34"/>
      <c r="M12" s="34"/>
      <c r="N12" s="34"/>
    </row>
    <row r="13" spans="1:14" ht="21" x14ac:dyDescent="0.35">
      <c r="A13" s="46"/>
      <c r="B13" s="55">
        <v>2024</v>
      </c>
      <c r="C13" s="59">
        <v>8</v>
      </c>
      <c r="D13" s="57">
        <f>'Flujo neto de efectivo'!E12</f>
        <v>526173.9943023324</v>
      </c>
      <c r="E13" s="56">
        <f>D13/(1+'Flujo neto de efectivo'!G8)^C13</f>
        <v>26926.838264385227</v>
      </c>
      <c r="F13" s="81">
        <f t="shared" si="0"/>
        <v>2143811.1309808269</v>
      </c>
      <c r="G13" s="46"/>
      <c r="H13" s="86"/>
      <c r="I13" s="86"/>
      <c r="J13" s="85"/>
      <c r="K13" s="85"/>
      <c r="L13" s="34"/>
      <c r="M13" s="34"/>
      <c r="N13" s="34"/>
    </row>
    <row r="14" spans="1:14" ht="21" x14ac:dyDescent="0.35">
      <c r="A14" s="46"/>
      <c r="B14" s="55">
        <v>2025</v>
      </c>
      <c r="C14" s="59">
        <v>9</v>
      </c>
      <c r="D14" s="57">
        <f>'Flujo neto de efectivo'!E13</f>
        <v>280555.53155537695</v>
      </c>
      <c r="E14" s="56">
        <f>D14/(1+'Flujo neto de efectivo'!G8)^C14</f>
        <v>9901.632781202401</v>
      </c>
      <c r="F14" s="81">
        <f t="shared" si="0"/>
        <v>2153712.7637620294</v>
      </c>
      <c r="G14" s="46"/>
      <c r="H14" s="86"/>
      <c r="I14" s="86"/>
      <c r="J14" s="85"/>
      <c r="K14" s="85"/>
      <c r="L14" s="34"/>
      <c r="M14" s="34"/>
      <c r="N14" s="34"/>
    </row>
    <row r="15" spans="1:14" ht="21" x14ac:dyDescent="0.35">
      <c r="A15" s="46"/>
      <c r="B15" s="55">
        <v>2026</v>
      </c>
      <c r="C15" s="59">
        <v>10</v>
      </c>
      <c r="D15" s="57">
        <f>'Flujo neto de efectivo'!E14</f>
        <v>-29636.2955170887</v>
      </c>
      <c r="E15" s="56">
        <f>D15/(1+'Flujo neto de efectivo'!G8)^C15</f>
        <v>-721.34644254723185</v>
      </c>
      <c r="F15" s="81">
        <f>E15+F14</f>
        <v>2152991.4173194822</v>
      </c>
      <c r="G15" s="46"/>
      <c r="H15" s="86"/>
      <c r="I15" s="86"/>
      <c r="J15" s="85"/>
      <c r="K15" s="85"/>
      <c r="L15" s="34"/>
      <c r="M15" s="34"/>
      <c r="N15" s="34"/>
    </row>
    <row r="16" spans="1:14" ht="21" x14ac:dyDescent="0.35">
      <c r="A16" s="46"/>
      <c r="B16" s="46"/>
      <c r="C16" s="46"/>
      <c r="D16" s="46"/>
      <c r="E16" s="46"/>
      <c r="F16" s="46"/>
      <c r="G16" s="46"/>
      <c r="H16" s="86"/>
      <c r="I16" s="34"/>
      <c r="J16" s="34"/>
      <c r="K16" s="34"/>
      <c r="L16" s="34"/>
      <c r="M16" s="34"/>
      <c r="N16" s="34"/>
    </row>
    <row r="17" spans="1:14" ht="21" x14ac:dyDescent="0.35">
      <c r="A17" s="46"/>
      <c r="B17" s="46"/>
      <c r="C17" s="46"/>
      <c r="D17" s="46"/>
      <c r="E17" s="46"/>
      <c r="F17" s="46"/>
      <c r="G17" s="46"/>
      <c r="H17" s="86"/>
      <c r="I17" s="34"/>
      <c r="J17" s="34"/>
      <c r="K17" s="34"/>
      <c r="L17" s="34"/>
      <c r="M17" s="34"/>
      <c r="N17" s="34"/>
    </row>
    <row r="18" spans="1:14" ht="21" x14ac:dyDescent="0.35">
      <c r="A18" s="46"/>
      <c r="B18" s="46"/>
      <c r="C18" s="46"/>
      <c r="D18" s="46"/>
      <c r="E18" s="46"/>
      <c r="F18" s="46"/>
      <c r="G18" s="46"/>
      <c r="H18" s="86"/>
      <c r="I18" s="34"/>
      <c r="J18" s="34"/>
      <c r="K18" s="34"/>
      <c r="L18" s="34"/>
      <c r="M18" s="34"/>
      <c r="N18" s="34"/>
    </row>
    <row r="19" spans="1:14" ht="21" x14ac:dyDescent="0.35">
      <c r="A19" s="46"/>
      <c r="B19" s="46"/>
      <c r="C19" s="46"/>
      <c r="D19" s="46"/>
      <c r="E19" s="46"/>
      <c r="F19" s="46"/>
      <c r="G19" s="46"/>
      <c r="H19" s="86"/>
      <c r="I19" s="34"/>
      <c r="J19" s="34"/>
      <c r="K19" s="34"/>
      <c r="L19" s="34"/>
      <c r="M19" s="34"/>
      <c r="N19" s="34"/>
    </row>
    <row r="20" spans="1:14" x14ac:dyDescent="0.25">
      <c r="C20" s="12"/>
      <c r="D20" s="12"/>
      <c r="E20" s="12"/>
      <c r="F20" s="15"/>
      <c r="G20" s="15"/>
      <c r="H20" s="6"/>
      <c r="I20" s="6"/>
    </row>
    <row r="38" spans="2:13" x14ac:dyDescent="0.25">
      <c r="M38" s="27" t="s">
        <v>42</v>
      </c>
    </row>
    <row r="39" spans="2:13" x14ac:dyDescent="0.25">
      <c r="M39" s="28">
        <f>E5-F6</f>
        <v>1015965.1208878319</v>
      </c>
    </row>
    <row r="40" spans="2:13" x14ac:dyDescent="0.25">
      <c r="M40" s="28">
        <f>E5-F7</f>
        <v>480571.02245547809</v>
      </c>
    </row>
    <row r="41" spans="2:13" x14ac:dyDescent="0.25">
      <c r="B41" s="29">
        <f>C7+((E5-F7)/E8)</f>
        <v>3.3354746240250082</v>
      </c>
      <c r="C41" s="6">
        <f>(MID(B41,SEARCH(".",B41,1),10)*12)</f>
        <v>4.0256954880000002</v>
      </c>
      <c r="D41" s="6">
        <f>(MID(C41,SEARCH(".",C41,1),10)*30)</f>
        <v>0.77086463999999999</v>
      </c>
      <c r="M41" s="28">
        <f>E5-F8</f>
        <v>120720.66378143802</v>
      </c>
    </row>
    <row r="42" spans="2:13" x14ac:dyDescent="0.25">
      <c r="M42" s="28">
        <f>E5-F9</f>
        <v>-116134.55623245146</v>
      </c>
    </row>
    <row r="43" spans="2:13" x14ac:dyDescent="0.25">
      <c r="M43" s="28">
        <f>E5-F10</f>
        <v>-267607.08563837013</v>
      </c>
    </row>
    <row r="44" spans="2:13" x14ac:dyDescent="0.25">
      <c r="M44" s="28">
        <f>E5-F11</f>
        <v>-263646.51041391399</v>
      </c>
    </row>
    <row r="45" spans="2:13" x14ac:dyDescent="0.25">
      <c r="M45" s="28">
        <f>E5-F12</f>
        <v>-316884.29271644168</v>
      </c>
    </row>
    <row r="46" spans="2:13" x14ac:dyDescent="0.25">
      <c r="M46" s="28">
        <f>E5-F13</f>
        <v>-343811.13098082691</v>
      </c>
    </row>
    <row r="47" spans="2:13" x14ac:dyDescent="0.25">
      <c r="M47" s="28">
        <f>E5-F14</f>
        <v>-353712.76376202935</v>
      </c>
    </row>
    <row r="48" spans="2:13" x14ac:dyDescent="0.25">
      <c r="M48" s="28">
        <f>E5-F15</f>
        <v>-352991.41731948219</v>
      </c>
    </row>
  </sheetData>
  <mergeCells count="2">
    <mergeCell ref="A1:N2"/>
    <mergeCell ref="H10:M10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A5" workbookViewId="0">
      <selection activeCell="C18" sqref="C18"/>
    </sheetView>
  </sheetViews>
  <sheetFormatPr baseColWidth="10" defaultRowHeight="15" x14ac:dyDescent="0.25"/>
  <cols>
    <col min="1" max="1" width="22" style="11" customWidth="1"/>
    <col min="2" max="2" width="45.28515625" style="10" customWidth="1"/>
    <col min="3" max="3" width="23.28515625" style="10" customWidth="1"/>
    <col min="4" max="16384" width="11.42578125" style="10"/>
  </cols>
  <sheetData>
    <row r="1" spans="1:15" x14ac:dyDescent="0.25">
      <c r="A1" s="185" t="s">
        <v>71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</row>
    <row r="2" spans="1:15" x14ac:dyDescent="0.25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</row>
    <row r="3" spans="1:15" x14ac:dyDescent="0.2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</row>
    <row r="4" spans="1:15" x14ac:dyDescent="0.25">
      <c r="A4" s="127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</row>
    <row r="5" spans="1:15" ht="20.25" x14ac:dyDescent="0.3">
      <c r="A5" s="127"/>
      <c r="B5" s="123" t="s">
        <v>72</v>
      </c>
      <c r="C5" s="124" t="s">
        <v>73</v>
      </c>
      <c r="D5" s="128"/>
      <c r="E5" s="128"/>
      <c r="F5" s="128"/>
      <c r="G5" s="128"/>
      <c r="H5" s="128"/>
      <c r="I5" s="128"/>
      <c r="J5" s="128"/>
      <c r="K5" s="128"/>
      <c r="L5" s="128"/>
    </row>
    <row r="6" spans="1:15" ht="20.25" x14ac:dyDescent="0.3">
      <c r="A6" s="127"/>
      <c r="B6" s="79" t="s">
        <v>53</v>
      </c>
      <c r="C6" s="125">
        <f>'Flujo neto de efectivo'!G11</f>
        <v>1800000</v>
      </c>
      <c r="D6" s="128"/>
      <c r="E6" s="128"/>
      <c r="F6" s="128"/>
      <c r="G6" s="128"/>
      <c r="H6" s="128"/>
      <c r="I6" s="128"/>
      <c r="J6" s="128"/>
      <c r="K6" s="128"/>
      <c r="L6" s="128"/>
    </row>
    <row r="7" spans="1:15" ht="20.25" x14ac:dyDescent="0.3">
      <c r="A7" s="127"/>
      <c r="B7" s="79">
        <v>2017</v>
      </c>
      <c r="C7" s="125">
        <f>'Flujo neto de efectivo'!E5</f>
        <v>1136850.5747126436</v>
      </c>
      <c r="D7" s="128"/>
      <c r="E7" s="128"/>
      <c r="F7" s="128"/>
      <c r="G7" s="128"/>
      <c r="H7" s="128"/>
      <c r="I7" s="128"/>
      <c r="J7" s="128"/>
      <c r="K7" s="128"/>
      <c r="L7" s="128"/>
    </row>
    <row r="8" spans="1:15" ht="20.25" x14ac:dyDescent="0.3">
      <c r="A8" s="127"/>
      <c r="B8" s="79">
        <v>2018</v>
      </c>
      <c r="C8" s="125">
        <f>'Flujo neto de efectivo'!E6</f>
        <v>1125666.091954024</v>
      </c>
      <c r="D8" s="128"/>
      <c r="E8" s="128"/>
      <c r="F8" s="128"/>
      <c r="G8" s="128"/>
      <c r="H8" s="128"/>
      <c r="I8" s="128"/>
      <c r="J8" s="128"/>
      <c r="K8" s="128"/>
      <c r="L8" s="128"/>
    </row>
    <row r="9" spans="1:15" ht="20.25" x14ac:dyDescent="0.3">
      <c r="A9" s="127"/>
      <c r="B9" s="79">
        <v>2019</v>
      </c>
      <c r="C9" s="125">
        <f>'Flujo neto de efectivo'!E7</f>
        <v>1097048.7997126456</v>
      </c>
      <c r="D9" s="128"/>
      <c r="E9" s="128"/>
      <c r="F9" s="128"/>
      <c r="G9" s="128"/>
      <c r="H9" s="128"/>
      <c r="I9" s="128"/>
      <c r="J9" s="128"/>
      <c r="K9" s="128"/>
      <c r="L9" s="128"/>
    </row>
    <row r="10" spans="1:15" ht="20.25" x14ac:dyDescent="0.3">
      <c r="A10" s="127"/>
      <c r="B10" s="79">
        <v>2020</v>
      </c>
      <c r="C10" s="125">
        <f>'Flujo neto de efectivo'!E8</f>
        <v>1047019.9804165234</v>
      </c>
      <c r="D10" s="128"/>
      <c r="E10" s="128"/>
      <c r="F10" s="128"/>
      <c r="G10" s="128"/>
      <c r="H10" s="128"/>
      <c r="I10" s="128"/>
      <c r="J10" s="128"/>
      <c r="K10" s="128"/>
      <c r="L10" s="128"/>
    </row>
    <row r="11" spans="1:15" ht="20.25" x14ac:dyDescent="0.3">
      <c r="A11" s="127"/>
      <c r="B11" s="79">
        <v>2021</v>
      </c>
      <c r="C11" s="125">
        <f>'Flujo neto de efectivo'!E9</f>
        <v>970898.63126615016</v>
      </c>
      <c r="D11" s="128"/>
      <c r="E11" s="128"/>
      <c r="F11" s="128"/>
      <c r="G11" s="128"/>
      <c r="H11" s="128"/>
      <c r="I11" s="128"/>
      <c r="J11" s="128"/>
      <c r="K11" s="128"/>
      <c r="L11" s="128"/>
    </row>
    <row r="12" spans="1:15" ht="20.25" x14ac:dyDescent="0.3">
      <c r="A12" s="127"/>
      <c r="B12" s="79">
        <v>2022</v>
      </c>
      <c r="C12" s="125">
        <f>'Flujo neto de efectivo'!E10</f>
        <v>-36810.039188770694</v>
      </c>
      <c r="D12" s="128"/>
      <c r="E12" s="128"/>
      <c r="F12" s="128"/>
      <c r="G12" s="128"/>
      <c r="H12" s="128"/>
      <c r="I12" s="128"/>
      <c r="J12" s="128"/>
      <c r="K12" s="128"/>
      <c r="L12" s="128"/>
    </row>
    <row r="13" spans="1:15" ht="20.25" x14ac:dyDescent="0.3">
      <c r="A13" s="127"/>
      <c r="B13" s="79">
        <v>2023</v>
      </c>
      <c r="C13" s="125">
        <f>'Flujo neto de efectivo'!E11</f>
        <v>717457.15600318287</v>
      </c>
      <c r="D13" s="128"/>
      <c r="E13" s="128"/>
      <c r="F13" s="128"/>
      <c r="G13" s="128"/>
      <c r="H13" s="128"/>
      <c r="I13" s="128"/>
      <c r="J13" s="128"/>
      <c r="K13" s="128"/>
      <c r="L13" s="128"/>
    </row>
    <row r="14" spans="1:15" ht="20.25" x14ac:dyDescent="0.3">
      <c r="A14" s="127"/>
      <c r="B14" s="79">
        <v>2024</v>
      </c>
      <c r="C14" s="125">
        <f>'Flujo neto de efectivo'!E12</f>
        <v>526173.9943023324</v>
      </c>
      <c r="D14" s="128"/>
      <c r="E14" s="128"/>
      <c r="F14" s="128"/>
      <c r="G14" s="128"/>
      <c r="H14" s="128"/>
      <c r="I14" s="128"/>
      <c r="J14" s="128"/>
      <c r="K14" s="128"/>
      <c r="L14" s="128"/>
    </row>
    <row r="15" spans="1:15" ht="20.25" x14ac:dyDescent="0.3">
      <c r="A15" s="127"/>
      <c r="B15" s="79">
        <v>2025</v>
      </c>
      <c r="C15" s="125">
        <f>'Flujo neto de efectivo'!E13</f>
        <v>280555.53155537695</v>
      </c>
      <c r="D15" s="128"/>
      <c r="E15" s="128"/>
      <c r="F15" s="128"/>
      <c r="G15" s="128"/>
      <c r="H15" s="128"/>
      <c r="I15" s="128"/>
      <c r="J15" s="128"/>
      <c r="K15" s="128"/>
      <c r="L15" s="128"/>
    </row>
    <row r="16" spans="1:15" ht="20.25" x14ac:dyDescent="0.3">
      <c r="A16" s="127"/>
      <c r="B16" s="79">
        <v>2026</v>
      </c>
      <c r="C16" s="125">
        <f>'Flujo neto de efectivo'!E14</f>
        <v>-29636.2955170887</v>
      </c>
      <c r="D16" s="128"/>
      <c r="E16" s="128"/>
      <c r="F16" s="128"/>
      <c r="G16" s="128"/>
      <c r="H16" s="128"/>
      <c r="I16" s="128"/>
      <c r="J16" s="128"/>
      <c r="K16" s="128"/>
      <c r="L16" s="128"/>
    </row>
    <row r="17" spans="1:12" ht="20.25" x14ac:dyDescent="0.3">
      <c r="A17" s="127"/>
      <c r="B17" s="126" t="s">
        <v>54</v>
      </c>
      <c r="C17" s="125">
        <f>SUM(C7:C16)/10</f>
        <v>683522.44252170192</v>
      </c>
      <c r="D17" s="128"/>
      <c r="E17" s="128"/>
      <c r="F17" s="128"/>
      <c r="G17" s="128"/>
      <c r="H17" s="128"/>
      <c r="I17" s="128"/>
      <c r="J17" s="128"/>
      <c r="K17" s="128"/>
      <c r="L17" s="128"/>
    </row>
    <row r="18" spans="1:12" ht="20.25" x14ac:dyDescent="0.3">
      <c r="A18" s="127"/>
      <c r="B18" s="168" t="s">
        <v>55</v>
      </c>
      <c r="C18" s="167">
        <f>C17/C6</f>
        <v>0.37973469028983442</v>
      </c>
      <c r="D18" s="128"/>
      <c r="E18" s="128"/>
      <c r="F18" s="128"/>
      <c r="G18" s="128"/>
      <c r="H18" s="128"/>
      <c r="I18" s="128"/>
      <c r="J18" s="128"/>
      <c r="K18" s="128"/>
      <c r="L18" s="128"/>
    </row>
    <row r="19" spans="1:12" x14ac:dyDescent="0.25">
      <c r="A19" s="127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</row>
    <row r="20" spans="1:12" x14ac:dyDescent="0.25">
      <c r="A20" s="127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</row>
  </sheetData>
  <mergeCells count="1">
    <mergeCell ref="A1:O3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0" workbookViewId="0">
      <selection activeCell="E17" sqref="B17:E17"/>
    </sheetView>
  </sheetViews>
  <sheetFormatPr baseColWidth="10" defaultRowHeight="15" x14ac:dyDescent="0.25"/>
  <cols>
    <col min="1" max="1" width="12" customWidth="1"/>
    <col min="2" max="2" width="10.28515625" customWidth="1"/>
    <col min="3" max="3" width="37.28515625" customWidth="1"/>
    <col min="4" max="4" width="20.85546875" bestFit="1" customWidth="1"/>
    <col min="5" max="5" width="10.140625" customWidth="1"/>
  </cols>
  <sheetData>
    <row r="1" spans="1:18" ht="15" customHeight="1" x14ac:dyDescent="0.25">
      <c r="A1" s="192" t="s">
        <v>74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29"/>
      <c r="O1" s="129"/>
      <c r="P1" s="129"/>
      <c r="Q1" s="46"/>
      <c r="R1" s="46"/>
    </row>
    <row r="2" spans="1:18" ht="15" customHeight="1" x14ac:dyDescent="0.25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29"/>
      <c r="O2" s="129"/>
      <c r="P2" s="129"/>
      <c r="Q2" s="46"/>
      <c r="R2" s="46"/>
    </row>
    <row r="3" spans="1:18" ht="15" customHeight="1" x14ac:dyDescent="0.25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29"/>
      <c r="O3" s="129"/>
      <c r="P3" s="129"/>
      <c r="Q3" s="46"/>
      <c r="R3" s="46"/>
    </row>
    <row r="4" spans="1:18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ht="23.25" x14ac:dyDescent="0.35">
      <c r="A5" s="46"/>
      <c r="B5" s="130" t="s">
        <v>75</v>
      </c>
      <c r="C5" s="131" t="s">
        <v>76</v>
      </c>
      <c r="D5" s="131" t="s">
        <v>52</v>
      </c>
      <c r="E5" s="132" t="s">
        <v>77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ht="23.25" x14ac:dyDescent="0.35">
      <c r="A6" s="46"/>
      <c r="B6" s="133" t="s">
        <v>53</v>
      </c>
      <c r="C6" s="134">
        <f>'Flujo neto de efectivo'!G11</f>
        <v>1800000</v>
      </c>
      <c r="D6" s="135"/>
      <c r="E6" s="136">
        <v>0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spans="1:18" ht="23.25" x14ac:dyDescent="0.35">
      <c r="A7" s="46"/>
      <c r="B7" s="133">
        <v>2017</v>
      </c>
      <c r="C7" s="134">
        <f>'Flujo neto de efectivo'!E5</f>
        <v>1136850.5747126436</v>
      </c>
      <c r="D7" s="137">
        <f>C7/((1+'Flujo neto de efectivo'!G8)^E7)</f>
        <v>784034.8791121681</v>
      </c>
      <c r="E7" s="136">
        <v>1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18" ht="23.25" x14ac:dyDescent="0.35">
      <c r="A8" s="46"/>
      <c r="B8" s="133">
        <v>2018</v>
      </c>
      <c r="C8" s="134">
        <f>'Flujo neto de efectivo'!E6</f>
        <v>1125666.091954024</v>
      </c>
      <c r="D8" s="137">
        <f>C8/((1+'Flujo neto de efectivo'!G8)^E8)</f>
        <v>535394.09843235393</v>
      </c>
      <c r="E8" s="136">
        <v>2</v>
      </c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18" ht="23.25" x14ac:dyDescent="0.35">
      <c r="A9" s="46"/>
      <c r="B9" s="133">
        <v>2019</v>
      </c>
      <c r="C9" s="134">
        <f>'Flujo neto de efectivo'!E7</f>
        <v>1097048.7997126456</v>
      </c>
      <c r="D9" s="137">
        <f>C9/((1+'Flujo neto de efectivo'!G8)^E9)</f>
        <v>359850.35867404012</v>
      </c>
      <c r="E9" s="136">
        <v>3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18" ht="23.25" x14ac:dyDescent="0.35">
      <c r="A10" s="46"/>
      <c r="B10" s="133">
        <v>2020</v>
      </c>
      <c r="C10" s="134">
        <f>'Flujo neto de efectivo'!E8</f>
        <v>1047019.9804165234</v>
      </c>
      <c r="D10" s="137">
        <f>C10/((1+'Flujo neto de efectivo'!G8)^E10)</f>
        <v>236855.22001388946</v>
      </c>
      <c r="E10" s="136">
        <v>4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23.25" x14ac:dyDescent="0.35">
      <c r="A11" s="46"/>
      <c r="B11" s="133">
        <v>2021</v>
      </c>
      <c r="C11" s="134">
        <f>'Flujo neto de efectivo'!E9</f>
        <v>970898.63126615016</v>
      </c>
      <c r="D11" s="137">
        <f>C11/((1+'Flujo neto de efectivo'!G8)^E11)</f>
        <v>151472.52940591876</v>
      </c>
      <c r="E11" s="136">
        <v>5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23.25" x14ac:dyDescent="0.35">
      <c r="A12" s="46"/>
      <c r="B12" s="133">
        <v>2022</v>
      </c>
      <c r="C12" s="134">
        <f>'Flujo neto de efectivo'!E10</f>
        <v>-36810.039188770694</v>
      </c>
      <c r="D12" s="137">
        <f>C12/((1+'Flujo neto de efectivo'!G8)^E12)</f>
        <v>-3960.575224456145</v>
      </c>
      <c r="E12" s="136">
        <v>6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23.25" x14ac:dyDescent="0.35">
      <c r="A13" s="46"/>
      <c r="B13" s="133">
        <v>2023</v>
      </c>
      <c r="C13" s="134">
        <f>'Flujo neto de efectivo'!E11</f>
        <v>717457.15600318287</v>
      </c>
      <c r="D13" s="137">
        <f>C13/((1+'Flujo neto de efectivo'!G8)^E13)</f>
        <v>53237.782302527819</v>
      </c>
      <c r="E13" s="136">
        <v>7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23.25" x14ac:dyDescent="0.35">
      <c r="A14" s="46"/>
      <c r="B14" s="133">
        <v>2024</v>
      </c>
      <c r="C14" s="134">
        <f>'Flujo neto de efectivo'!E12</f>
        <v>526173.9943023324</v>
      </c>
      <c r="D14" s="137">
        <f>C14/((1+'Flujo neto de efectivo'!G8)^E14)</f>
        <v>26926.838264385227</v>
      </c>
      <c r="E14" s="136">
        <v>8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23.25" x14ac:dyDescent="0.35">
      <c r="A15" s="46"/>
      <c r="B15" s="133">
        <v>2025</v>
      </c>
      <c r="C15" s="134">
        <f>'Flujo neto de efectivo'!E13</f>
        <v>280555.53155537695</v>
      </c>
      <c r="D15" s="137">
        <f>C15/((1+'Flujo neto de efectivo'!G8)^E15)</f>
        <v>9901.632781202401</v>
      </c>
      <c r="E15" s="136">
        <v>9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23.25" x14ac:dyDescent="0.35">
      <c r="A16" s="46"/>
      <c r="B16" s="133">
        <v>2026</v>
      </c>
      <c r="C16" s="134">
        <f>'Flujo neto de efectivo'!E14</f>
        <v>-29636.2955170887</v>
      </c>
      <c r="D16" s="137">
        <f>C16/((1+'Flujo neto de efectivo'!G8)^E16)</f>
        <v>-721.34644254723185</v>
      </c>
      <c r="E16" s="136">
        <v>10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23.25" x14ac:dyDescent="0.35">
      <c r="A17" s="46"/>
      <c r="B17" s="169" t="s">
        <v>56</v>
      </c>
      <c r="C17" s="170">
        <f>SUM(D7:D16)/C6</f>
        <v>1.1961063429552679</v>
      </c>
      <c r="D17" s="171"/>
      <c r="E17" s="172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x14ac:dyDescent="0.2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</row>
    <row r="32" spans="1:18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</row>
    <row r="33" spans="1:18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</row>
    <row r="34" spans="1:18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</row>
    <row r="35" spans="1:18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</row>
  </sheetData>
  <mergeCells count="1">
    <mergeCell ref="A1:M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Carátula</vt:lpstr>
      <vt:lpstr>Datos</vt:lpstr>
      <vt:lpstr>Pronostico de ventas</vt:lpstr>
      <vt:lpstr>Estado de resultados</vt:lpstr>
      <vt:lpstr>Flujo neto de efectivo</vt:lpstr>
      <vt:lpstr>Método 1</vt:lpstr>
      <vt:lpstr>Metodo 2</vt:lpstr>
      <vt:lpstr>Rendimiento anual promedio</vt:lpstr>
      <vt:lpstr>Índice de rentabilidad</vt:lpstr>
      <vt:lpstr>VPN</vt:lpstr>
      <vt:lpstr>TIR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Angeles</dc:creator>
  <cp:keywords/>
  <dc:description/>
  <cp:lastModifiedBy>Erick Efrain Vargas Romero</cp:lastModifiedBy>
  <cp:revision/>
  <dcterms:created xsi:type="dcterms:W3CDTF">2017-05-25T12:16:06Z</dcterms:created>
  <dcterms:modified xsi:type="dcterms:W3CDTF">2017-06-12T12:26:22Z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b4eb3137-5b67-4eb7-806d-839fd1ce7eda</vt:lpwstr>
  </property>
</Properties>
</file>